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Daniel Haycraft\Downloads\"/>
    </mc:Choice>
  </mc:AlternateContent>
  <xr:revisionPtr revIDLastSave="0" documentId="13_ncr:1_{5093DE2D-B1FD-44EB-B19B-50844F853B63}" xr6:coauthVersionLast="47" xr6:coauthVersionMax="47" xr10:uidLastSave="{00000000-0000-0000-0000-000000000000}"/>
  <workbookProtection workbookAlgorithmName="SHA-512" workbookHashValue="O9BSV2pMErVHH3RdnDKGNyJrluJ5yqZtK7J3A6u1w3B2KhJEkaL/76IPrzc6Kq/2ekFQTGPh2CImHeRfdH/dcg==" workbookSaltValue="sAm4oc4O5orICxfhlXTWzw==" workbookSpinCount="100000" lockStructure="1"/>
  <bookViews>
    <workbookView xWindow="-108" yWindow="-108" windowWidth="23256" windowHeight="13896" tabRatio="803" firstSheet="1" activeTab="1" xr2:uid="{12192C30-C2FB-4D60-9FFB-81C94ED7E4CE}"/>
  </bookViews>
  <sheets>
    <sheet name="State" sheetId="4" state="hidden" r:id="rId1"/>
    <sheet name="Data" sheetId="8" r:id="rId2"/>
    <sheet name="Matrixes w match key" sheetId="5" state="hidden" r:id="rId3"/>
    <sheet name="Data Validation" sheetId="6" state="hidden" r:id="rId4"/>
    <sheet name="Summary Table" sheetId="10" r:id="rId5"/>
    <sheet name="Combined Sizer" sheetId="15" r:id="rId6"/>
  </sheets>
  <definedNames>
    <definedName name="_xlnm._FilterDatabase" localSheetId="3" hidden="1">'Data Validation'!$H$2:$J$12</definedName>
    <definedName name="Slicer_AHL___Available_Check">#N/A</definedName>
    <definedName name="Slicer_Churchill___Eligibility_TF">#N/A</definedName>
    <definedName name="Slicer_Constructive____Eligible_TF">#N/A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N5" i="8" l="1"/>
  <c r="BR72" i="15"/>
  <c r="AQ35" i="15" l="1"/>
  <c r="J30" i="15"/>
  <c r="AG13" i="15"/>
  <c r="AO13" i="15"/>
  <c r="AQ34" i="15"/>
  <c r="S72" i="15"/>
  <c r="AY19" i="15"/>
  <c r="AO19" i="15"/>
  <c r="AG19" i="15"/>
  <c r="AO16" i="15"/>
  <c r="AG16" i="15"/>
  <c r="E22" i="15"/>
  <c r="AY13" i="15"/>
  <c r="AY10" i="15"/>
  <c r="AG10" i="15" a="1"/>
  <c r="AG10" i="15" s="1"/>
  <c r="S16" i="15"/>
  <c r="V81" i="15" s="1"/>
  <c r="S13" i="15"/>
  <c r="S10" i="15"/>
  <c r="E19" i="15"/>
  <c r="E16" i="15"/>
  <c r="E13" i="15"/>
  <c r="E10" i="15"/>
  <c r="CA81" i="15"/>
  <c r="CA76" i="15"/>
  <c r="DO63" i="15"/>
  <c r="BI5" i="8"/>
  <c r="CU63" i="15"/>
  <c r="BR51" i="15" s="1"/>
  <c r="AY5" i="8"/>
  <c r="BG5" i="8"/>
  <c r="AZ81" i="15" l="1"/>
  <c r="AQ81" i="15"/>
  <c r="CI84" i="15"/>
  <c r="CP45" i="15" l="1"/>
  <c r="DR5" i="8"/>
  <c r="E72" i="15"/>
  <c r="CW5" i="8"/>
  <c r="DS34" i="15"/>
  <c r="CY45" i="15"/>
  <c r="CE5" i="8"/>
  <c r="CF5" i="8" s="1"/>
  <c r="DA60" i="15"/>
  <c r="BL5" i="8"/>
  <c r="BT5" i="8"/>
  <c r="BP5" i="8" s="1"/>
  <c r="CG5" i="8" l="1"/>
  <c r="CH5" i="8" s="1"/>
  <c r="BU30" i="15"/>
  <c r="DO44" i="15"/>
  <c r="BO5" i="8"/>
  <c r="AK2" i="5"/>
  <c r="AK3" i="5"/>
  <c r="AK4" i="5"/>
  <c r="AK5" i="5"/>
  <c r="AK6" i="5"/>
  <c r="AK7" i="5"/>
  <c r="AK8" i="5"/>
  <c r="AK9" i="5"/>
  <c r="AK10" i="5"/>
  <c r="AK11" i="5"/>
  <c r="AK12" i="5"/>
  <c r="AK13" i="5"/>
  <c r="AK14" i="5"/>
  <c r="AK15" i="5"/>
  <c r="AK16" i="5"/>
  <c r="AK17" i="5"/>
  <c r="AK18" i="5"/>
  <c r="AK19" i="5"/>
  <c r="AK20" i="5"/>
  <c r="AK21" i="5"/>
  <c r="AK22" i="5"/>
  <c r="AK23" i="5"/>
  <c r="AK24" i="5"/>
  <c r="AK25" i="5"/>
  <c r="AK26" i="5"/>
  <c r="AK27" i="5"/>
  <c r="AK28" i="5"/>
  <c r="AK29" i="5"/>
  <c r="AK30" i="5"/>
  <c r="AK31" i="5"/>
  <c r="AK32" i="5"/>
  <c r="AK33" i="5"/>
  <c r="AK34" i="5"/>
  <c r="AK35" i="5"/>
  <c r="AK36" i="5"/>
  <c r="AK37" i="5"/>
  <c r="AK38" i="5"/>
  <c r="AK39" i="5"/>
  <c r="AK40" i="5"/>
  <c r="AK41" i="5"/>
  <c r="DA81" i="15"/>
  <c r="BZ39" i="15"/>
  <c r="CJ39" i="15" s="1"/>
  <c r="DS39" i="15" s="1"/>
  <c r="AX5" i="8"/>
  <c r="DS5" i="8"/>
  <c r="BK5" i="8"/>
  <c r="AW5" i="8"/>
  <c r="BC5" i="8"/>
  <c r="BS42" i="15"/>
  <c r="CC42" i="15"/>
  <c r="CN42" i="15"/>
  <c r="CV42" i="15"/>
  <c r="DF42" i="15"/>
  <c r="CF51" i="15"/>
  <c r="CA55" i="15"/>
  <c r="CA60" i="15"/>
  <c r="CJ60" i="15" s="1"/>
  <c r="BS63" i="15"/>
  <c r="BY63" i="15"/>
  <c r="CE63" i="15"/>
  <c r="CK63" i="15"/>
  <c r="CG72" i="15"/>
  <c r="DA72" i="15"/>
  <c r="CJ81" i="15"/>
  <c r="DJ81" i="15" s="1"/>
  <c r="BT84" i="15"/>
  <c r="CC84" i="15"/>
  <c r="CQ84" i="15"/>
  <c r="CY84" i="15"/>
  <c r="BZ34" i="15"/>
  <c r="AH72" i="15"/>
  <c r="N39" i="15"/>
  <c r="BH5" i="8"/>
  <c r="BF5" i="8"/>
  <c r="BE5" i="8"/>
  <c r="BN5" i="8" a="1"/>
  <c r="BN5" i="8" s="1"/>
  <c r="CV5" i="8"/>
  <c r="CX5" i="8"/>
  <c r="CY5" i="8"/>
  <c r="DM5" i="8"/>
  <c r="DO5" i="8"/>
  <c r="DU5" i="8"/>
  <c r="DP5" i="8"/>
  <c r="DB5" i="8"/>
  <c r="DA5" i="8"/>
  <c r="DQ72" i="15" l="1"/>
  <c r="DW72" i="15" s="1"/>
  <c r="BT88" i="15"/>
  <c r="DQ88" i="15" s="1"/>
  <c r="R51" i="15"/>
  <c r="AX72" i="15"/>
  <c r="BD72" i="15" s="1"/>
  <c r="DJ60" i="15"/>
  <c r="BS66" i="15"/>
  <c r="DA55" i="15" s="1"/>
  <c r="DJ39" i="15"/>
  <c r="N34" i="15"/>
  <c r="BS45" i="15"/>
  <c r="DS60" i="15"/>
  <c r="DS81" i="15"/>
  <c r="V39" i="15"/>
  <c r="V60" i="15"/>
  <c r="CZ5" i="8"/>
  <c r="DQ5" i="8"/>
  <c r="AZ60" i="15" l="1"/>
  <c r="AQ60" i="15"/>
  <c r="AZ39" i="15"/>
  <c r="AQ39" i="15"/>
  <c r="E39" i="15"/>
  <c r="DT5" i="8"/>
  <c r="E51" i="15" l="1"/>
  <c r="I86" i="15" l="1"/>
  <c r="AZ5" i="8"/>
  <c r="CB5" i="8" s="1"/>
  <c r="CC5" i="8" s="1"/>
  <c r="BA5" i="8"/>
  <c r="BM5" i="8"/>
  <c r="AD163" i="5" l="1"/>
  <c r="O163" i="5"/>
  <c r="AD162" i="5"/>
  <c r="O162" i="5"/>
  <c r="K162" i="5"/>
  <c r="AD161" i="5"/>
  <c r="O161" i="5"/>
  <c r="AD160" i="5"/>
  <c r="O160" i="5"/>
  <c r="K160" i="5"/>
  <c r="AD159" i="5"/>
  <c r="O159" i="5"/>
  <c r="AD158" i="5"/>
  <c r="O158" i="5"/>
  <c r="K158" i="5"/>
  <c r="AD157" i="5"/>
  <c r="O157" i="5"/>
  <c r="AD156" i="5"/>
  <c r="O156" i="5"/>
  <c r="AD155" i="5"/>
  <c r="O155" i="5"/>
  <c r="AD154" i="5"/>
  <c r="O154" i="5"/>
  <c r="AD153" i="5"/>
  <c r="O153" i="5"/>
  <c r="AD152" i="5"/>
  <c r="O152" i="5"/>
  <c r="AD151" i="5"/>
  <c r="O151" i="5"/>
  <c r="AD150" i="5"/>
  <c r="O150" i="5"/>
  <c r="K150" i="5"/>
  <c r="AD149" i="5"/>
  <c r="O149" i="5"/>
  <c r="AD148" i="5"/>
  <c r="O148" i="5"/>
  <c r="K148" i="5"/>
  <c r="AD147" i="5"/>
  <c r="O147" i="5"/>
  <c r="AD146" i="5"/>
  <c r="O146" i="5"/>
  <c r="K146" i="5"/>
  <c r="AD145" i="5"/>
  <c r="O145" i="5"/>
  <c r="AD144" i="5"/>
  <c r="O144" i="5"/>
  <c r="AD143" i="5"/>
  <c r="O143" i="5"/>
  <c r="AD142" i="5"/>
  <c r="O142" i="5"/>
  <c r="AD141" i="5"/>
  <c r="O141" i="5"/>
  <c r="AD140" i="5"/>
  <c r="O140" i="5"/>
  <c r="AD139" i="5"/>
  <c r="O139" i="5"/>
  <c r="AD138" i="5"/>
  <c r="O138" i="5"/>
  <c r="AD137" i="5"/>
  <c r="O137" i="5"/>
  <c r="AD136" i="5"/>
  <c r="O136" i="5"/>
  <c r="AD135" i="5"/>
  <c r="O135" i="5"/>
  <c r="AD134" i="5"/>
  <c r="O134" i="5"/>
  <c r="AD133" i="5"/>
  <c r="O133" i="5"/>
  <c r="AD132" i="5"/>
  <c r="O132" i="5"/>
  <c r="AD131" i="5"/>
  <c r="O131" i="5"/>
  <c r="AD130" i="5"/>
  <c r="O130" i="5"/>
  <c r="AD129" i="5"/>
  <c r="O129" i="5"/>
  <c r="AD128" i="5"/>
  <c r="O128" i="5"/>
  <c r="AD127" i="5"/>
  <c r="O127" i="5"/>
  <c r="AD126" i="5"/>
  <c r="O126" i="5"/>
  <c r="K126" i="5"/>
  <c r="AD125" i="5"/>
  <c r="O125" i="5"/>
  <c r="AD124" i="5"/>
  <c r="O124" i="5"/>
  <c r="K124" i="5"/>
  <c r="AD123" i="5"/>
  <c r="O123" i="5"/>
  <c r="AD122" i="5"/>
  <c r="O122" i="5"/>
  <c r="K122" i="5"/>
  <c r="AD121" i="5"/>
  <c r="O121" i="5"/>
  <c r="AD120" i="5"/>
  <c r="O120" i="5"/>
  <c r="K120" i="5"/>
  <c r="AD119" i="5"/>
  <c r="O119" i="5"/>
  <c r="AD118" i="5"/>
  <c r="O118" i="5"/>
  <c r="K118" i="5"/>
  <c r="AD117" i="5"/>
  <c r="O117" i="5"/>
  <c r="AD116" i="5"/>
  <c r="O116" i="5"/>
  <c r="AD115" i="5"/>
  <c r="O115" i="5"/>
  <c r="AD114" i="5"/>
  <c r="O114" i="5"/>
  <c r="K114" i="5"/>
  <c r="AD113" i="5"/>
  <c r="O113" i="5"/>
  <c r="AD112" i="5"/>
  <c r="O112" i="5"/>
  <c r="K112" i="5"/>
  <c r="AD111" i="5"/>
  <c r="O111" i="5"/>
  <c r="AD110" i="5"/>
  <c r="O110" i="5"/>
  <c r="K110" i="5"/>
  <c r="AD109" i="5"/>
  <c r="O109" i="5"/>
  <c r="K109" i="5"/>
  <c r="AD108" i="5"/>
  <c r="O108" i="5"/>
  <c r="K108" i="5"/>
  <c r="AD107" i="5"/>
  <c r="O107" i="5"/>
  <c r="K107" i="5"/>
  <c r="AD106" i="5"/>
  <c r="O106" i="5"/>
  <c r="K106" i="5"/>
  <c r="AD105" i="5"/>
  <c r="O105" i="5"/>
  <c r="K105" i="5"/>
  <c r="AD104" i="5"/>
  <c r="O104" i="5"/>
  <c r="K104" i="5"/>
  <c r="AD103" i="5"/>
  <c r="O103" i="5"/>
  <c r="K103" i="5"/>
  <c r="AD102" i="5"/>
  <c r="O102" i="5"/>
  <c r="K102" i="5"/>
  <c r="AD101" i="5"/>
  <c r="O101" i="5"/>
  <c r="K101" i="5"/>
  <c r="AD100" i="5"/>
  <c r="O100" i="5"/>
  <c r="K100" i="5"/>
  <c r="AD99" i="5"/>
  <c r="O99" i="5"/>
  <c r="AD98" i="5"/>
  <c r="O98" i="5"/>
  <c r="AD97" i="5"/>
  <c r="O97" i="5"/>
  <c r="K97" i="5"/>
  <c r="AD96" i="5"/>
  <c r="O96" i="5"/>
  <c r="K96" i="5"/>
  <c r="AD95" i="5"/>
  <c r="O95" i="5"/>
  <c r="K95" i="5"/>
  <c r="AD94" i="5"/>
  <c r="O94" i="5"/>
  <c r="K94" i="5"/>
  <c r="AD93" i="5"/>
  <c r="O93" i="5"/>
  <c r="K93" i="5"/>
  <c r="AD92" i="5"/>
  <c r="O92" i="5"/>
  <c r="K92" i="5"/>
  <c r="AD91" i="5"/>
  <c r="O91" i="5"/>
  <c r="K91" i="5"/>
  <c r="AD90" i="5"/>
  <c r="O90" i="5"/>
  <c r="K90" i="5"/>
  <c r="AD89" i="5"/>
  <c r="O89" i="5"/>
  <c r="K89" i="5"/>
  <c r="AD88" i="5"/>
  <c r="O88" i="5"/>
  <c r="K88" i="5"/>
  <c r="AD87" i="5"/>
  <c r="O87" i="5"/>
  <c r="K87" i="5"/>
  <c r="AD86" i="5"/>
  <c r="O86" i="5"/>
  <c r="K86" i="5"/>
  <c r="AD85" i="5"/>
  <c r="O85" i="5"/>
  <c r="K85" i="5"/>
  <c r="AD84" i="5"/>
  <c r="O84" i="5"/>
  <c r="K84" i="5"/>
  <c r="AD83" i="5"/>
  <c r="O83" i="5"/>
  <c r="K83" i="5"/>
  <c r="AD82" i="5"/>
  <c r="O82" i="5"/>
  <c r="K82" i="5"/>
  <c r="AD81" i="5"/>
  <c r="O81" i="5"/>
  <c r="AD80" i="5"/>
  <c r="O80" i="5"/>
  <c r="AD79" i="5"/>
  <c r="O79" i="5"/>
  <c r="K79" i="5"/>
  <c r="AD78" i="5"/>
  <c r="O78" i="5"/>
  <c r="K78" i="5"/>
  <c r="AD77" i="5"/>
  <c r="O77" i="5"/>
  <c r="K77" i="5"/>
  <c r="AD76" i="5"/>
  <c r="O76" i="5"/>
  <c r="K76" i="5"/>
  <c r="AD75" i="5"/>
  <c r="O75" i="5"/>
  <c r="K75" i="5"/>
  <c r="AD74" i="5"/>
  <c r="O74" i="5"/>
  <c r="K74" i="5"/>
  <c r="AD73" i="5"/>
  <c r="O73" i="5"/>
  <c r="K73" i="5"/>
  <c r="AD72" i="5"/>
  <c r="O72" i="5"/>
  <c r="K72" i="5"/>
  <c r="AD71" i="5"/>
  <c r="O71" i="5"/>
  <c r="K71" i="5"/>
  <c r="AD70" i="5"/>
  <c r="O70" i="5"/>
  <c r="K70" i="5"/>
  <c r="AD69" i="5"/>
  <c r="O69" i="5"/>
  <c r="K69" i="5"/>
  <c r="AD68" i="5"/>
  <c r="O68" i="5"/>
  <c r="K68" i="5"/>
  <c r="AD67" i="5"/>
  <c r="O67" i="5"/>
  <c r="K67" i="5"/>
  <c r="AD66" i="5"/>
  <c r="O66" i="5"/>
  <c r="K66" i="5"/>
  <c r="AD65" i="5"/>
  <c r="O65" i="5"/>
  <c r="K65" i="5"/>
  <c r="AD64" i="5"/>
  <c r="O64" i="5"/>
  <c r="K64" i="5"/>
  <c r="AD63" i="5"/>
  <c r="O63" i="5"/>
  <c r="AD62" i="5"/>
  <c r="O62" i="5"/>
  <c r="AD61" i="5"/>
  <c r="O61" i="5"/>
  <c r="K61" i="5"/>
  <c r="AD60" i="5"/>
  <c r="O60" i="5"/>
  <c r="K60" i="5"/>
  <c r="AD59" i="5"/>
  <c r="O59" i="5"/>
  <c r="K59" i="5"/>
  <c r="AD58" i="5"/>
  <c r="O58" i="5"/>
  <c r="K58" i="5"/>
  <c r="AD57" i="5"/>
  <c r="O57" i="5"/>
  <c r="K57" i="5"/>
  <c r="AD56" i="5"/>
  <c r="O56" i="5"/>
  <c r="K56" i="5"/>
  <c r="AD55" i="5"/>
  <c r="O55" i="5"/>
  <c r="K55" i="5"/>
  <c r="AD54" i="5"/>
  <c r="O54" i="5"/>
  <c r="K54" i="5"/>
  <c r="AD53" i="5"/>
  <c r="O53" i="5"/>
  <c r="K53" i="5"/>
  <c r="AD52" i="5"/>
  <c r="O52" i="5"/>
  <c r="K52" i="5"/>
  <c r="AD51" i="5"/>
  <c r="O51" i="5"/>
  <c r="K51" i="5"/>
  <c r="AD50" i="5"/>
  <c r="O50" i="5"/>
  <c r="K50" i="5"/>
  <c r="AD49" i="5"/>
  <c r="O49" i="5"/>
  <c r="K49" i="5"/>
  <c r="AD48" i="5"/>
  <c r="O48" i="5"/>
  <c r="K48" i="5"/>
  <c r="AD47" i="5"/>
  <c r="O47" i="5"/>
  <c r="K47" i="5"/>
  <c r="AD46" i="5"/>
  <c r="O46" i="5"/>
  <c r="K46" i="5"/>
  <c r="AD45" i="5"/>
  <c r="O45" i="5"/>
  <c r="AD44" i="5"/>
  <c r="O44" i="5"/>
  <c r="AD43" i="5"/>
  <c r="O43" i="5"/>
  <c r="K43" i="5"/>
  <c r="AD42" i="5"/>
  <c r="O42" i="5"/>
  <c r="K42" i="5"/>
  <c r="AD41" i="5"/>
  <c r="O41" i="5"/>
  <c r="K41" i="5"/>
  <c r="AD40" i="5"/>
  <c r="O40" i="5"/>
  <c r="K40" i="5"/>
  <c r="AD39" i="5"/>
  <c r="O39" i="5"/>
  <c r="K39" i="5"/>
  <c r="AD38" i="5"/>
  <c r="O38" i="5"/>
  <c r="K38" i="5"/>
  <c r="AD37" i="5"/>
  <c r="O37" i="5"/>
  <c r="K37" i="5"/>
  <c r="AD36" i="5"/>
  <c r="O36" i="5"/>
  <c r="K36" i="5"/>
  <c r="AD35" i="5"/>
  <c r="O35" i="5"/>
  <c r="K35" i="5"/>
  <c r="AD34" i="5"/>
  <c r="O34" i="5"/>
  <c r="K34" i="5"/>
  <c r="AD33" i="5"/>
  <c r="O33" i="5"/>
  <c r="K33" i="5"/>
  <c r="AD32" i="5"/>
  <c r="O32" i="5"/>
  <c r="K32" i="5"/>
  <c r="AD31" i="5"/>
  <c r="O31" i="5"/>
  <c r="K31" i="5"/>
  <c r="AD30" i="5"/>
  <c r="O30" i="5"/>
  <c r="K30" i="5"/>
  <c r="AD29" i="5"/>
  <c r="O29" i="5"/>
  <c r="K29" i="5"/>
  <c r="AD28" i="5"/>
  <c r="O28" i="5"/>
  <c r="K28" i="5"/>
  <c r="AD27" i="5"/>
  <c r="O27" i="5"/>
  <c r="AD26" i="5"/>
  <c r="O26" i="5"/>
  <c r="AD25" i="5"/>
  <c r="O25" i="5"/>
  <c r="K25" i="5"/>
  <c r="AD24" i="5"/>
  <c r="O24" i="5"/>
  <c r="K24" i="5"/>
  <c r="AD23" i="5"/>
  <c r="O23" i="5"/>
  <c r="K23" i="5"/>
  <c r="AD22" i="5"/>
  <c r="O22" i="5"/>
  <c r="K22" i="5"/>
  <c r="AD21" i="5"/>
  <c r="O21" i="5"/>
  <c r="K21" i="5"/>
  <c r="AD20" i="5"/>
  <c r="O20" i="5"/>
  <c r="K20" i="5"/>
  <c r="AD19" i="5"/>
  <c r="O19" i="5"/>
  <c r="K19" i="5"/>
  <c r="AD18" i="5"/>
  <c r="O18" i="5"/>
  <c r="K18" i="5"/>
  <c r="AD17" i="5"/>
  <c r="O17" i="5"/>
  <c r="K17" i="5"/>
  <c r="AD16" i="5"/>
  <c r="O16" i="5"/>
  <c r="K16" i="5"/>
  <c r="AD15" i="5"/>
  <c r="O15" i="5"/>
  <c r="K15" i="5"/>
  <c r="AD14" i="5"/>
  <c r="O14" i="5"/>
  <c r="K14" i="5"/>
  <c r="AD13" i="5"/>
  <c r="O13" i="5"/>
  <c r="K13" i="5"/>
  <c r="AD12" i="5"/>
  <c r="O12" i="5"/>
  <c r="K12" i="5"/>
  <c r="AD11" i="5"/>
  <c r="O11" i="5"/>
  <c r="K11" i="5"/>
  <c r="AD10" i="5"/>
  <c r="O10" i="5"/>
  <c r="K10" i="5"/>
  <c r="AD9" i="5"/>
  <c r="O9" i="5"/>
  <c r="AD8" i="5"/>
  <c r="O8" i="5"/>
  <c r="AD7" i="5"/>
  <c r="O7" i="5"/>
  <c r="K7" i="5"/>
  <c r="AD6" i="5"/>
  <c r="O6" i="5"/>
  <c r="K6" i="5"/>
  <c r="AD5" i="5"/>
  <c r="O5" i="5"/>
  <c r="K5" i="5"/>
  <c r="AD4" i="5"/>
  <c r="O4" i="5"/>
  <c r="K4" i="5"/>
  <c r="AD3" i="5"/>
  <c r="O3" i="5"/>
  <c r="K3" i="5"/>
  <c r="AD2" i="5"/>
  <c r="O2" i="5"/>
  <c r="K2" i="5"/>
  <c r="AZ76" i="15" l="1"/>
  <c r="DE5" i="8"/>
  <c r="DL5" i="8"/>
  <c r="DF5" i="8"/>
  <c r="AQ55" i="15"/>
  <c r="DQ51" i="15" a="1"/>
  <c r="DQ51" i="15" s="1"/>
  <c r="DW51" i="15" a="1"/>
  <c r="DW51" i="15" s="1"/>
  <c r="DO66" i="15" s="1"/>
  <c r="DJ55" i="15"/>
  <c r="DS55" i="15"/>
  <c r="DD5" i="8"/>
  <c r="DG5" i="8"/>
  <c r="DS76" i="15"/>
  <c r="DV5" i="8"/>
  <c r="DJ76" i="15"/>
  <c r="DA76" i="15"/>
  <c r="DX5" i="8"/>
  <c r="DW5" i="8"/>
  <c r="AH76" i="15"/>
  <c r="DH5" i="8"/>
  <c r="CJ76" i="15" l="1"/>
  <c r="BR76" i="15" s="1"/>
  <c r="AQ76" i="15"/>
  <c r="N60" i="15"/>
  <c r="E60" i="15" s="1"/>
  <c r="N81" i="15"/>
  <c r="E81" i="15" s="1"/>
  <c r="AH81" i="15" s="1"/>
  <c r="CJ55" i="15"/>
  <c r="BR55" i="15" s="1"/>
  <c r="EA5" i="8"/>
  <c r="BD51" i="15"/>
  <c r="AX51" i="15"/>
  <c r="EB5" i="8"/>
  <c r="DK5" i="8"/>
  <c r="V76" i="15"/>
  <c r="AZ55" i="15"/>
  <c r="AH55" i="15"/>
  <c r="DC5" i="8"/>
  <c r="N76" i="15"/>
  <c r="DJ5" i="8"/>
  <c r="EF5" i="8" a="1"/>
  <c r="EF5" i="8" s="1"/>
  <c r="ED5" i="8" a="1"/>
  <c r="ED5" i="8" s="1"/>
  <c r="DZ5" i="8"/>
  <c r="EE5" i="8" a="1"/>
  <c r="EE5" i="8" s="1"/>
  <c r="EC5" i="8"/>
  <c r="H64" i="15" l="1"/>
  <c r="DI5" i="8"/>
  <c r="DY5" i="8"/>
  <c r="E76" i="15"/>
  <c r="V55" i="15"/>
  <c r="N55" i="15"/>
  <c r="AH60" i="15"/>
  <c r="E55" i="15"/>
  <c r="AZ34" i="15" l="1"/>
  <c r="BQ5" i="8" a="1"/>
  <c r="BQ5" i="8" s="1"/>
  <c r="CJ5" i="8" s="1"/>
  <c r="BR5" i="8" l="1"/>
  <c r="BZ5" i="8" l="1"/>
  <c r="BW5" i="8"/>
  <c r="BV5" i="8"/>
  <c r="BS5" i="8"/>
  <c r="BY5" i="8"/>
  <c r="BX5" i="8"/>
  <c r="CD5" i="8" l="1"/>
  <c r="BD5" i="8" l="1"/>
  <c r="BJ5" i="8" s="1"/>
  <c r="BU5" i="8" s="1"/>
  <c r="CI5" i="8"/>
  <c r="CK5" i="8" s="1" a="1"/>
  <c r="CK5" i="8" s="1"/>
  <c r="BB5" i="8"/>
  <c r="CA5" i="8" l="1"/>
  <c r="CL5" i="8"/>
  <c r="CU5" i="8"/>
  <c r="CT5" i="8"/>
  <c r="CS5" i="8"/>
  <c r="CR5" i="8" l="1"/>
  <c r="CQ5" i="8"/>
  <c r="CP5" i="8"/>
  <c r="CO5" i="8"/>
  <c r="CN5" i="8"/>
  <c r="V34" i="15" l="1"/>
  <c r="E34" i="15" s="1"/>
  <c r="CZ30" i="15" l="1" a="1"/>
  <c r="CZ30" i="15" s="1"/>
  <c r="DE30" i="15" a="1"/>
  <c r="DE30" i="15" s="1"/>
  <c r="DJ30" i="15"/>
  <c r="DQ30" i="15"/>
  <c r="DV30" i="15"/>
  <c r="CZ45" i="15" l="1"/>
  <c r="DE45" i="15" s="1"/>
  <c r="DA45" i="15" l="1"/>
  <c r="DB45" i="15" l="1"/>
  <c r="DF45" i="15"/>
  <c r="DG45" i="15" s="1"/>
  <c r="DD45" i="15" l="1" a="1"/>
  <c r="DD45" i="15" s="1"/>
  <c r="DC45" i="15"/>
  <c r="DJ34" i="15"/>
  <c r="CJ34" i="15" s="1"/>
  <c r="CW45" i="15" l="1"/>
  <c r="DT42" i="15" s="1"/>
  <c r="BR34" i="15"/>
  <c r="BD30" i="15" l="1"/>
  <c r="AM30" i="15"/>
  <c r="AH30" i="15"/>
  <c r="AR30" i="15"/>
  <c r="AY30" i="15" l="1"/>
  <c r="F42" i="1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<sst xmlns="http://schemas.openxmlformats.org/spreadsheetml/2006/main" count="3517" uniqueCount="479">
  <si>
    <t>StateFULL</t>
  </si>
  <si>
    <t>StateAbreviation</t>
  </si>
  <si>
    <t>NJD/JD</t>
  </si>
  <si>
    <t>AHL_AvailableStates</t>
  </si>
  <si>
    <t>AHL_LicenseRequiredBusinessPurposeStates</t>
  </si>
  <si>
    <t>Alabama</t>
  </si>
  <si>
    <t>AL</t>
  </si>
  <si>
    <t>NJD</t>
  </si>
  <si>
    <t>Alaska</t>
  </si>
  <si>
    <t>AK</t>
  </si>
  <si>
    <t>Arizona</t>
  </si>
  <si>
    <t>AZ</t>
  </si>
  <si>
    <t>Arkansas</t>
  </si>
  <si>
    <t>AR</t>
  </si>
  <si>
    <t>California</t>
  </si>
  <si>
    <t>CA</t>
  </si>
  <si>
    <t>Colorado</t>
  </si>
  <si>
    <t>CO</t>
  </si>
  <si>
    <t>Connecticut</t>
  </si>
  <si>
    <t>CT</t>
  </si>
  <si>
    <t>JD</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</si>
  <si>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</si>
  <si>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</si>
  <si>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</si>
  <si>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</si>
  <si>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</si>
  <si>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</si>
  <si>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</si>
  <si>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</si>
  <si>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</si>
  <si>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</si>
  <si>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</si>
  <si>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</si>
  <si>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</si>
  <si>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</si>
  <si>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</si>
  <si>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</si>
  <si>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</si>
  <si>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</si>
  <si>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</si>
  <si>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</si>
  <si>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</si>
  <si>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</si>
  <si>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</si>
  <si>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</si>
  <si>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</si>
  <si>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</si>
  <si>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</si>
  <si>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</si>
  <si>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</si>
  <si>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</si>
  <si>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</si>
  <si>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</si>
  <si>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</si>
  <si>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</si>
  <si>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</si>
  <si>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</si>
  <si>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</si>
  <si>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</si>
  <si>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</si>
  <si>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</si>
  <si>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</si>
  <si>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</si>
  <si>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</si>
  <si>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</si>
  <si>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</si>
  <si>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</si>
  <si>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</si>
  <si>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</si>
  <si>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</si>
  <si>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</si>
  <si>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</si>
  <si>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</si>
  <si>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</si>
  <si>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</si>
  <si>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</si>
  <si>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</si>
  <si>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</si>
  <si>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</si>
  <si>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</si>
  <si>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</si>
  <si>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</si>
  <si>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</si>
  <si>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</si>
  <si>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</si>
  <si>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</si>
  <si>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</si>
  <si>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</si>
  <si>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</si>
  <si>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</si>
  <si>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</si>
  <si>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</si>
  <si>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</si>
  <si>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</si>
  <si>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</si>
  <si>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</si>
  <si>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</si>
  <si>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</si>
  <si>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</si>
  <si>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</si>
  <si>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</si>
  <si>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</si>
  <si>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</si>
  <si>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</si>
  <si>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</si>
  <si>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</si>
  <si>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</si>
  <si>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*Copy and Paste HubSpot Application Export into the data table below (Cell A5). Only paste the column values, not the column names. Once data has been pasted into the table below, navigate to the "Data" header, and click on "Refresh All" to reflect changes in "Summary Table" sheet.</t>
  </si>
  <si>
    <t>Record ID</t>
  </si>
  <si>
    <t>Property Address</t>
  </si>
  <si>
    <t>Property City</t>
  </si>
  <si>
    <t>Property State</t>
  </si>
  <si>
    <t>Property Zip</t>
  </si>
  <si>
    <t>County</t>
  </si>
  <si>
    <t>Acquisition Date</t>
  </si>
  <si>
    <t>First Name</t>
  </si>
  <si>
    <t>Last Name</t>
  </si>
  <si>
    <t>Borrowing Entity</t>
  </si>
  <si>
    <t>Email</t>
  </si>
  <si>
    <t>Phone Number</t>
  </si>
  <si>
    <t>Current Address</t>
  </si>
  <si>
    <t>Current City</t>
  </si>
  <si>
    <t>Current State</t>
  </si>
  <si>
    <t>Current Zip Code</t>
  </si>
  <si>
    <t>Us Citizen?</t>
  </si>
  <si>
    <t>Fico</t>
  </si>
  <si>
    <t>Primary Residence</t>
  </si>
  <si>
    <t>Borrower Experience - Number of Projects</t>
  </si>
  <si>
    <t>Number Of Rental Properties You Own</t>
  </si>
  <si>
    <t>Cash Reserves</t>
  </si>
  <si>
    <t>Retirement Accounts</t>
  </si>
  <si>
    <t>Broker First Name</t>
  </si>
  <si>
    <t>Broker Last Name</t>
  </si>
  <si>
    <t>Broker Email Address</t>
  </si>
  <si>
    <t>Broker Phone Number</t>
  </si>
  <si>
    <t>Product Type</t>
  </si>
  <si>
    <t>SM Loan Type</t>
  </si>
  <si>
    <t>SM Property Type</t>
  </si>
  <si>
    <t>Number of Units</t>
  </si>
  <si>
    <t>Target Close Date</t>
  </si>
  <si>
    <t>Exit Strategy</t>
  </si>
  <si>
    <t>Existing Loan Amount</t>
  </si>
  <si>
    <t>Requested Loan Amount</t>
  </si>
  <si>
    <t>Purchase Price</t>
  </si>
  <si>
    <t>Cost of Improvement To Date</t>
  </si>
  <si>
    <t>Improvement Budget</t>
  </si>
  <si>
    <t>AIV</t>
  </si>
  <si>
    <t>ARV</t>
  </si>
  <si>
    <t>Pre-Rehab Sq. Ft.</t>
  </si>
  <si>
    <t>Post-Rehab Sq. Ft.</t>
  </si>
  <si>
    <t>Property Pictures</t>
  </si>
  <si>
    <t>Construction Budget Document</t>
  </si>
  <si>
    <t>Purchase Contract Upload</t>
  </si>
  <si>
    <t>Object Create Date/Time</t>
  </si>
  <si>
    <t>Heyflow Form</t>
  </si>
  <si>
    <t>Transferred From</t>
  </si>
  <si>
    <t>Contact Name</t>
  </si>
  <si>
    <t>Contact Email</t>
  </si>
  <si>
    <t>Calculated AIV</t>
  </si>
  <si>
    <t>AHL - California Check Max Loan Amount</t>
  </si>
  <si>
    <t>AHL - MAX Renovation Budget</t>
  </si>
  <si>
    <t>AHL - MIN Loan Amount Check</t>
  </si>
  <si>
    <t>AHL - Eligible borrowers</t>
  </si>
  <si>
    <t>AHL - Reserves</t>
  </si>
  <si>
    <t>AHL - Property Type Check</t>
  </si>
  <si>
    <t>AHL - Minimum sqft</t>
  </si>
  <si>
    <t>AHL - Minimum FICO</t>
  </si>
  <si>
    <t>AHL - State Availablility</t>
  </si>
  <si>
    <t>AHL - License Required Business Purpose States</t>
  </si>
  <si>
    <t>AHL - Available Check</t>
  </si>
  <si>
    <t>AHL - NJD/JD</t>
  </si>
  <si>
    <t>AHL - Franchise Type</t>
  </si>
  <si>
    <t>AHL - Funding Type</t>
  </si>
  <si>
    <t>AHL - Experience Category</t>
  </si>
  <si>
    <t>AHL - FICO Category</t>
  </si>
  <si>
    <t>AHL - LTC Estimate</t>
  </si>
  <si>
    <t>AHL - LTC Category</t>
  </si>
  <si>
    <t>AHL - Match Key</t>
  </si>
  <si>
    <t>AHL - LTC</t>
  </si>
  <si>
    <t>AHL - ARLTV</t>
  </si>
  <si>
    <t>AHL - ARLTV Pivot Display</t>
  </si>
  <si>
    <t>AHL - Rate</t>
  </si>
  <si>
    <t>AHL - Points</t>
  </si>
  <si>
    <t>AHL - Exit Fee</t>
  </si>
  <si>
    <t>AHL - Exit Fee Only</t>
  </si>
  <si>
    <t>AHL - 0 Point Rate</t>
  </si>
  <si>
    <t>AHL - Financed Budget</t>
  </si>
  <si>
    <t>AHL - Loan Amount (ARLTV calc)</t>
  </si>
  <si>
    <t>AHL - Loan Amount Decider</t>
  </si>
  <si>
    <t>AHL - MAX Loan Amount</t>
  </si>
  <si>
    <t>Exception Check 1</t>
  </si>
  <si>
    <t>Exception Reserve Check</t>
  </si>
  <si>
    <t>Exception LTC %</t>
  </si>
  <si>
    <t>Exception LTC Amount</t>
  </si>
  <si>
    <t>AHL - LA w/ Exception</t>
  </si>
  <si>
    <t>AHL - Max LTC</t>
  </si>
  <si>
    <t>AHL - RE LTC Category</t>
  </si>
  <si>
    <t>Re Match Key</t>
  </si>
  <si>
    <t>Column1</t>
  </si>
  <si>
    <t>AHL - Rate2</t>
  </si>
  <si>
    <t>AHL - Points3</t>
  </si>
  <si>
    <t>AHL - Exit Fee4</t>
  </si>
  <si>
    <t>AHL - Exit Fee Only5</t>
  </si>
  <si>
    <t>AHL - 0 Point Rate6</t>
  </si>
  <si>
    <t>AHL - Est. LTAIV</t>
  </si>
  <si>
    <t>AHL - Est. LTARV</t>
  </si>
  <si>
    <t>AHL - Est. LTC</t>
  </si>
  <si>
    <t>Churchill - Experience Level</t>
  </si>
  <si>
    <t>Churchill - Project Type</t>
  </si>
  <si>
    <t>Churchill - Credit Score</t>
  </si>
  <si>
    <t>Churchill - Number of Units2</t>
  </si>
  <si>
    <t>Churchill - Match Key</t>
  </si>
  <si>
    <t>Churchill - propertyType_check</t>
  </si>
  <si>
    <t>Churchill - msa_check</t>
  </si>
  <si>
    <t>Churchill - Eligibility_TF</t>
  </si>
  <si>
    <t>Churchill - Max LTAIV</t>
  </si>
  <si>
    <t>Churchill - Max LTC</t>
  </si>
  <si>
    <t>Churchill - Max LTARV</t>
  </si>
  <si>
    <t>Churchill - Base Rate</t>
  </si>
  <si>
    <t>Churchill - Adj Rate</t>
  </si>
  <si>
    <t>Churchill - Max Day 1</t>
  </si>
  <si>
    <t>Churchill - Financed Budget</t>
  </si>
  <si>
    <t>Churchill - Max Loan Amount</t>
  </si>
  <si>
    <t>Churchill - Max Cash Out</t>
  </si>
  <si>
    <t>Constructive -  Experience Level</t>
  </si>
  <si>
    <t>Constructive -  Project Type</t>
  </si>
  <si>
    <t>Constructive -  Dwelling Type</t>
  </si>
  <si>
    <t>Constructive -  Credit Score</t>
  </si>
  <si>
    <t>Constructive -  Match Key</t>
  </si>
  <si>
    <t>Constructive -  MinValuePerUnit_check</t>
  </si>
  <si>
    <t>Constructive -  state_check</t>
  </si>
  <si>
    <t>Constructive -  Eligible_TF</t>
  </si>
  <si>
    <t>Constructive -  Foreign_check</t>
  </si>
  <si>
    <t>Constructive -  Max LTV</t>
  </si>
  <si>
    <t>Constructive -  Max Total LTC</t>
  </si>
  <si>
    <t>Constructive -  Max LTARV</t>
  </si>
  <si>
    <t>Constructive -  Max Day 1</t>
  </si>
  <si>
    <t>Constructive -  Financed Budget</t>
  </si>
  <si>
    <t>Constructive -  Max Loan Amount</t>
  </si>
  <si>
    <t>Constructive -  Est Loan Amount</t>
  </si>
  <si>
    <t>Constructive - Lender Fee</t>
  </si>
  <si>
    <t>Constructive - 0 Point Rate</t>
  </si>
  <si>
    <t>Constructive - 0.5 Point Rate</t>
  </si>
  <si>
    <t>Constructive - 1 Point Rate</t>
  </si>
  <si>
    <t>1189 South Park Lane, Tempe, AZ 85281</t>
  </si>
  <si>
    <t>Maricopa</t>
  </si>
  <si>
    <t>danielhaycraft@outlook.com</t>
  </si>
  <si>
    <t>U.S. Permanent Resident</t>
  </si>
  <si>
    <t>Fix and Flip (Rehab)</t>
  </si>
  <si>
    <t>Cash Out Refinance</t>
  </si>
  <si>
    <t>Single Family</t>
  </si>
  <si>
    <t>Purchase</t>
  </si>
  <si>
    <t>1189 South Park Lane, Irving, TX 75060</t>
  </si>
  <si>
    <t>U.S. Citizen</t>
  </si>
  <si>
    <t>daniel.haycraft@capitalfund1.com</t>
  </si>
  <si>
    <t>Bridge (No Rehab)</t>
  </si>
  <si>
    <t>Rate and Term Refinance</t>
  </si>
  <si>
    <t>Duplex</t>
  </si>
  <si>
    <t>1289 South Paris Street, Ennis, TX 75119</t>
  </si>
  <si>
    <t>Non-Warrantable Condo</t>
  </si>
  <si>
    <t>Experience Level</t>
  </si>
  <si>
    <t>Project Type</t>
  </si>
  <si>
    <t>Loan Type</t>
  </si>
  <si>
    <t>FICO</t>
  </si>
  <si>
    <t>Max LTAIV</t>
  </si>
  <si>
    <t>Max LTC</t>
  </si>
  <si>
    <t>Max LTARV</t>
  </si>
  <si>
    <t>Base Rate</t>
  </si>
  <si>
    <t>Loan Level Adj</t>
  </si>
  <si>
    <t>Adj Rate</t>
  </si>
  <si>
    <t>Min Loan Amount</t>
  </si>
  <si>
    <t>Max Loan Amount</t>
  </si>
  <si>
    <t>Max Cash Out</t>
  </si>
  <si>
    <t>Match Key</t>
  </si>
  <si>
    <t>Borrower Experience</t>
  </si>
  <si>
    <t>Dwelling Type</t>
  </si>
  <si>
    <t>Max Initial LTC</t>
  </si>
  <si>
    <t>Max Total LTC</t>
  </si>
  <si>
    <t>Min As-Is Value per Unit (2-4)</t>
  </si>
  <si>
    <t>Min After Repair Value per Unit (2-4)</t>
  </si>
  <si>
    <t>Franchise Type</t>
  </si>
  <si>
    <t>Funding Type</t>
  </si>
  <si>
    <t>Experience</t>
  </si>
  <si>
    <t>LTC</t>
  </si>
  <si>
    <t>ARLTV-NJD</t>
  </si>
  <si>
    <t>ARLTV-JD</t>
  </si>
  <si>
    <t>Rate</t>
  </si>
  <si>
    <t>Points</t>
  </si>
  <si>
    <t>Exit Fee</t>
  </si>
  <si>
    <t>Exit Fee Only</t>
  </si>
  <si>
    <t>0 Point Rate</t>
  </si>
  <si>
    <t>Max Renovation Budget</t>
  </si>
  <si>
    <t>Default Rate</t>
  </si>
  <si>
    <t>Max Cashout</t>
  </si>
  <si>
    <t>UW Fee</t>
  </si>
  <si>
    <t>Processing Fee</t>
  </si>
  <si>
    <t>Desk Review Fee</t>
  </si>
  <si>
    <t>Texas Legal Doc Review (If applicable)</t>
  </si>
  <si>
    <t>Entity Review (If applicable)</t>
  </si>
  <si>
    <t>Institutional (10+) ($10m)</t>
  </si>
  <si>
    <t>Fix and Flip (Light Rehab)</t>
  </si>
  <si>
    <t>660 - 679</t>
  </si>
  <si>
    <t>&lt;=4 Units</t>
  </si>
  <si>
    <t>N/A</t>
  </si>
  <si>
    <t>Platinum (5+)</t>
  </si>
  <si>
    <t>680-739</t>
  </si>
  <si>
    <t>No Franchise</t>
  </si>
  <si>
    <t>Lender Funded</t>
  </si>
  <si>
    <t>&gt;= 10 Projects</t>
  </si>
  <si>
    <t>660+</t>
  </si>
  <si>
    <t>5-19 Units</t>
  </si>
  <si>
    <t>740+</t>
  </si>
  <si>
    <t>640-659</t>
  </si>
  <si>
    <t>680 - 699</t>
  </si>
  <si>
    <t>620-639</t>
  </si>
  <si>
    <t>&gt;=700</t>
  </si>
  <si>
    <t>Other (2-4 unit)</t>
  </si>
  <si>
    <t>6-9 Projects</t>
  </si>
  <si>
    <t>Fix and Flip (Heavy Rehab)</t>
  </si>
  <si>
    <t>3-5 Projects</t>
  </si>
  <si>
    <t>2 Projects</t>
  </si>
  <si>
    <t>1 Projects</t>
  </si>
  <si>
    <t>$75,000 or GC</t>
  </si>
  <si>
    <t>0 Projects</t>
  </si>
  <si>
    <t>700+</t>
  </si>
  <si>
    <t>660-699</t>
  </si>
  <si>
    <t>Experienced (3-9) ($5m)</t>
  </si>
  <si>
    <t>Gold (3-4)</t>
  </si>
  <si>
    <t>No Experience (0-2) ($0m)</t>
  </si>
  <si>
    <t>Silver (1-2)</t>
  </si>
  <si>
    <t>AHL Eligible Borrowers</t>
  </si>
  <si>
    <t>AHL Eligible Vesting</t>
  </si>
  <si>
    <t>AHL Property Type</t>
  </si>
  <si>
    <t>AHL Loan Type</t>
  </si>
  <si>
    <t>Churchill Ineligible</t>
  </si>
  <si>
    <t>Status</t>
  </si>
  <si>
    <t>Output</t>
  </si>
  <si>
    <t>AHL Type</t>
  </si>
  <si>
    <t>HubSpot Type</t>
  </si>
  <si>
    <t>Min sqft</t>
  </si>
  <si>
    <t>Appraisal Categoty</t>
  </si>
  <si>
    <t>Property County</t>
  </si>
  <si>
    <t>PASS</t>
  </si>
  <si>
    <t>SFR 1-4</t>
  </si>
  <si>
    <t>Bronx</t>
  </si>
  <si>
    <t>U.S. Domiciled Entity</t>
  </si>
  <si>
    <t>Townhouse</t>
  </si>
  <si>
    <t>Kings</t>
  </si>
  <si>
    <t>Living Trust</t>
  </si>
  <si>
    <t>Triplex</t>
  </si>
  <si>
    <t>Queens</t>
  </si>
  <si>
    <t>Fourplex</t>
  </si>
  <si>
    <t>Richmond</t>
  </si>
  <si>
    <t>Warrantable Condo</t>
  </si>
  <si>
    <t>Cook</t>
  </si>
  <si>
    <t>DuPage</t>
  </si>
  <si>
    <t>PUD</t>
  </si>
  <si>
    <t>Planned Unit Development</t>
  </si>
  <si>
    <t>Grundy</t>
  </si>
  <si>
    <t>Modular</t>
  </si>
  <si>
    <t>Mobile Home</t>
  </si>
  <si>
    <t>McHenry</t>
  </si>
  <si>
    <t>2 - 4 Unit</t>
  </si>
  <si>
    <t>Will</t>
  </si>
  <si>
    <t>Charlotte</t>
  </si>
  <si>
    <t>Lee</t>
  </si>
  <si>
    <t>Sarasota</t>
  </si>
  <si>
    <t>AHL</t>
  </si>
  <si>
    <t>Churchill</t>
  </si>
  <si>
    <t>Constructive</t>
  </si>
  <si>
    <t>HubSpot Record ID</t>
  </si>
  <si>
    <t>Property 
Address</t>
  </si>
  <si>
    <t>AHL 
Max Day 1</t>
  </si>
  <si>
    <t xml:space="preserve">AHL 
Financed Budget </t>
  </si>
  <si>
    <t>AHL 
Max Loan Amount</t>
  </si>
  <si>
    <t>AHL 
Max LTC</t>
  </si>
  <si>
    <t>AHL 
ARLTV</t>
  </si>
  <si>
    <t>AHL 
Points</t>
  </si>
  <si>
    <t>AHL 
Exit Fee</t>
  </si>
  <si>
    <t>AHL 
Exit Fee Only</t>
  </si>
  <si>
    <t>AHL 
Rate</t>
  </si>
  <si>
    <t>AHL 
0 Point Rate</t>
  </si>
  <si>
    <t xml:space="preserve"> </t>
  </si>
  <si>
    <t xml:space="preserve">Churchill
Max Day 1 </t>
  </si>
  <si>
    <t xml:space="preserve">Churchill
Financed Budget </t>
  </si>
  <si>
    <t xml:space="preserve">Churchill
Max Loan Amount </t>
  </si>
  <si>
    <t>Churchill
Max LTV</t>
  </si>
  <si>
    <t xml:space="preserve">Churchill
Max LTC </t>
  </si>
  <si>
    <t xml:space="preserve">Churchill
Max LTARV </t>
  </si>
  <si>
    <t xml:space="preserve">Churchill
Final Rate </t>
  </si>
  <si>
    <t xml:space="preserve">  </t>
  </si>
  <si>
    <t xml:space="preserve">Constructive
Max Day 1 </t>
  </si>
  <si>
    <t xml:space="preserve">Constructive
Financed Budget </t>
  </si>
  <si>
    <t>Constructive
Max Total Loan</t>
  </si>
  <si>
    <t xml:space="preserve">Constructive
Max LTV </t>
  </si>
  <si>
    <t xml:space="preserve">Constructive
Max LTC </t>
  </si>
  <si>
    <t xml:space="preserve">Constructive
Max LTARV </t>
  </si>
  <si>
    <t xml:space="preserve">Constructive
Lender Fee </t>
  </si>
  <si>
    <t xml:space="preserve">Constructive
0 Point Rate </t>
  </si>
  <si>
    <t xml:space="preserve">Constructive
0.5 Point Rate </t>
  </si>
  <si>
    <t xml:space="preserve">Constructive
1 Point Rate </t>
  </si>
  <si>
    <t>D J</t>
  </si>
  <si>
    <t>FALSE</t>
  </si>
  <si>
    <t>Daniel Haycraft</t>
  </si>
  <si>
    <t>TRUE</t>
  </si>
  <si>
    <t>John G</t>
  </si>
  <si>
    <t>Enter HubSpot Record ID Below</t>
  </si>
  <si>
    <t>Calculator</t>
  </si>
  <si>
    <t>Application Details</t>
  </si>
  <si>
    <t>*Please fill in all information below to proceed</t>
  </si>
  <si>
    <t>Borrower Info</t>
  </si>
  <si>
    <t>Loan Info</t>
  </si>
  <si>
    <t>Property Info</t>
  </si>
  <si>
    <t>Borrower/Entity Name</t>
  </si>
  <si>
    <t>Transaction Type</t>
  </si>
  <si>
    <t>Property Type</t>
  </si>
  <si>
    <t>Previous Experience</t>
  </si>
  <si>
    <t>Rehab Budget</t>
  </si>
  <si>
    <t>Loan Request</t>
  </si>
  <si>
    <t>Est AIV</t>
  </si>
  <si>
    <t>Est ARV</t>
  </si>
  <si>
    <t>Citizenship</t>
  </si>
  <si>
    <t>US Citizen</t>
  </si>
  <si>
    <t>Pre Rehab Sqft</t>
  </si>
  <si>
    <t>Post Rehab Sqft</t>
  </si>
  <si>
    <t>Pricing Estimator</t>
  </si>
  <si>
    <t>Est Tier</t>
  </si>
  <si>
    <t>Max Loan Amounts</t>
  </si>
  <si>
    <t>Max Leverages</t>
  </si>
  <si>
    <t>Max Day 1</t>
  </si>
  <si>
    <t>Financed Budget</t>
  </si>
  <si>
    <t>Max Total Loan</t>
  </si>
  <si>
    <t>LTV</t>
  </si>
  <si>
    <t>LTARV</t>
  </si>
  <si>
    <t>Low FICO impacting LTC</t>
  </si>
  <si>
    <t>Requested Loan Amounts</t>
  </si>
  <si>
    <t>Requested Leverages</t>
  </si>
  <si>
    <t>Calculated based on Requested Loan Amounts</t>
  </si>
  <si>
    <t>Enter Day 1 Loan Amount Below</t>
  </si>
  <si>
    <t>Day 1</t>
  </si>
  <si>
    <t>Loan Request*</t>
  </si>
  <si>
    <t>Day 1*</t>
  </si>
  <si>
    <t>Total Loan</t>
  </si>
  <si>
    <t>Eligible Loan</t>
  </si>
  <si>
    <t>Eligible Borrowers</t>
  </si>
  <si>
    <t>Property Type Check</t>
  </si>
  <si>
    <t>Minimum sqft</t>
  </si>
  <si>
    <t>State Availablility</t>
  </si>
  <si>
    <t>License Req Bus Purp St</t>
  </si>
  <si>
    <t>Available Check</t>
  </si>
  <si>
    <t>Full Check</t>
  </si>
  <si>
    <t>FICO Check</t>
  </si>
  <si>
    <t>Reserve Check</t>
  </si>
  <si>
    <t>Exception Fico and Property</t>
  </si>
  <si>
    <t xml:space="preserve">Exception Reserve </t>
  </si>
  <si>
    <t>Exception LTC</t>
  </si>
  <si>
    <t>Exception Error Check</t>
  </si>
  <si>
    <t>Exception LTC Category</t>
  </si>
  <si>
    <t>LTC Display Decider</t>
  </si>
  <si>
    <t>LTC Display</t>
  </si>
  <si>
    <t>Final Rate</t>
  </si>
  <si>
    <t>Exp Tier</t>
  </si>
  <si>
    <t>Calculated based on Requested Loan Amount</t>
  </si>
  <si>
    <t>Units</t>
  </si>
  <si>
    <t>proptype</t>
  </si>
  <si>
    <t>MSA</t>
  </si>
  <si>
    <t>calc aiv</t>
  </si>
  <si>
    <t>field check</t>
  </si>
  <si>
    <t>Eligible?</t>
  </si>
  <si>
    <t>matchkey</t>
  </si>
  <si>
    <t>Eligible</t>
  </si>
  <si>
    <t>Lender Fee</t>
  </si>
  <si>
    <t>Origination Fee</t>
  </si>
  <si>
    <t>Select Origination Here</t>
  </si>
  <si>
    <t>dwell</t>
  </si>
  <si>
    <t>minvalunit</t>
  </si>
  <si>
    <t>stateCheck</t>
  </si>
  <si>
    <t>Foreign</t>
  </si>
  <si>
    <t>Term: 12 months. Add .50 to Origination for each 3 months (max term 18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</si>
</sst>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00%"/>
    <numFmt numFmtId="166" formatCode="&quot;$&quot;#,##0.00"/>
    <numFmt numFmtId="167" formatCode="0.0"/>
  </numFmts>
  <fonts count="3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33475B"/>
      <name val="Arial"/>
      <family val="2"/>
    </font>
    <font>
      <sz val="11"/>
      <name val="Aptos Narrow"/>
      <family val="2"/>
      <scheme val="minor"/>
    </font>
    <font>
      <sz val="8"/>
      <name val="Aptos Narrow"/>
      <family val="2"/>
      <scheme val="minor"/>
    </font>
    <font>
      <b/>
      <sz val="12"/>
      <color theme="1"/>
      <name val="Aptos Narrow"/>
      <family val="2"/>
      <scheme val="minor"/>
    </font>
    <font>
      <b/>
      <sz val="12"/>
      <color theme="0"/>
      <name val="Aptos Narrow"/>
      <family val="2"/>
      <scheme val="minor"/>
    </font>
    <font>
      <b/>
      <i/>
      <sz val="11"/>
      <color rgb="FFFF0000"/>
      <name val="Aptos Narrow"/>
      <family val="2"/>
      <scheme val="minor"/>
    </font>
    <font>
      <sz val="12"/>
      <color theme="1"/>
      <name val="Aptos Narrow"/>
      <family val="2"/>
      <scheme val="minor"/>
    </font>
    <font>
      <sz val="10"/>
      <color theme="1"/>
      <name val="Aptos Narrow"/>
      <family val="2"/>
      <scheme val="minor"/>
    </font>
    <font>
      <sz val="10"/>
      <color theme="0"/>
      <name val="Aptos Narrow"/>
      <family val="2"/>
      <scheme val="minor"/>
    </font>
    <font>
      <b/>
      <i/>
      <sz val="12"/>
      <color rgb="FFFF0000"/>
      <name val="Aptos Narrow"/>
      <family val="2"/>
      <scheme val="minor"/>
    </font>
    <font>
      <b/>
      <sz val="12"/>
      <color theme="1"/>
      <name val="Aptos Display"/>
      <family val="2"/>
      <scheme val="major"/>
    </font>
    <font>
      <b/>
      <sz val="18"/>
      <color theme="1"/>
      <name val="Aptos Display"/>
      <family val="2"/>
      <scheme val="major"/>
    </font>
    <font>
      <b/>
      <sz val="16"/>
      <color theme="0"/>
      <name val="Aptos Display"/>
      <family val="2"/>
      <scheme val="major"/>
    </font>
    <font>
      <b/>
      <i/>
      <sz val="10"/>
      <color rgb="FFFF0000"/>
      <name val="Aptos Narrow"/>
      <family val="2"/>
      <scheme val="minor"/>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030A0"/>
        <bgColor indexed="64"/>
      </patternFill>
    </fill>
    <fill>
      <patternFill patternType="solid">
        <fgColor rgb="FF00B0F0"/>
        <bgColor indexed="64"/>
      </patternFill>
    </fill>
    <fill>
      <patternFill patternType="solid">
        <fgColor rgb="FF8C2633"/>
        <bgColor indexed="64"/>
      </patternFill>
    </fill>
    <fill>
      <patternFill patternType="solid">
        <fgColor rgb="FF234058"/>
        <bgColor indexed="64"/>
      </patternFill>
    </fill>
    <fill>
      <patternFill patternType="solid">
        <fgColor rgb="FF444444"/>
        <bgColor indexed="64"/>
      </patternFill>
    </fill>
    <fill>
      <patternFill patternType="solid">
        <fgColor rgb="FFFF0000"/>
        <bgColor indexed="64"/>
      </patternFill>
    </fill>
    <fill>
      <patternFill patternType="solid">
        <fgColor theme="1"/>
        <bgColor indexed="64"/>
      </patternFill>
    </fill>
    <fill>
      <patternFill patternType="solid">
        <fgColor rgb="FF447DAC"/>
        <bgColor indexed="64"/>
      </patternFill>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
      <patternFill patternType="solid">
        <fgColor rgb="FF212E3B"/>
        <bgColor indexed="64"/>
      </patternFill>
    </fill>
  </fills>
  <borders count="8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right style="thin">
        <color indexed="64"/>
      </right>
      <top/>
      <bottom/>
      <diagonal/>
    </border>
    <border>
      <left/>
      <right style="medium">
        <color indexed="64"/>
      </right>
      <top/>
      <bottom/>
      <diagonal/>
    </border>
    <border>
      <left style="thin">
        <color indexed="64"/>
      </left>
      <right/>
      <top/>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style="thin">
        <color indexed="64"/>
      </right>
      <top style="medium">
        <color indexed="64"/>
      </top>
      <bottom style="thin">
        <color indexed="64"/>
      </bottom>
      <diagonal/>
    </border>
    <border>
      <left style="thick">
        <color indexed="64"/>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right/>
      <top style="thin">
        <color theme="0"/>
      </top>
      <bottom style="thin">
        <color theme="0"/>
      </bottom>
      <diagonal/>
    </border>
    <border>
      <left/>
      <right/>
      <top/>
      <bottom style="thin">
        <color theme="0"/>
      </bottom>
      <diagonal/>
    </border>
    <border>
      <left/>
      <right/>
      <top style="thin">
        <color theme="0"/>
      </top>
      <bottom/>
      <diagonal/>
    </border>
    <border>
      <left style="thin">
        <color theme="0"/>
      </left>
      <right style="thin">
        <color theme="0"/>
      </right>
      <top style="thin">
        <color theme="0"/>
      </top>
      <bottom style="thin">
        <color theme="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06">
    <xf numFmtId="0" fontId="0" fillId="0" borderId="0" xfId="0"/>
    <xf numFmtId="14" fontId="0" fillId="0" borderId="0" xfId="0" applyNumberFormat="1"/>
    <xf numFmtId="0" fontId="16" fillId="0" borderId="0" xfId="0" applyFont="1"/>
    <xf numFmtId="0" fontId="16" fillId="33" borderId="10"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16" fillId="33" borderId="12" xfId="0" applyFont="1" applyFill="1" applyBorder="1" applyAlignment="1">
      <alignment horizontal="center" vertical="center" wrapText="1"/>
    </xf>
    <xf numFmtId="0" fontId="16" fillId="33" borderId="0" xfId="0" applyFont="1" applyFill="1" applyAlignment="1">
      <alignment horizontal="center" vertical="center" wrapText="1"/>
    </xf>
    <xf numFmtId="0" fontId="16" fillId="33" borderId="13" xfId="0" applyFont="1" applyFill="1" applyBorder="1" applyAlignment="1">
      <alignment horizontal="center" vertical="center" wrapText="1"/>
    </xf>
    <xf numFmtId="9" fontId="16" fillId="0" borderId="0" xfId="42" applyFont="1" applyBorder="1" applyAlignment="1">
      <alignment horizontal="center" vertical="center" wrapText="1"/>
    </xf>
    <xf numFmtId="2" fontId="16" fillId="0" borderId="0" xfId="0" applyNumberFormat="1" applyFont="1" applyAlignment="1">
      <alignment horizontal="center" vertical="center" wrapText="1"/>
    </xf>
    <xf numFmtId="0" fontId="16" fillId="0" borderId="0" xfId="0" applyFont="1" applyAlignment="1">
      <alignment horizontal="center" vertical="center" wrapText="1"/>
    </xf>
    <xf numFmtId="0" fontId="16" fillId="0" borderId="14" xfId="0" applyFont="1" applyBorder="1" applyAlignment="1">
      <alignment horizontal="center" vertical="center" wrapText="1"/>
    </xf>
    <xf numFmtId="0" fontId="16" fillId="34" borderId="0" xfId="0" applyFont="1" applyFill="1" applyAlignment="1">
      <alignment horizontal="center" vertical="center" wrapText="1"/>
    </xf>
    <xf numFmtId="0" fontId="0" fillId="0" borderId="0" xfId="0" applyAlignment="1">
      <alignment wrapText="1"/>
    </xf>
    <xf numFmtId="164" fontId="16" fillId="0" borderId="15" xfId="42" applyNumberFormat="1" applyFont="1" applyBorder="1" applyAlignment="1">
      <alignment horizontal="center" vertical="center" wrapText="1"/>
    </xf>
    <xf numFmtId="164" fontId="16" fillId="0" borderId="13" xfId="42" applyNumberFormat="1" applyFont="1" applyBorder="1" applyAlignment="1">
      <alignment horizontal="center" vertical="center" wrapText="1"/>
    </xf>
    <xf numFmtId="164" fontId="16" fillId="0" borderId="0" xfId="42" applyNumberFormat="1" applyFont="1" applyBorder="1" applyAlignment="1">
      <alignment horizontal="center" vertical="center" wrapText="1"/>
    </xf>
    <xf numFmtId="164" fontId="16" fillId="34" borderId="16" xfId="42" applyNumberFormat="1" applyFont="1" applyFill="1" applyBorder="1" applyAlignment="1">
      <alignment horizontal="center" vertical="center" wrapText="1"/>
    </xf>
    <xf numFmtId="0" fontId="16" fillId="0" borderId="17" xfId="0" applyFont="1" applyBorder="1"/>
    <xf numFmtId="0" fontId="16" fillId="0" borderId="18" xfId="0" applyFont="1" applyBorder="1" applyAlignment="1">
      <alignment vertical="center"/>
    </xf>
    <xf numFmtId="0" fontId="16" fillId="0" borderId="18" xfId="0" applyFont="1" applyBorder="1" applyAlignment="1">
      <alignment horizontal="center" vertical="center"/>
    </xf>
    <xf numFmtId="0" fontId="16" fillId="34" borderId="18" xfId="0" applyFont="1" applyFill="1" applyBorder="1" applyAlignment="1">
      <alignment horizontal="center" vertical="center"/>
    </xf>
    <xf numFmtId="165" fontId="16" fillId="0" borderId="18" xfId="0" applyNumberFormat="1" applyFont="1" applyBorder="1" applyAlignment="1">
      <alignment horizontal="center" vertical="center"/>
    </xf>
    <xf numFmtId="165" fontId="16" fillId="0" borderId="19" xfId="0" applyNumberFormat="1" applyFont="1" applyBorder="1" applyAlignment="1">
      <alignment horizontal="center" vertical="center"/>
    </xf>
    <xf numFmtId="165" fontId="16" fillId="0" borderId="15" xfId="0" applyNumberFormat="1" applyFont="1" applyBorder="1" applyAlignment="1">
      <alignment horizontal="center" vertical="center"/>
    </xf>
    <xf numFmtId="0" fontId="0" fillId="35" borderId="0" xfId="0" applyFill="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horizontal="center" vertical="center"/>
    </xf>
    <xf numFmtId="0" fontId="0" fillId="0" borderId="23" xfId="0" applyBorder="1" applyAlignment="1">
      <alignment horizontal="center"/>
    </xf>
    <xf numFmtId="9" fontId="0" fillId="34" borderId="24" xfId="42" applyFont="1" applyFill="1" applyBorder="1" applyAlignment="1">
      <alignment horizontal="center" vertical="center"/>
    </xf>
    <xf numFmtId="9" fontId="0" fillId="0" borderId="24" xfId="42" applyFont="1" applyBorder="1" applyAlignment="1">
      <alignment horizontal="center" vertical="center"/>
    </xf>
    <xf numFmtId="2" fontId="0" fillId="0" borderId="24" xfId="0" applyNumberFormat="1" applyBorder="1" applyAlignment="1">
      <alignment horizontal="center" vertical="center"/>
    </xf>
    <xf numFmtId="164" fontId="0" fillId="0" borderId="24" xfId="0" applyNumberFormat="1" applyBorder="1" applyAlignment="1">
      <alignment horizontal="center" vertical="center"/>
    </xf>
    <xf numFmtId="164" fontId="0" fillId="0" borderId="25" xfId="0" applyNumberFormat="1" applyBorder="1" applyAlignment="1">
      <alignment horizontal="center" vertical="center"/>
    </xf>
    <xf numFmtId="0" fontId="0" fillId="0" borderId="20" xfId="0" applyBorder="1" applyAlignment="1">
      <alignment horizontal="left" vertical="center"/>
    </xf>
    <xf numFmtId="0" fontId="0" fillId="35" borderId="25" xfId="0" applyFill="1" applyBorder="1" applyAlignment="1">
      <alignment vertical="center"/>
    </xf>
    <xf numFmtId="0" fontId="0" fillId="0" borderId="26" xfId="0" applyBorder="1" applyAlignment="1">
      <alignment vertical="center"/>
    </xf>
    <xf numFmtId="0" fontId="0" fillId="0" borderId="22" xfId="0" applyBorder="1" applyAlignment="1">
      <alignment horizontal="center"/>
    </xf>
    <xf numFmtId="9" fontId="0" fillId="0" borderId="24" xfId="42" applyFont="1" applyBorder="1" applyAlignment="1">
      <alignment horizontal="center"/>
    </xf>
    <xf numFmtId="164" fontId="0" fillId="0" borderId="22" xfId="42" applyNumberFormat="1" applyFont="1" applyBorder="1" applyAlignment="1">
      <alignment horizontal="center"/>
    </xf>
    <xf numFmtId="164" fontId="0" fillId="0" borderId="23" xfId="42" applyNumberFormat="1" applyFont="1" applyBorder="1" applyAlignment="1">
      <alignment horizontal="center"/>
    </xf>
    <xf numFmtId="164" fontId="0" fillId="0" borderId="24" xfId="42" applyNumberFormat="1" applyFont="1" applyBorder="1" applyAlignment="1">
      <alignment horizontal="center"/>
    </xf>
    <xf numFmtId="0" fontId="0" fillId="0" borderId="27" xfId="0" applyBorder="1"/>
    <xf numFmtId="0" fontId="0" fillId="0" borderId="17" xfId="0" applyBorder="1" applyAlignment="1">
      <alignment vertical="center"/>
    </xf>
    <xf numFmtId="0" fontId="0" fillId="0" borderId="18" xfId="0" applyBorder="1" applyAlignment="1">
      <alignment vertical="center"/>
    </xf>
    <xf numFmtId="0" fontId="0" fillId="0" borderId="18" xfId="0" applyBorder="1" applyAlignment="1">
      <alignment horizontal="center" vertical="center"/>
    </xf>
    <xf numFmtId="9" fontId="0" fillId="0" borderId="18" xfId="0" applyNumberFormat="1" applyBorder="1" applyAlignment="1">
      <alignment horizontal="center" vertical="center"/>
    </xf>
    <xf numFmtId="165" fontId="0" fillId="0" borderId="18" xfId="0" applyNumberFormat="1" applyBorder="1" applyAlignment="1">
      <alignment horizontal="center" vertical="center"/>
    </xf>
    <xf numFmtId="164" fontId="0" fillId="0" borderId="18" xfId="0" applyNumberFormat="1" applyBorder="1" applyAlignment="1">
      <alignment horizontal="center" vertical="center"/>
    </xf>
    <xf numFmtId="164" fontId="0" fillId="0" borderId="28" xfId="0" applyNumberForma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29" xfId="0" applyBorder="1" applyAlignment="1">
      <alignment horizontal="center" vertical="center"/>
    </xf>
    <xf numFmtId="0" fontId="0" fillId="0" borderId="30" xfId="0" applyBorder="1" applyAlignment="1">
      <alignment horizontal="center"/>
    </xf>
    <xf numFmtId="9" fontId="0" fillId="0" borderId="31" xfId="42" applyFont="1" applyBorder="1" applyAlignment="1">
      <alignment horizontal="center" vertical="center"/>
    </xf>
    <xf numFmtId="2" fontId="0" fillId="0" borderId="31" xfId="0" applyNumberFormat="1" applyBorder="1" applyAlignment="1">
      <alignment horizontal="center" vertical="center"/>
    </xf>
    <xf numFmtId="164" fontId="0" fillId="0" borderId="31" xfId="0" applyNumberFormat="1" applyBorder="1" applyAlignment="1">
      <alignment horizontal="center" vertical="center"/>
    </xf>
    <xf numFmtId="164" fontId="0" fillId="0" borderId="32" xfId="0" applyNumberFormat="1" applyBorder="1" applyAlignment="1">
      <alignment horizontal="center" vertical="center"/>
    </xf>
    <xf numFmtId="0" fontId="0" fillId="0" borderId="33" xfId="0" applyBorder="1" applyAlignment="1">
      <alignment horizontal="left" vertical="center"/>
    </xf>
    <xf numFmtId="0" fontId="0" fillId="35" borderId="14" xfId="0" applyFill="1" applyBorder="1" applyAlignment="1">
      <alignment vertical="center"/>
    </xf>
    <xf numFmtId="0" fontId="0" fillId="0" borderId="34" xfId="0" applyBorder="1" applyAlignment="1">
      <alignment vertical="center"/>
    </xf>
    <xf numFmtId="0" fontId="0" fillId="0" borderId="29" xfId="0" applyBorder="1" applyAlignment="1">
      <alignment horizontal="center"/>
    </xf>
    <xf numFmtId="9" fontId="0" fillId="0" borderId="31" xfId="42" applyFont="1" applyBorder="1" applyAlignment="1">
      <alignment horizontal="center"/>
    </xf>
    <xf numFmtId="164" fontId="0" fillId="0" borderId="29" xfId="42" applyNumberFormat="1" applyFont="1" applyBorder="1" applyAlignment="1">
      <alignment horizontal="center"/>
    </xf>
    <xf numFmtId="164" fontId="0" fillId="0" borderId="30" xfId="42" applyNumberFormat="1" applyFont="1" applyBorder="1" applyAlignment="1">
      <alignment horizontal="center"/>
    </xf>
    <xf numFmtId="164" fontId="0" fillId="0" borderId="31" xfId="42" applyNumberFormat="1" applyFont="1" applyBorder="1" applyAlignment="1">
      <alignment horizontal="center"/>
    </xf>
    <xf numFmtId="0" fontId="0" fillId="0" borderId="35" xfId="0" applyBorder="1"/>
    <xf numFmtId="0" fontId="0" fillId="0" borderId="15" xfId="0" applyBorder="1" applyAlignment="1">
      <alignment horizontal="center" vertical="center"/>
    </xf>
    <xf numFmtId="0" fontId="0" fillId="0" borderId="13" xfId="0" applyBorder="1" applyAlignment="1">
      <alignment horizontal="center"/>
    </xf>
    <xf numFmtId="9" fontId="0" fillId="34" borderId="0" xfId="42" applyFont="1" applyFill="1" applyBorder="1" applyAlignment="1">
      <alignment horizontal="center" vertical="center"/>
    </xf>
    <xf numFmtId="9" fontId="0" fillId="0" borderId="0" xfId="42" applyFont="1" applyBorder="1"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164" fontId="0" fillId="0" borderId="14" xfId="0" applyNumberFormat="1" applyBorder="1" applyAlignment="1">
      <alignment horizontal="center" vertical="center"/>
    </xf>
    <xf numFmtId="0" fontId="0" fillId="0" borderId="11" xfId="0" applyBorder="1" applyAlignment="1">
      <alignment horizontal="left" vertical="center"/>
    </xf>
    <xf numFmtId="0" fontId="0" fillId="34" borderId="36" xfId="0" applyFill="1" applyBorder="1" applyAlignment="1">
      <alignment vertical="center"/>
    </xf>
    <xf numFmtId="0" fontId="0" fillId="0" borderId="37" xfId="0" applyBorder="1" applyAlignment="1">
      <alignment horizontal="center"/>
    </xf>
    <xf numFmtId="9" fontId="0" fillId="0" borderId="38" xfId="42" applyFont="1" applyBorder="1" applyAlignment="1">
      <alignment horizontal="center"/>
    </xf>
    <xf numFmtId="164" fontId="0" fillId="0" borderId="37" xfId="42" applyNumberFormat="1" applyFont="1" applyBorder="1" applyAlignment="1">
      <alignment horizontal="center"/>
    </xf>
    <xf numFmtId="164" fontId="0" fillId="0" borderId="39" xfId="42" applyNumberFormat="1" applyFont="1" applyBorder="1" applyAlignment="1">
      <alignment horizontal="center"/>
    </xf>
    <xf numFmtId="164" fontId="0" fillId="0" borderId="38" xfId="42" applyNumberFormat="1" applyFont="1" applyBorder="1" applyAlignment="1">
      <alignment horizontal="center"/>
    </xf>
    <xf numFmtId="0" fontId="0" fillId="0" borderId="40" xfId="0" applyBorder="1"/>
    <xf numFmtId="0" fontId="0" fillId="34" borderId="34" xfId="0" applyFill="1" applyBorder="1" applyAlignment="1">
      <alignment vertical="center"/>
    </xf>
    <xf numFmtId="9" fontId="0" fillId="0" borderId="18" xfId="0" applyNumberFormat="1" applyBorder="1" applyAlignment="1">
      <alignment vertical="center"/>
    </xf>
    <xf numFmtId="0" fontId="0" fillId="0" borderId="36" xfId="0" applyBorder="1" applyAlignment="1">
      <alignment vertical="center"/>
    </xf>
    <xf numFmtId="0" fontId="0" fillId="0" borderId="41" xfId="0" applyBorder="1" applyAlignment="1">
      <alignment vertical="center"/>
    </xf>
    <xf numFmtId="0" fontId="0" fillId="0" borderId="42" xfId="0" applyBorder="1" applyAlignment="1">
      <alignment horizontal="center" vertical="center"/>
    </xf>
    <xf numFmtId="0" fontId="0" fillId="0" borderId="43" xfId="0" applyBorder="1" applyAlignment="1">
      <alignment horizontal="center"/>
    </xf>
    <xf numFmtId="9" fontId="0" fillId="0" borderId="44" xfId="42" applyFont="1" applyBorder="1" applyAlignment="1">
      <alignment horizontal="center" vertical="center"/>
    </xf>
    <xf numFmtId="2" fontId="0" fillId="0" borderId="44" xfId="0" applyNumberFormat="1" applyBorder="1" applyAlignment="1">
      <alignment horizontal="center" vertical="center"/>
    </xf>
    <xf numFmtId="164" fontId="0" fillId="0" borderId="44" xfId="0" applyNumberFormat="1" applyBorder="1" applyAlignment="1">
      <alignment horizontal="center" vertical="center"/>
    </xf>
    <xf numFmtId="164" fontId="0" fillId="0" borderId="10" xfId="0" applyNumberFormat="1" applyBorder="1" applyAlignment="1">
      <alignment horizontal="center" vertical="center"/>
    </xf>
    <xf numFmtId="0" fontId="0" fillId="0" borderId="45" xfId="0" applyBorder="1" applyAlignment="1">
      <alignment horizontal="left" vertical="center"/>
    </xf>
    <xf numFmtId="0" fontId="0" fillId="0" borderId="46" xfId="0" applyBorder="1" applyAlignment="1">
      <alignment vertical="center"/>
    </xf>
    <xf numFmtId="0" fontId="0" fillId="0" borderId="42" xfId="0" applyBorder="1" applyAlignment="1">
      <alignment horizontal="center"/>
    </xf>
    <xf numFmtId="9" fontId="0" fillId="0" borderId="44" xfId="42" applyFont="1" applyBorder="1" applyAlignment="1">
      <alignment horizontal="center"/>
    </xf>
    <xf numFmtId="164" fontId="0" fillId="0" borderId="42" xfId="42" applyNumberFormat="1" applyFont="1" applyBorder="1" applyAlignment="1">
      <alignment horizontal="center"/>
    </xf>
    <xf numFmtId="164" fontId="0" fillId="0" borderId="43" xfId="42" applyNumberFormat="1" applyFont="1" applyBorder="1" applyAlignment="1">
      <alignment horizontal="center"/>
    </xf>
    <xf numFmtId="164" fontId="0" fillId="0" borderId="44" xfId="42" applyNumberFormat="1" applyFont="1" applyBorder="1" applyAlignment="1">
      <alignment horizontal="center"/>
    </xf>
    <xf numFmtId="0" fontId="0" fillId="0" borderId="16" xfId="0" applyBorder="1"/>
    <xf numFmtId="0" fontId="0" fillId="34" borderId="21" xfId="0" applyFill="1" applyBorder="1" applyAlignment="1">
      <alignment vertical="center"/>
    </xf>
    <xf numFmtId="0" fontId="0" fillId="34" borderId="12" xfId="0" applyFill="1" applyBorder="1" applyAlignment="1">
      <alignment vertical="center"/>
    </xf>
    <xf numFmtId="0" fontId="0" fillId="34" borderId="41" xfId="0" applyFill="1" applyBorder="1" applyAlignment="1">
      <alignment vertical="center"/>
    </xf>
    <xf numFmtId="0" fontId="0" fillId="0" borderId="40" xfId="0" applyBorder="1" applyAlignment="1">
      <alignment vertical="center"/>
    </xf>
    <xf numFmtId="0" fontId="0" fillId="0" borderId="39" xfId="0" applyBorder="1" applyAlignment="1">
      <alignment vertical="center"/>
    </xf>
    <xf numFmtId="0" fontId="0" fillId="0" borderId="36" xfId="0" applyBorder="1" applyAlignment="1">
      <alignment horizontal="center" vertical="center"/>
    </xf>
    <xf numFmtId="9" fontId="0" fillId="0" borderId="36" xfId="0" applyNumberFormat="1" applyBorder="1" applyAlignment="1">
      <alignment horizontal="center" vertical="center"/>
    </xf>
    <xf numFmtId="165" fontId="0" fillId="0" borderId="36" xfId="0" applyNumberFormat="1" applyBorder="1" applyAlignment="1">
      <alignment horizontal="center" vertical="center"/>
    </xf>
    <xf numFmtId="164" fontId="0" fillId="0" borderId="36" xfId="0" applyNumberFormat="1" applyBorder="1" applyAlignment="1">
      <alignment horizontal="center" vertical="center"/>
    </xf>
    <xf numFmtId="164" fontId="0" fillId="0" borderId="37" xfId="0" applyNumberFormat="1" applyBorder="1" applyAlignment="1">
      <alignment horizontal="center" vertical="center"/>
    </xf>
    <xf numFmtId="0" fontId="0" fillId="0" borderId="45" xfId="0" applyBorder="1" applyAlignment="1">
      <alignment vertical="center"/>
    </xf>
    <xf numFmtId="9" fontId="0" fillId="0" borderId="24" xfId="42" applyFont="1" applyFill="1" applyBorder="1" applyAlignment="1">
      <alignment horizontal="center" vertical="center"/>
    </xf>
    <xf numFmtId="0" fontId="0" fillId="0" borderId="0" xfId="0" applyAlignment="1">
      <alignment horizontal="center"/>
    </xf>
    <xf numFmtId="9" fontId="0" fillId="0" borderId="0" xfId="42" applyFont="1" applyBorder="1" applyAlignment="1">
      <alignment horizontal="center"/>
    </xf>
    <xf numFmtId="164" fontId="0" fillId="0" borderId="15" xfId="42" applyNumberFormat="1" applyFont="1" applyBorder="1" applyAlignment="1">
      <alignment horizontal="center"/>
    </xf>
    <xf numFmtId="164" fontId="0" fillId="0" borderId="13" xfId="42" applyNumberFormat="1" applyFont="1" applyBorder="1" applyAlignment="1">
      <alignment horizontal="center"/>
    </xf>
    <xf numFmtId="164" fontId="0" fillId="0" borderId="0" xfId="42" applyNumberFormat="1" applyFont="1" applyBorder="1" applyAlignment="1">
      <alignment horizontal="center"/>
    </xf>
    <xf numFmtId="0" fontId="0" fillId="35" borderId="31" xfId="0" applyFill="1" applyBorder="1" applyAlignment="1">
      <alignment horizontal="center"/>
    </xf>
    <xf numFmtId="9" fontId="0" fillId="0" borderId="0" xfId="42" applyFont="1" applyFill="1" applyAlignment="1">
      <alignment horizontal="center" vertical="center"/>
    </xf>
    <xf numFmtId="0" fontId="0" fillId="0" borderId="38" xfId="0" applyBorder="1" applyAlignment="1">
      <alignment horizontal="center"/>
    </xf>
    <xf numFmtId="0" fontId="0" fillId="0" borderId="31" xfId="0" applyBorder="1" applyAlignment="1">
      <alignment horizontal="center"/>
    </xf>
    <xf numFmtId="0" fontId="0" fillId="0" borderId="44" xfId="0" applyBorder="1" applyAlignment="1">
      <alignment horizontal="center"/>
    </xf>
    <xf numFmtId="0" fontId="0" fillId="0" borderId="24" xfId="0" applyBorder="1" applyAlignment="1">
      <alignment horizontal="center"/>
    </xf>
    <xf numFmtId="9" fontId="0" fillId="0" borderId="0" xfId="42" applyFont="1" applyAlignment="1">
      <alignment horizontal="center" vertical="center"/>
    </xf>
    <xf numFmtId="0" fontId="0" fillId="36" borderId="20" xfId="0" applyFill="1" applyBorder="1" applyAlignment="1">
      <alignment vertical="center"/>
    </xf>
    <xf numFmtId="0" fontId="0" fillId="0" borderId="25" xfId="0" applyBorder="1" applyAlignment="1">
      <alignment vertical="center"/>
    </xf>
    <xf numFmtId="0" fontId="0" fillId="36" borderId="25" xfId="0" applyFill="1" applyBorder="1" applyAlignment="1">
      <alignment vertical="center"/>
    </xf>
    <xf numFmtId="0" fontId="0" fillId="36" borderId="11" xfId="0" applyFill="1" applyBorder="1" applyAlignment="1">
      <alignment vertical="center"/>
    </xf>
    <xf numFmtId="0" fontId="0" fillId="0" borderId="14" xfId="0" applyBorder="1" applyAlignment="1">
      <alignment vertical="center"/>
    </xf>
    <xf numFmtId="0" fontId="0" fillId="36" borderId="14" xfId="0" applyFill="1" applyBorder="1" applyAlignment="1">
      <alignment vertical="center"/>
    </xf>
    <xf numFmtId="9" fontId="0" fillId="0" borderId="0" xfId="42" applyFont="1" applyFill="1" applyBorder="1" applyAlignment="1">
      <alignment horizontal="center" vertical="center"/>
    </xf>
    <xf numFmtId="0" fontId="0" fillId="0" borderId="10" xfId="0" applyBorder="1" applyAlignment="1">
      <alignment vertical="center"/>
    </xf>
    <xf numFmtId="0" fontId="0" fillId="36" borderId="45" xfId="0" applyFill="1" applyBorder="1" applyAlignment="1">
      <alignment vertical="center"/>
    </xf>
    <xf numFmtId="0" fontId="0" fillId="36" borderId="10" xfId="0" applyFill="1" applyBorder="1" applyAlignment="1">
      <alignment vertical="center"/>
    </xf>
    <xf numFmtId="0" fontId="0" fillId="37" borderId="11" xfId="0" applyFill="1" applyBorder="1" applyAlignment="1">
      <alignment vertical="center"/>
    </xf>
    <xf numFmtId="0" fontId="0" fillId="37" borderId="25" xfId="0" applyFill="1" applyBorder="1" applyAlignment="1">
      <alignment vertical="center"/>
    </xf>
    <xf numFmtId="0" fontId="0" fillId="37" borderId="14" xfId="0" applyFill="1" applyBorder="1" applyAlignment="1">
      <alignment vertical="center"/>
    </xf>
    <xf numFmtId="0" fontId="0" fillId="37" borderId="45" xfId="0" applyFill="1" applyBorder="1" applyAlignment="1">
      <alignment vertical="center"/>
    </xf>
    <xf numFmtId="0" fontId="0" fillId="0" borderId="19" xfId="0" applyBorder="1" applyAlignment="1">
      <alignment vertical="center"/>
    </xf>
    <xf numFmtId="0" fontId="0" fillId="0" borderId="0" xfId="0" applyAlignment="1">
      <alignment horizontal="left"/>
    </xf>
    <xf numFmtId="0" fontId="0" fillId="0" borderId="18" xfId="0" applyBorder="1" applyAlignment="1">
      <alignment horizontal="center"/>
    </xf>
    <xf numFmtId="165" fontId="0" fillId="0" borderId="18" xfId="0" applyNumberFormat="1" applyBorder="1"/>
    <xf numFmtId="0" fontId="0" fillId="0" borderId="18" xfId="0" applyBorder="1"/>
    <xf numFmtId="0" fontId="0" fillId="34" borderId="18" xfId="0" applyFill="1" applyBorder="1"/>
    <xf numFmtId="0" fontId="0" fillId="0" borderId="36" xfId="0" applyBorder="1"/>
    <xf numFmtId="0" fontId="0" fillId="34" borderId="36" xfId="0" applyFill="1" applyBorder="1"/>
    <xf numFmtId="166" fontId="18" fillId="34" borderId="0" xfId="0" applyNumberFormat="1" applyFont="1" applyFill="1" applyAlignment="1">
      <alignment vertical="center"/>
    </xf>
    <xf numFmtId="0" fontId="18" fillId="34" borderId="0" xfId="0" applyFont="1" applyFill="1" applyAlignment="1">
      <alignment vertical="center"/>
    </xf>
    <xf numFmtId="166" fontId="0" fillId="0" borderId="0" xfId="0" applyNumberFormat="1"/>
    <xf numFmtId="0" fontId="19" fillId="38" borderId="0" xfId="0" applyFont="1" applyFill="1"/>
    <xf numFmtId="0" fontId="0" fillId="39" borderId="0" xfId="0" applyFill="1"/>
    <xf numFmtId="0" fontId="19" fillId="40" borderId="0" xfId="0" applyFont="1" applyFill="1"/>
    <xf numFmtId="10" fontId="0" fillId="0" borderId="0" xfId="0" applyNumberFormat="1"/>
    <xf numFmtId="0" fontId="0" fillId="0" borderId="0" xfId="0" applyAlignment="1">
      <alignment horizontal="center" vertical="center" wrapText="1"/>
    </xf>
    <xf numFmtId="0" fontId="17" fillId="43" borderId="0" xfId="0" applyFont="1" applyFill="1" applyAlignment="1">
      <alignment horizontal="center" vertical="center" wrapText="1"/>
    </xf>
    <xf numFmtId="0" fontId="17" fillId="43" borderId="0" xfId="0" applyFont="1" applyFill="1" applyAlignment="1">
      <alignment horizontal="center" vertical="center"/>
    </xf>
    <xf numFmtId="0" fontId="17" fillId="41" borderId="18" xfId="0" applyFont="1" applyFill="1" applyBorder="1" applyAlignment="1">
      <alignment horizontal="center" vertical="center" wrapText="1"/>
    </xf>
    <xf numFmtId="0" fontId="0" fillId="42" borderId="0" xfId="0" applyFill="1"/>
    <xf numFmtId="0" fontId="0" fillId="42" borderId="14" xfId="0" applyFill="1" applyBorder="1"/>
    <xf numFmtId="0" fontId="0" fillId="42" borderId="14" xfId="0" applyFill="1" applyBorder="1" applyAlignment="1">
      <alignment horizontal="center" vertical="center" wrapText="1"/>
    </xf>
    <xf numFmtId="0" fontId="0" fillId="42" borderId="44" xfId="0" applyFill="1" applyBorder="1"/>
    <xf numFmtId="0" fontId="0" fillId="42" borderId="40" xfId="0" applyFill="1" applyBorder="1"/>
    <xf numFmtId="0" fontId="0" fillId="42" borderId="40" xfId="0" applyFill="1" applyBorder="1" applyAlignment="1">
      <alignment horizontal="center" vertical="center" wrapText="1"/>
    </xf>
    <xf numFmtId="0" fontId="0" fillId="42" borderId="0" xfId="0" applyFill="1" applyAlignment="1">
      <alignment horizontal="center" vertical="center" wrapText="1"/>
    </xf>
    <xf numFmtId="10" fontId="0" fillId="0" borderId="18" xfId="0" applyNumberFormat="1" applyBorder="1" applyAlignment="1">
      <alignment horizontal="center" vertical="center"/>
    </xf>
    <xf numFmtId="0" fontId="0" fillId="0" borderId="28" xfId="0" applyBorder="1"/>
    <xf numFmtId="0" fontId="0" fillId="0" borderId="28" xfId="0" applyBorder="1" applyAlignment="1">
      <alignment horizontal="center" vertical="center"/>
    </xf>
    <xf numFmtId="10" fontId="18" fillId="34" borderId="0" xfId="0" applyNumberFormat="1" applyFont="1" applyFill="1" applyAlignment="1">
      <alignment vertical="center"/>
    </xf>
    <xf numFmtId="166" fontId="19" fillId="38" borderId="0" xfId="0" applyNumberFormat="1" applyFont="1" applyFill="1"/>
    <xf numFmtId="10" fontId="19" fillId="38" borderId="0" xfId="0" applyNumberFormat="1" applyFont="1" applyFill="1"/>
    <xf numFmtId="166" fontId="19" fillId="40" borderId="0" xfId="0" applyNumberFormat="1" applyFont="1" applyFill="1"/>
    <xf numFmtId="10" fontId="19" fillId="40" borderId="0" xfId="0" applyNumberFormat="1" applyFont="1" applyFill="1"/>
    <xf numFmtId="0" fontId="0" fillId="45" borderId="0" xfId="0" applyFill="1"/>
    <xf numFmtId="164" fontId="17" fillId="42" borderId="36" xfId="0" applyNumberFormat="1" applyFont="1" applyFill="1" applyBorder="1" applyAlignment="1">
      <alignment horizontal="center" vertical="center" wrapText="1"/>
    </xf>
    <xf numFmtId="10" fontId="0" fillId="0" borderId="0" xfId="42" applyNumberFormat="1" applyFont="1"/>
    <xf numFmtId="10" fontId="17" fillId="42" borderId="18" xfId="0" applyNumberFormat="1" applyFont="1" applyFill="1" applyBorder="1" applyAlignment="1">
      <alignment horizontal="center" vertical="center" wrapText="1"/>
    </xf>
    <xf numFmtId="164" fontId="17" fillId="46" borderId="36" xfId="0" applyNumberFormat="1" applyFont="1" applyFill="1" applyBorder="1" applyAlignment="1">
      <alignment horizontal="center" vertical="center" wrapText="1"/>
    </xf>
    <xf numFmtId="10" fontId="17" fillId="46" borderId="36" xfId="0" applyNumberFormat="1" applyFont="1" applyFill="1" applyBorder="1" applyAlignment="1">
      <alignment horizontal="center" vertical="center" wrapText="1"/>
    </xf>
    <xf numFmtId="164" fontId="0" fillId="0" borderId="17" xfId="0" applyNumberFormat="1" applyBorder="1" applyAlignment="1">
      <alignment horizontal="center" vertical="center"/>
    </xf>
    <xf numFmtId="10" fontId="0" fillId="0" borderId="28" xfId="0" applyNumberFormat="1" applyBorder="1" applyAlignment="1">
      <alignment horizontal="center" vertical="center"/>
    </xf>
    <xf numFmtId="10" fontId="0" fillId="0" borderId="17" xfId="0" applyNumberFormat="1" applyBorder="1" applyAlignment="1">
      <alignment horizontal="center" vertical="center"/>
    </xf>
    <xf numFmtId="10" fontId="17" fillId="42" borderId="36" xfId="0" applyNumberFormat="1" applyFont="1" applyFill="1" applyBorder="1" applyAlignment="1">
      <alignment horizontal="center" vertical="center" wrapText="1"/>
    </xf>
    <xf numFmtId="0" fontId="0" fillId="0" borderId="31" xfId="0" applyBorder="1"/>
    <xf numFmtId="0" fontId="0" fillId="0" borderId="15" xfId="0" applyBorder="1"/>
    <xf numFmtId="0" fontId="0" fillId="0" borderId="13" xfId="0" applyBorder="1"/>
    <xf numFmtId="0" fontId="0" fillId="42" borderId="31" xfId="0" applyFill="1" applyBorder="1"/>
    <xf numFmtId="0" fontId="0" fillId="42" borderId="0" xfId="0" applyFill="1" applyAlignment="1">
      <alignment horizontal="center"/>
    </xf>
    <xf numFmtId="0" fontId="0" fillId="0" borderId="15" xfId="0" applyBorder="1" applyAlignment="1">
      <alignment horizontal="center"/>
    </xf>
    <xf numFmtId="0" fontId="0" fillId="0" borderId="0" xfId="0" applyAlignment="1">
      <alignment vertical="center"/>
    </xf>
    <xf numFmtId="0" fontId="0" fillId="44" borderId="0" xfId="0" applyFill="1"/>
    <xf numFmtId="167" fontId="0" fillId="0" borderId="0" xfId="0" applyNumberFormat="1"/>
    <xf numFmtId="0" fontId="0" fillId="0" borderId="19" xfId="0" applyBorder="1"/>
    <xf numFmtId="0" fontId="0" fillId="0" borderId="37" xfId="0" applyBorder="1" applyProtection="1">
      <protection hidden="1"/>
    </xf>
    <xf numFmtId="0" fontId="0" fillId="0" borderId="38" xfId="0" applyBorder="1" applyProtection="1">
      <protection hidden="1"/>
    </xf>
    <xf numFmtId="0" fontId="0" fillId="0" borderId="39" xfId="0" applyBorder="1" applyProtection="1">
      <protection hidden="1"/>
    </xf>
    <xf numFmtId="0" fontId="0" fillId="0" borderId="15" xfId="0" applyBorder="1" applyProtection="1">
      <protection hidden="1"/>
    </xf>
    <xf numFmtId="0" fontId="21" fillId="0" borderId="0" xfId="0" applyFont="1" applyProtection="1">
      <protection hidden="1"/>
    </xf>
    <xf numFmtId="0" fontId="0" fillId="0" borderId="0" xfId="0" applyProtection="1">
      <protection hidden="1"/>
    </xf>
    <xf numFmtId="0" fontId="0" fillId="45" borderId="0" xfId="0" applyFill="1" applyProtection="1">
      <protection hidden="1"/>
    </xf>
    <xf numFmtId="0" fontId="0" fillId="0" borderId="13" xfId="0" applyBorder="1" applyProtection="1">
      <protection hidden="1"/>
    </xf>
    <xf numFmtId="0" fontId="16" fillId="0" borderId="0" xfId="0" applyFont="1" applyProtection="1">
      <protection hidden="1"/>
    </xf>
    <xf numFmtId="0" fontId="0" fillId="0" borderId="29" xfId="0" applyBorder="1" applyProtection="1">
      <protection hidden="1"/>
    </xf>
    <xf numFmtId="0" fontId="0" fillId="0" borderId="31" xfId="0" applyBorder="1" applyProtection="1">
      <protection hidden="1"/>
    </xf>
    <xf numFmtId="0" fontId="0" fillId="0" borderId="30" xfId="0" applyBorder="1" applyProtection="1">
      <protection hidden="1"/>
    </xf>
    <xf numFmtId="0" fontId="0" fillId="0" borderId="15" xfId="0" applyBorder="1" applyAlignment="1" applyProtection="1">
      <alignment horizontal="center"/>
      <protection hidden="1"/>
    </xf>
    <xf numFmtId="0" fontId="0" fillId="0" borderId="0" xfId="0" applyAlignment="1" applyProtection="1">
      <alignment horizontal="center"/>
      <protection hidden="1"/>
    </xf>
    <xf numFmtId="10" fontId="0" fillId="0" borderId="0" xfId="0" applyNumberFormat="1" applyAlignment="1" applyProtection="1">
      <alignment horizontal="center"/>
      <protection hidden="1"/>
    </xf>
    <xf numFmtId="166" fontId="0" fillId="0" borderId="15" xfId="0" applyNumberFormat="1" applyBorder="1" applyAlignment="1" applyProtection="1">
      <alignment horizontal="center"/>
      <protection hidden="1"/>
    </xf>
    <xf numFmtId="166" fontId="0" fillId="0" borderId="0" xfId="0" applyNumberFormat="1" applyAlignment="1" applyProtection="1">
      <alignment horizontal="center"/>
      <protection hidden="1"/>
    </xf>
    <xf numFmtId="10" fontId="0" fillId="0" borderId="13" xfId="0" applyNumberFormat="1" applyBorder="1" applyAlignment="1" applyProtection="1">
      <alignment horizontal="center"/>
      <protection hidden="1"/>
    </xf>
    <xf numFmtId="0" fontId="22" fillId="0" borderId="0" xfId="0" applyFont="1" applyProtection="1">
      <protection hidden="1"/>
    </xf>
    <xf numFmtId="0" fontId="24" fillId="0" borderId="0" xfId="0" applyFont="1" applyProtection="1">
      <protection hidden="1"/>
    </xf>
    <xf numFmtId="164" fontId="16" fillId="34" borderId="0" xfId="0" applyNumberFormat="1" applyFont="1" applyFill="1" applyAlignment="1" applyProtection="1">
      <alignment horizontal="center"/>
      <protection hidden="1"/>
    </xf>
    <xf numFmtId="0" fontId="0" fillId="34" borderId="0" xfId="0" applyFill="1" applyProtection="1">
      <protection hidden="1"/>
    </xf>
    <xf numFmtId="165" fontId="16" fillId="34" borderId="0" xfId="0" applyNumberFormat="1" applyFont="1" applyFill="1" applyAlignment="1" applyProtection="1">
      <alignment horizontal="center"/>
      <protection hidden="1"/>
    </xf>
    <xf numFmtId="164" fontId="21" fillId="34" borderId="0" xfId="0" applyNumberFormat="1" applyFont="1" applyFill="1" applyAlignment="1" applyProtection="1">
      <alignment horizontal="center"/>
      <protection hidden="1"/>
    </xf>
    <xf numFmtId="165" fontId="21" fillId="34" borderId="0" xfId="0" applyNumberFormat="1" applyFont="1" applyFill="1" applyAlignment="1" applyProtection="1">
      <alignment horizontal="center"/>
      <protection hidden="1"/>
    </xf>
    <xf numFmtId="164" fontId="16" fillId="34" borderId="18" xfId="0" applyNumberFormat="1" applyFont="1" applyFill="1" applyBorder="1" applyProtection="1">
      <protection hidden="1"/>
    </xf>
    <xf numFmtId="164" fontId="16" fillId="34" borderId="0" xfId="0" applyNumberFormat="1" applyFont="1" applyFill="1" applyProtection="1">
      <protection hidden="1"/>
    </xf>
    <xf numFmtId="164" fontId="16" fillId="34" borderId="47" xfId="0" applyNumberFormat="1" applyFont="1" applyFill="1" applyBorder="1" applyProtection="1">
      <protection hidden="1"/>
    </xf>
    <xf numFmtId="164" fontId="16" fillId="34" borderId="17" xfId="0" applyNumberFormat="1" applyFont="1" applyFill="1" applyBorder="1" applyProtection="1">
      <protection hidden="1"/>
    </xf>
    <xf numFmtId="164" fontId="16" fillId="34" borderId="28" xfId="0" applyNumberFormat="1" applyFont="1" applyFill="1" applyBorder="1" applyProtection="1">
      <protection hidden="1"/>
    </xf>
    <xf numFmtId="0" fontId="16" fillId="34" borderId="18" xfId="0" applyFont="1" applyFill="1" applyBorder="1" applyProtection="1">
      <protection hidden="1"/>
    </xf>
    <xf numFmtId="165" fontId="16" fillId="34" borderId="18" xfId="0" applyNumberFormat="1" applyFont="1" applyFill="1" applyBorder="1" applyProtection="1">
      <protection hidden="1"/>
    </xf>
    <xf numFmtId="10" fontId="17" fillId="46" borderId="18" xfId="0" applyNumberFormat="1" applyFont="1" applyFill="1" applyBorder="1" applyAlignment="1">
      <alignment horizontal="center" vertical="center" wrapText="1"/>
    </xf>
    <xf numFmtId="164" fontId="17" fillId="46" borderId="17" xfId="0" applyNumberFormat="1" applyFont="1" applyFill="1" applyBorder="1" applyAlignment="1">
      <alignment horizontal="center" vertical="center" wrapText="1"/>
    </xf>
    <xf numFmtId="0" fontId="17" fillId="49" borderId="84" xfId="0" applyFont="1" applyFill="1" applyBorder="1"/>
    <xf numFmtId="10" fontId="0" fillId="0" borderId="0" xfId="0" applyNumberFormat="1" applyProtection="1">
      <protection hidden="1"/>
    </xf>
    <xf numFmtId="0" fontId="23" fillId="0" borderId="0" xfId="0" applyFont="1" applyProtection="1">
      <protection hidden="1"/>
    </xf>
    <xf numFmtId="164" fontId="21" fillId="0" borderId="0" xfId="0" applyNumberFormat="1" applyFont="1" applyAlignment="1" applyProtection="1">
      <alignment horizontal="center"/>
      <protection hidden="1"/>
    </xf>
    <xf numFmtId="164" fontId="0" fillId="0" borderId="0" xfId="0" applyNumberFormat="1" applyAlignment="1" applyProtection="1">
      <alignment horizontal="center"/>
      <protection hidden="1"/>
    </xf>
    <xf numFmtId="165" fontId="0" fillId="0" borderId="0" xfId="0" applyNumberFormat="1" applyAlignment="1" applyProtection="1">
      <alignment horizontal="center"/>
      <protection hidden="1"/>
    </xf>
    <xf numFmtId="0" fontId="23" fillId="42" borderId="0" xfId="0" applyFont="1" applyFill="1"/>
    <xf numFmtId="0" fontId="14" fillId="42" borderId="0" xfId="0" applyFont="1" applyFill="1"/>
    <xf numFmtId="0" fontId="0" fillId="0" borderId="0" xfId="0" applyAlignment="1">
      <alignment horizontal="left" wrapText="1"/>
    </xf>
    <xf numFmtId="0" fontId="0" fillId="49" borderId="0" xfId="0" applyFill="1" applyAlignment="1" applyProtection="1">
      <alignment horizontal="center"/>
      <protection hidden="1"/>
    </xf>
    <xf numFmtId="0" fontId="16" fillId="49" borderId="0" xfId="0" applyFont="1" applyFill="1" applyProtection="1">
      <protection hidden="1"/>
    </xf>
    <xf numFmtId="0" fontId="0" fillId="49" borderId="0" xfId="0" applyFill="1" applyProtection="1">
      <protection hidden="1"/>
    </xf>
    <xf numFmtId="0" fontId="0" fillId="0" borderId="28" xfId="0" applyBorder="1" applyAlignment="1">
      <alignment horizontal="left" vertical="center"/>
    </xf>
    <xf numFmtId="0" fontId="0" fillId="42" borderId="0" xfId="0" applyFill="1" applyAlignment="1">
      <alignment vertical="center"/>
    </xf>
    <xf numFmtId="0" fontId="0" fillId="0" borderId="15" xfId="0" applyBorder="1" applyAlignment="1">
      <alignment vertical="center"/>
    </xf>
    <xf numFmtId="0" fontId="0" fillId="0" borderId="15" xfId="0" applyBorder="1" applyAlignment="1" applyProtection="1">
      <alignment vertical="center"/>
      <protection hidden="1"/>
    </xf>
    <xf numFmtId="0" fontId="0" fillId="0" borderId="0" xfId="0" applyAlignment="1" applyProtection="1">
      <alignment vertical="center"/>
      <protection hidden="1"/>
    </xf>
    <xf numFmtId="0" fontId="0" fillId="0" borderId="13" xfId="0" applyBorder="1" applyAlignment="1" applyProtection="1">
      <alignment vertical="center"/>
      <protection hidden="1"/>
    </xf>
    <xf numFmtId="0" fontId="0" fillId="0" borderId="13" xfId="0" applyBorder="1" applyAlignment="1">
      <alignment vertical="center"/>
    </xf>
    <xf numFmtId="0" fontId="0" fillId="45" borderId="0" xfId="0" applyFill="1" applyAlignment="1">
      <alignment vertical="center"/>
    </xf>
    <xf numFmtId="0" fontId="21" fillId="0" borderId="0" xfId="0" applyFont="1" applyAlignment="1" applyProtection="1">
      <alignment vertical="center"/>
      <protection hidden="1"/>
    </xf>
    <xf numFmtId="164" fontId="16" fillId="34" borderId="28" xfId="0" applyNumberFormat="1" applyFont="1" applyFill="1" applyBorder="1" applyAlignment="1" applyProtection="1">
      <alignment horizontal="left"/>
      <protection hidden="1"/>
    </xf>
    <xf numFmtId="164" fontId="16" fillId="34" borderId="47" xfId="0" applyNumberFormat="1" applyFont="1" applyFill="1" applyBorder="1" applyAlignment="1" applyProtection="1">
      <alignment horizontal="center"/>
      <protection hidden="1"/>
    </xf>
    <xf numFmtId="0" fontId="0" fillId="34" borderId="47" xfId="0" applyFill="1" applyBorder="1" applyProtection="1">
      <protection hidden="1"/>
    </xf>
    <xf numFmtId="0" fontId="0" fillId="34" borderId="17" xfId="0" applyFill="1" applyBorder="1" applyProtection="1">
      <protection hidden="1"/>
    </xf>
    <xf numFmtId="164" fontId="16" fillId="34" borderId="18" xfId="0" applyNumberFormat="1" applyFont="1" applyFill="1" applyBorder="1" applyAlignment="1" applyProtection="1">
      <alignment horizontal="left"/>
      <protection hidden="1"/>
    </xf>
    <xf numFmtId="164" fontId="16" fillId="34" borderId="18" xfId="0" applyNumberFormat="1" applyFont="1" applyFill="1" applyBorder="1" applyAlignment="1" applyProtection="1">
      <alignment horizontal="center"/>
      <protection hidden="1"/>
    </xf>
    <xf numFmtId="0" fontId="0" fillId="34" borderId="18" xfId="0" applyFill="1" applyBorder="1" applyProtection="1">
      <protection hidden="1"/>
    </xf>
    <xf numFmtId="0" fontId="17" fillId="49" borderId="83" xfId="0" applyFont="1" applyFill="1" applyBorder="1"/>
    <xf numFmtId="0" fontId="17" fillId="49" borderId="85" xfId="0" applyFont="1" applyFill="1" applyBorder="1"/>
    <xf numFmtId="0" fontId="0" fillId="42" borderId="0" xfId="0" applyFill="1" applyAlignment="1">
      <alignment wrapText="1"/>
    </xf>
    <xf numFmtId="0" fontId="0" fillId="42" borderId="44" xfId="0" applyFill="1" applyBorder="1" applyAlignment="1">
      <alignment wrapText="1"/>
    </xf>
    <xf numFmtId="165" fontId="0" fillId="0" borderId="18" xfId="0" applyNumberFormat="1" applyBorder="1" applyAlignment="1">
      <alignment wrapText="1"/>
    </xf>
    <xf numFmtId="166" fontId="16" fillId="34" borderId="0" xfId="0" applyNumberFormat="1" applyFont="1" applyFill="1" applyAlignment="1" applyProtection="1">
      <alignment horizontal="center"/>
      <protection hidden="1"/>
    </xf>
    <xf numFmtId="166" fontId="0" fillId="0" borderId="0" xfId="0" applyNumberFormat="1" applyProtection="1">
      <protection hidden="1"/>
    </xf>
    <xf numFmtId="165" fontId="0" fillId="0" borderId="0" xfId="0" applyNumberFormat="1"/>
    <xf numFmtId="0" fontId="17" fillId="41" borderId="28" xfId="0" applyFont="1" applyFill="1" applyBorder="1" applyAlignment="1">
      <alignment horizontal="center" vertical="center" wrapText="1"/>
    </xf>
    <xf numFmtId="0" fontId="17" fillId="49" borderId="86" xfId="0" applyFont="1" applyFill="1" applyBorder="1"/>
    <xf numFmtId="0" fontId="17" fillId="41" borderId="47" xfId="0" applyFont="1" applyFill="1" applyBorder="1" applyAlignment="1">
      <alignment horizontal="center" vertical="center" wrapText="1"/>
    </xf>
    <xf numFmtId="10" fontId="0" fillId="0" borderId="47" xfId="0" applyNumberFormat="1" applyBorder="1"/>
    <xf numFmtId="164" fontId="0" fillId="0" borderId="19" xfId="0" applyNumberFormat="1" applyBorder="1" applyAlignment="1">
      <alignment wrapText="1"/>
    </xf>
    <xf numFmtId="164" fontId="0" fillId="0" borderId="34" xfId="0" applyNumberFormat="1" applyBorder="1" applyAlignment="1">
      <alignment wrapText="1"/>
    </xf>
    <xf numFmtId="164" fontId="0" fillId="0" borderId="36" xfId="0" applyNumberFormat="1" applyBorder="1" applyAlignment="1">
      <alignment wrapText="1"/>
    </xf>
    <xf numFmtId="165" fontId="0" fillId="0" borderId="31" xfId="0" applyNumberFormat="1" applyBorder="1"/>
    <xf numFmtId="165" fontId="0" fillId="0" borderId="15" xfId="0" applyNumberFormat="1" applyBorder="1"/>
    <xf numFmtId="165" fontId="0" fillId="0" borderId="29" xfId="0" applyNumberFormat="1" applyBorder="1"/>
    <xf numFmtId="165" fontId="0" fillId="0" borderId="37" xfId="0" applyNumberFormat="1" applyBorder="1"/>
    <xf numFmtId="165" fontId="0" fillId="0" borderId="38" xfId="0" applyNumberFormat="1" applyBorder="1"/>
    <xf numFmtId="165" fontId="0" fillId="0" borderId="28" xfId="0" applyNumberFormat="1" applyBorder="1"/>
    <xf numFmtId="2" fontId="16" fillId="34" borderId="0" xfId="0" applyNumberFormat="1" applyFont="1" applyFill="1" applyAlignment="1" applyProtection="1">
      <alignment horizontal="center"/>
      <protection hidden="1"/>
    </xf>
    <xf numFmtId="0" fontId="0" fillId="45" borderId="0" xfId="0" applyFill="1" applyAlignment="1" applyProtection="1">
      <alignment vertical="center"/>
      <protection hidden="1"/>
    </xf>
    <xf numFmtId="0" fontId="0" fillId="0" borderId="0" xfId="0" pivotButton="1"/>
    <xf numFmtId="10" fontId="0" fillId="0" borderId="13" xfId="0" applyNumberFormat="1" applyBorder="1" applyAlignment="1">
      <alignment horizontal="center"/>
    </xf>
    <xf numFmtId="0" fontId="0" fillId="0" borderId="14" xfId="0" applyBorder="1" applyProtection="1">
      <protection hidden="1"/>
    </xf>
    <xf numFmtId="164" fontId="0" fillId="0" borderId="0" xfId="0" applyNumberFormat="1" applyAlignment="1" applyProtection="1">
      <alignment wrapText="1"/>
      <protection hidden="1"/>
    </xf>
    <xf numFmtId="0" fontId="18" fillId="34" borderId="28" xfId="0" applyFont="1" applyFill="1" applyBorder="1" applyProtection="1">
      <protection hidden="1"/>
    </xf>
    <xf numFmtId="0" fontId="18" fillId="34" borderId="47" xfId="0" applyFont="1" applyFill="1" applyBorder="1" applyProtection="1">
      <protection hidden="1"/>
    </xf>
    <xf numFmtId="0" fontId="18" fillId="34" borderId="17" xfId="0" applyFont="1" applyFill="1" applyBorder="1" applyProtection="1">
      <protection hidden="1"/>
    </xf>
    <xf numFmtId="0" fontId="18" fillId="34" borderId="18" xfId="0" applyFont="1" applyFill="1" applyBorder="1" applyProtection="1">
      <protection hidden="1"/>
    </xf>
    <xf numFmtId="164" fontId="19" fillId="0" borderId="28" xfId="0" applyNumberFormat="1" applyFont="1" applyBorder="1" applyAlignment="1">
      <alignment horizontal="center" vertical="center"/>
    </xf>
    <xf numFmtId="0" fontId="0" fillId="0" borderId="13" xfId="0" applyBorder="1" applyAlignment="1" applyProtection="1">
      <alignment horizontal="center"/>
      <protection hidden="1"/>
    </xf>
    <xf numFmtId="0" fontId="0" fillId="0" borderId="27"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0" fillId="0" borderId="16" xfId="0" applyBorder="1" applyAlignment="1">
      <alignment horizontal="left" wrapText="1"/>
    </xf>
    <xf numFmtId="0" fontId="0" fillId="0" borderId="44" xfId="0" applyBorder="1" applyAlignment="1">
      <alignment horizontal="left" wrapText="1"/>
    </xf>
    <xf numFmtId="0" fontId="0" fillId="0" borderId="10" xfId="0" applyBorder="1" applyAlignment="1">
      <alignment horizontal="left" wrapText="1"/>
    </xf>
    <xf numFmtId="0" fontId="0" fillId="0" borderId="18" xfId="0" applyBorder="1" applyAlignment="1">
      <alignment horizontal="center"/>
    </xf>
    <xf numFmtId="0" fontId="0" fillId="0" borderId="28" xfId="0" applyBorder="1" applyAlignment="1">
      <alignment horizontal="center"/>
    </xf>
    <xf numFmtId="0" fontId="0" fillId="0" borderId="47" xfId="0" applyBorder="1" applyAlignment="1">
      <alignment horizontal="center"/>
    </xf>
    <xf numFmtId="0" fontId="0" fillId="0" borderId="17" xfId="0" applyBorder="1" applyAlignment="1">
      <alignment horizontal="center"/>
    </xf>
    <xf numFmtId="0" fontId="0" fillId="0" borderId="0" xfId="0" applyAlignment="1">
      <alignment horizontal="center"/>
    </xf>
    <xf numFmtId="0" fontId="22" fillId="41" borderId="18" xfId="0" applyFont="1" applyFill="1" applyBorder="1" applyAlignment="1">
      <alignment horizontal="center" vertical="center" textRotation="255"/>
    </xf>
    <xf numFmtId="0" fontId="22" fillId="50" borderId="18" xfId="0" applyFont="1" applyFill="1" applyBorder="1" applyAlignment="1">
      <alignment horizontal="center" vertical="center" textRotation="255"/>
    </xf>
    <xf numFmtId="0" fontId="22" fillId="46" borderId="18" xfId="0" applyFont="1" applyFill="1" applyBorder="1" applyAlignment="1">
      <alignment horizontal="center" vertical="center" textRotation="255"/>
    </xf>
    <xf numFmtId="0" fontId="16" fillId="33" borderId="28" xfId="0" applyFont="1" applyFill="1" applyBorder="1" applyAlignment="1" applyProtection="1">
      <alignment horizontal="center"/>
      <protection hidden="1"/>
    </xf>
    <xf numFmtId="0" fontId="16" fillId="33" borderId="47" xfId="0" applyFont="1" applyFill="1" applyBorder="1" applyAlignment="1" applyProtection="1">
      <alignment horizontal="center"/>
      <protection hidden="1"/>
    </xf>
    <xf numFmtId="0" fontId="16" fillId="33" borderId="17" xfId="0" applyFont="1" applyFill="1" applyBorder="1" applyAlignment="1" applyProtection="1">
      <alignment horizontal="center"/>
      <protection hidden="1"/>
    </xf>
    <xf numFmtId="0" fontId="16" fillId="33" borderId="36" xfId="0" applyFont="1" applyFill="1" applyBorder="1" applyAlignment="1" applyProtection="1">
      <alignment horizontal="center"/>
      <protection hidden="1"/>
    </xf>
    <xf numFmtId="165" fontId="16" fillId="34" borderId="28" xfId="0" applyNumberFormat="1" applyFont="1" applyFill="1" applyBorder="1" applyAlignment="1" applyProtection="1">
      <alignment horizontal="center"/>
      <protection hidden="1"/>
    </xf>
    <xf numFmtId="165" fontId="16" fillId="34" borderId="47" xfId="0" applyNumberFormat="1" applyFont="1" applyFill="1" applyBorder="1" applyAlignment="1" applyProtection="1">
      <alignment horizontal="center"/>
      <protection hidden="1"/>
    </xf>
    <xf numFmtId="165" fontId="16" fillId="34" borderId="17" xfId="0" applyNumberFormat="1" applyFont="1" applyFill="1" applyBorder="1" applyAlignment="1" applyProtection="1">
      <alignment horizontal="center"/>
      <protection hidden="1"/>
    </xf>
    <xf numFmtId="0" fontId="26" fillId="0" borderId="54" xfId="0" applyFont="1" applyBorder="1" applyAlignment="1" applyProtection="1">
      <alignment horizontal="center"/>
      <protection hidden="1"/>
    </xf>
    <xf numFmtId="0" fontId="28" fillId="0" borderId="28" xfId="0" applyFont="1" applyBorder="1" applyAlignment="1" applyProtection="1">
      <alignment horizontal="center" vertical="center"/>
      <protection hidden="1"/>
    </xf>
    <xf numFmtId="0" fontId="28" fillId="0" borderId="47" xfId="0" applyFont="1" applyBorder="1" applyAlignment="1" applyProtection="1">
      <alignment horizontal="center" vertical="center"/>
      <protection hidden="1"/>
    </xf>
    <xf numFmtId="0" fontId="28" fillId="0" borderId="17" xfId="0" applyFont="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0" fillId="47" borderId="34" xfId="0" applyFill="1" applyBorder="1" applyAlignment="1" applyProtection="1">
      <alignment horizontal="center"/>
      <protection hidden="1"/>
    </xf>
    <xf numFmtId="164" fontId="0" fillId="47" borderId="34" xfId="0" applyNumberFormat="1" applyFill="1" applyBorder="1" applyAlignment="1" applyProtection="1">
      <alignment horizontal="center"/>
      <protection hidden="1"/>
    </xf>
    <xf numFmtId="164" fontId="0" fillId="0" borderId="18" xfId="0" applyNumberFormat="1" applyBorder="1" applyAlignment="1" applyProtection="1">
      <alignment horizontal="center"/>
      <protection locked="0"/>
    </xf>
    <xf numFmtId="1" fontId="0" fillId="0" borderId="18" xfId="0" applyNumberFormat="1" applyBorder="1" applyAlignment="1" applyProtection="1">
      <alignment horizontal="center"/>
      <protection locked="0"/>
    </xf>
    <xf numFmtId="0" fontId="0" fillId="0" borderId="18" xfId="0" applyBorder="1" applyAlignment="1" applyProtection="1">
      <alignment horizontal="center"/>
      <protection locked="0"/>
    </xf>
    <xf numFmtId="164" fontId="0" fillId="47" borderId="28" xfId="0" applyNumberFormat="1" applyFill="1" applyBorder="1" applyAlignment="1" applyProtection="1">
      <alignment horizontal="center"/>
      <protection hidden="1"/>
    </xf>
    <xf numFmtId="164" fontId="0" fillId="47" borderId="47" xfId="0" applyNumberFormat="1" applyFill="1" applyBorder="1" applyAlignment="1" applyProtection="1">
      <alignment horizontal="center"/>
      <protection hidden="1"/>
    </xf>
    <xf numFmtId="164" fontId="0" fillId="47" borderId="17" xfId="0" applyNumberFormat="1" applyFill="1" applyBorder="1" applyAlignment="1" applyProtection="1">
      <alignment horizontal="center"/>
      <protection hidden="1"/>
    </xf>
    <xf numFmtId="0" fontId="23" fillId="49" borderId="53" xfId="0" applyFont="1" applyFill="1" applyBorder="1" applyAlignment="1">
      <alignment horizontal="center"/>
    </xf>
    <xf numFmtId="0" fontId="23" fillId="49" borderId="54" xfId="0" applyFont="1" applyFill="1" applyBorder="1" applyAlignment="1">
      <alignment horizontal="center"/>
    </xf>
    <xf numFmtId="0" fontId="23" fillId="49" borderId="55" xfId="0" applyFont="1" applyFill="1" applyBorder="1" applyAlignment="1">
      <alignment horizontal="center"/>
    </xf>
    <xf numFmtId="0" fontId="16" fillId="33" borderId="53" xfId="0" applyFont="1" applyFill="1" applyBorder="1" applyAlignment="1">
      <alignment horizontal="center" vertical="center"/>
    </xf>
    <xf numFmtId="0" fontId="16" fillId="33" borderId="54" xfId="0" applyFont="1" applyFill="1" applyBorder="1" applyAlignment="1">
      <alignment horizontal="center" vertical="center"/>
    </xf>
    <xf numFmtId="0" fontId="0" fillId="0" borderId="72" xfId="0" applyBorder="1" applyAlignment="1" applyProtection="1">
      <alignment horizontal="center" vertical="center"/>
      <protection locked="0"/>
    </xf>
    <xf numFmtId="0" fontId="0" fillId="0" borderId="54" xfId="0" applyBorder="1" applyAlignment="1" applyProtection="1">
      <alignment horizontal="center" vertical="center"/>
      <protection locked="0"/>
    </xf>
    <xf numFmtId="0" fontId="0" fillId="0" borderId="55" xfId="0" applyBorder="1" applyAlignment="1" applyProtection="1">
      <alignment horizontal="center" vertical="center"/>
      <protection locked="0"/>
    </xf>
    <xf numFmtId="0" fontId="16" fillId="0" borderId="18" xfId="0" applyFont="1" applyBorder="1" applyAlignment="1">
      <alignment horizontal="center" vertical="center"/>
    </xf>
    <xf numFmtId="0" fontId="29" fillId="0" borderId="18" xfId="0" applyFont="1" applyBorder="1" applyAlignment="1">
      <alignment horizontal="center" vertical="center"/>
    </xf>
    <xf numFmtId="0" fontId="16" fillId="33" borderId="18" xfId="0" applyFont="1" applyFill="1" applyBorder="1" applyAlignment="1" applyProtection="1">
      <alignment horizontal="center"/>
      <protection hidden="1"/>
    </xf>
    <xf numFmtId="0" fontId="0" fillId="47" borderId="28" xfId="0" applyFill="1" applyBorder="1" applyAlignment="1" applyProtection="1">
      <alignment horizontal="center"/>
      <protection hidden="1"/>
    </xf>
    <xf numFmtId="0" fontId="0" fillId="47" borderId="47" xfId="0" applyFill="1" applyBorder="1" applyAlignment="1" applyProtection="1">
      <alignment horizontal="center"/>
      <protection hidden="1"/>
    </xf>
    <xf numFmtId="0" fontId="0" fillId="47" borderId="17" xfId="0" applyFill="1" applyBorder="1" applyAlignment="1" applyProtection="1">
      <alignment horizontal="center"/>
      <protection hidden="1"/>
    </xf>
    <xf numFmtId="0" fontId="25" fillId="47" borderId="28" xfId="0" applyFont="1" applyFill="1" applyBorder="1" applyAlignment="1" applyProtection="1">
      <alignment horizontal="center"/>
      <protection hidden="1"/>
    </xf>
    <xf numFmtId="0" fontId="25" fillId="47" borderId="47" xfId="0" applyFont="1" applyFill="1" applyBorder="1" applyAlignment="1" applyProtection="1">
      <alignment horizontal="center"/>
      <protection hidden="1"/>
    </xf>
    <xf numFmtId="0" fontId="25" fillId="47" borderId="17" xfId="0" applyFont="1" applyFill="1" applyBorder="1" applyAlignment="1" applyProtection="1">
      <alignment horizontal="center"/>
      <protection hidden="1"/>
    </xf>
    <xf numFmtId="0" fontId="0" fillId="0" borderId="28" xfId="0" applyBorder="1" applyAlignment="1" applyProtection="1">
      <alignment horizontal="center"/>
      <protection locked="0"/>
    </xf>
    <xf numFmtId="0" fontId="0" fillId="0" borderId="47"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34" xfId="0" applyBorder="1" applyAlignment="1" applyProtection="1">
      <alignment horizontal="center"/>
      <protection locked="0"/>
    </xf>
    <xf numFmtId="14" fontId="0" fillId="0" borderId="28" xfId="0" applyNumberFormat="1" applyBorder="1" applyAlignment="1" applyProtection="1">
      <alignment horizontal="center"/>
      <protection locked="0"/>
    </xf>
    <xf numFmtId="14" fontId="0" fillId="0" borderId="47" xfId="0" applyNumberFormat="1" applyBorder="1" applyAlignment="1" applyProtection="1">
      <alignment horizontal="center"/>
      <protection locked="0"/>
    </xf>
    <xf numFmtId="14" fontId="0" fillId="0" borderId="17" xfId="0" applyNumberFormat="1" applyBorder="1" applyAlignment="1" applyProtection="1">
      <alignment horizontal="center"/>
      <protection locked="0"/>
    </xf>
    <xf numFmtId="164" fontId="0" fillId="0" borderId="28" xfId="0" applyNumberFormat="1" applyBorder="1" applyAlignment="1" applyProtection="1">
      <alignment horizontal="center"/>
      <protection locked="0"/>
    </xf>
    <xf numFmtId="164" fontId="0" fillId="0" borderId="47" xfId="0" applyNumberFormat="1" applyBorder="1" applyAlignment="1" applyProtection="1">
      <alignment horizontal="center"/>
      <protection locked="0"/>
    </xf>
    <xf numFmtId="164" fontId="0" fillId="0" borderId="17" xfId="0" applyNumberFormat="1" applyBorder="1" applyAlignment="1" applyProtection="1">
      <alignment horizontal="center"/>
      <protection locked="0"/>
    </xf>
    <xf numFmtId="1" fontId="0" fillId="47" borderId="34" xfId="0" applyNumberFormat="1" applyFill="1" applyBorder="1" applyAlignment="1" applyProtection="1">
      <alignment horizontal="center"/>
      <protection hidden="1"/>
    </xf>
    <xf numFmtId="0" fontId="0" fillId="48" borderId="18" xfId="0" applyFill="1" applyBorder="1" applyAlignment="1" applyProtection="1">
      <alignment horizontal="center"/>
      <protection hidden="1"/>
    </xf>
    <xf numFmtId="0" fontId="30" fillId="41" borderId="28" xfId="0" applyFont="1" applyFill="1" applyBorder="1" applyAlignment="1" applyProtection="1">
      <alignment horizontal="center" vertical="center"/>
      <protection hidden="1"/>
    </xf>
    <xf numFmtId="0" fontId="30" fillId="41" borderId="47" xfId="0" applyFont="1" applyFill="1" applyBorder="1" applyAlignment="1" applyProtection="1">
      <alignment horizontal="center" vertical="center"/>
      <protection hidden="1"/>
    </xf>
    <xf numFmtId="0" fontId="30" fillId="41" borderId="17" xfId="0" applyFont="1" applyFill="1" applyBorder="1" applyAlignment="1" applyProtection="1">
      <alignment horizontal="center" vertical="center"/>
      <protection hidden="1"/>
    </xf>
    <xf numFmtId="0" fontId="30" fillId="41" borderId="18" xfId="0" applyFont="1" applyFill="1" applyBorder="1" applyAlignment="1" applyProtection="1">
      <alignment horizontal="center" vertical="center"/>
      <protection hidden="1"/>
    </xf>
    <xf numFmtId="0" fontId="0" fillId="48" borderId="28" xfId="0" applyFill="1" applyBorder="1" applyAlignment="1" applyProtection="1">
      <alignment horizontal="center"/>
      <protection hidden="1"/>
    </xf>
    <xf numFmtId="0" fontId="0" fillId="48" borderId="47" xfId="0" applyFill="1" applyBorder="1" applyAlignment="1" applyProtection="1">
      <alignment horizontal="center"/>
      <protection hidden="1"/>
    </xf>
    <xf numFmtId="0" fontId="0" fillId="48" borderId="17" xfId="0" applyFill="1" applyBorder="1" applyAlignment="1" applyProtection="1">
      <alignment horizontal="center"/>
      <protection hidden="1"/>
    </xf>
    <xf numFmtId="0" fontId="0" fillId="48" borderId="57" xfId="0" applyFill="1" applyBorder="1" applyAlignment="1" applyProtection="1">
      <alignment horizontal="center"/>
      <protection hidden="1"/>
    </xf>
    <xf numFmtId="0" fontId="0" fillId="48" borderId="58" xfId="0" applyFill="1" applyBorder="1" applyAlignment="1" applyProtection="1">
      <alignment horizontal="center"/>
      <protection hidden="1"/>
    </xf>
    <xf numFmtId="0" fontId="0" fillId="48" borderId="59" xfId="0" applyFill="1" applyBorder="1" applyAlignment="1" applyProtection="1">
      <alignment horizontal="center"/>
      <protection hidden="1"/>
    </xf>
    <xf numFmtId="0" fontId="16" fillId="0" borderId="53" xfId="0" applyFont="1" applyBorder="1" applyAlignment="1" applyProtection="1">
      <alignment horizontal="center"/>
      <protection hidden="1"/>
    </xf>
    <xf numFmtId="0" fontId="16" fillId="0" borderId="54" xfId="0" applyFont="1" applyBorder="1" applyAlignment="1" applyProtection="1">
      <alignment horizontal="center"/>
      <protection hidden="1"/>
    </xf>
    <xf numFmtId="0" fontId="16" fillId="0" borderId="55" xfId="0" applyFont="1" applyBorder="1" applyAlignment="1" applyProtection="1">
      <alignment horizontal="center"/>
      <protection hidden="1"/>
    </xf>
    <xf numFmtId="0" fontId="16" fillId="0" borderId="69" xfId="0" applyFont="1" applyBorder="1" applyAlignment="1" applyProtection="1">
      <alignment horizontal="center"/>
      <protection hidden="1"/>
    </xf>
    <xf numFmtId="0" fontId="16" fillId="0" borderId="70" xfId="0" applyFont="1" applyBorder="1" applyAlignment="1" applyProtection="1">
      <alignment horizontal="center"/>
      <protection hidden="1"/>
    </xf>
    <xf numFmtId="0" fontId="16" fillId="0" borderId="71" xfId="0" applyFont="1" applyBorder="1" applyAlignment="1" applyProtection="1">
      <alignment horizontal="center"/>
      <protection hidden="1"/>
    </xf>
    <xf numFmtId="0" fontId="0" fillId="33" borderId="51" xfId="0" applyFill="1" applyBorder="1" applyAlignment="1" applyProtection="1">
      <alignment horizontal="center"/>
      <protection hidden="1"/>
    </xf>
    <xf numFmtId="0" fontId="0" fillId="33" borderId="34" xfId="0" applyFill="1" applyBorder="1" applyAlignment="1" applyProtection="1">
      <alignment horizontal="center"/>
      <protection hidden="1"/>
    </xf>
    <xf numFmtId="0" fontId="0" fillId="33" borderId="52" xfId="0" applyFill="1" applyBorder="1" applyAlignment="1" applyProtection="1">
      <alignment horizontal="center"/>
      <protection hidden="1"/>
    </xf>
    <xf numFmtId="0" fontId="0" fillId="48" borderId="51" xfId="0" applyFill="1" applyBorder="1" applyAlignment="1" applyProtection="1">
      <alignment horizontal="center"/>
      <protection hidden="1"/>
    </xf>
    <xf numFmtId="0" fontId="0" fillId="48" borderId="34" xfId="0" applyFill="1" applyBorder="1" applyAlignment="1" applyProtection="1">
      <alignment horizontal="center"/>
      <protection hidden="1"/>
    </xf>
    <xf numFmtId="0" fontId="0" fillId="48" borderId="52" xfId="0" applyFill="1" applyBorder="1" applyAlignment="1" applyProtection="1">
      <alignment horizontal="center"/>
      <protection hidden="1"/>
    </xf>
    <xf numFmtId="0" fontId="23" fillId="0" borderId="0" xfId="0" applyFont="1" applyAlignment="1" applyProtection="1">
      <alignment horizontal="center"/>
      <protection hidden="1"/>
    </xf>
    <xf numFmtId="0" fontId="23" fillId="0" borderId="24" xfId="0" applyFont="1" applyBorder="1" applyAlignment="1" applyProtection="1">
      <alignment horizontal="center"/>
      <protection hidden="1"/>
    </xf>
    <xf numFmtId="164" fontId="21" fillId="47" borderId="48" xfId="0" applyNumberFormat="1" applyFont="1" applyFill="1" applyBorder="1" applyAlignment="1" applyProtection="1">
      <alignment horizontal="center"/>
      <protection hidden="1"/>
    </xf>
    <xf numFmtId="164" fontId="21" fillId="47" borderId="49" xfId="0" applyNumberFormat="1" applyFont="1" applyFill="1" applyBorder="1" applyAlignment="1" applyProtection="1">
      <alignment horizontal="center"/>
      <protection hidden="1"/>
    </xf>
    <xf numFmtId="164" fontId="21" fillId="47" borderId="50" xfId="0" applyNumberFormat="1" applyFont="1" applyFill="1" applyBorder="1" applyAlignment="1" applyProtection="1">
      <alignment horizontal="center"/>
      <protection hidden="1"/>
    </xf>
    <xf numFmtId="165" fontId="21" fillId="45" borderId="48" xfId="0" applyNumberFormat="1" applyFont="1" applyFill="1" applyBorder="1" applyAlignment="1" applyProtection="1">
      <alignment horizontal="center"/>
      <protection hidden="1"/>
    </xf>
    <xf numFmtId="165" fontId="21" fillId="45" borderId="49" xfId="0" applyNumberFormat="1" applyFont="1" applyFill="1" applyBorder="1" applyAlignment="1" applyProtection="1">
      <alignment horizontal="center"/>
      <protection hidden="1"/>
    </xf>
    <xf numFmtId="10" fontId="21" fillId="47" borderId="49" xfId="0" applyNumberFormat="1" applyFont="1" applyFill="1" applyBorder="1" applyAlignment="1" applyProtection="1">
      <alignment horizontal="center"/>
      <protection hidden="1"/>
    </xf>
    <xf numFmtId="10" fontId="21" fillId="47" borderId="50" xfId="0" applyNumberFormat="1" applyFont="1" applyFill="1" applyBorder="1" applyAlignment="1" applyProtection="1">
      <alignment horizontal="center"/>
      <protection hidden="1"/>
    </xf>
    <xf numFmtId="10" fontId="21" fillId="45" borderId="48" xfId="0" applyNumberFormat="1" applyFont="1" applyFill="1" applyBorder="1" applyAlignment="1" applyProtection="1">
      <alignment horizontal="center"/>
      <protection hidden="1"/>
    </xf>
    <xf numFmtId="10" fontId="21" fillId="45" borderId="49" xfId="0" applyNumberFormat="1" applyFont="1" applyFill="1" applyBorder="1" applyAlignment="1" applyProtection="1">
      <alignment horizontal="center"/>
      <protection hidden="1"/>
    </xf>
    <xf numFmtId="10" fontId="25" fillId="0" borderId="54" xfId="0" applyNumberFormat="1" applyFont="1" applyBorder="1" applyAlignment="1" applyProtection="1">
      <alignment horizontal="center"/>
      <protection hidden="1"/>
    </xf>
    <xf numFmtId="0" fontId="0" fillId="48" borderId="73" xfId="0" applyFill="1" applyBorder="1" applyAlignment="1" applyProtection="1">
      <alignment horizontal="center"/>
      <protection hidden="1"/>
    </xf>
    <xf numFmtId="0" fontId="0" fillId="48" borderId="74" xfId="0" applyFill="1" applyBorder="1" applyAlignment="1" applyProtection="1">
      <alignment horizontal="center"/>
      <protection hidden="1"/>
    </xf>
    <xf numFmtId="0" fontId="0" fillId="48" borderId="75" xfId="0" applyFill="1" applyBorder="1" applyAlignment="1" applyProtection="1">
      <alignment horizontal="center"/>
      <protection hidden="1"/>
    </xf>
    <xf numFmtId="0" fontId="0" fillId="48" borderId="79" xfId="0" applyFill="1" applyBorder="1" applyAlignment="1" applyProtection="1">
      <alignment horizontal="center"/>
      <protection hidden="1"/>
    </xf>
    <xf numFmtId="0" fontId="0" fillId="48" borderId="67" xfId="0" applyFill="1" applyBorder="1" applyAlignment="1" applyProtection="1">
      <alignment horizontal="center"/>
      <protection hidden="1"/>
    </xf>
    <xf numFmtId="0" fontId="0" fillId="33" borderId="57" xfId="0" applyFill="1" applyBorder="1" applyAlignment="1" applyProtection="1">
      <alignment horizontal="center"/>
      <protection hidden="1"/>
    </xf>
    <xf numFmtId="0" fontId="0" fillId="33" borderId="58" xfId="0" applyFill="1" applyBorder="1" applyAlignment="1" applyProtection="1">
      <alignment horizontal="center"/>
      <protection hidden="1"/>
    </xf>
    <xf numFmtId="0" fontId="0" fillId="33" borderId="59" xfId="0" applyFill="1" applyBorder="1" applyAlignment="1" applyProtection="1">
      <alignment horizontal="center"/>
      <protection hidden="1"/>
    </xf>
    <xf numFmtId="0" fontId="0" fillId="33" borderId="61" xfId="0" applyFill="1" applyBorder="1" applyAlignment="1" applyProtection="1">
      <alignment horizontal="center"/>
      <protection hidden="1"/>
    </xf>
    <xf numFmtId="0" fontId="0" fillId="33" borderId="62" xfId="0" applyFill="1" applyBorder="1" applyAlignment="1" applyProtection="1">
      <alignment horizontal="center"/>
      <protection hidden="1"/>
    </xf>
    <xf numFmtId="0" fontId="0" fillId="33" borderId="63" xfId="0" applyFill="1" applyBorder="1" applyAlignment="1" applyProtection="1">
      <alignment horizontal="center"/>
      <protection hidden="1"/>
    </xf>
    <xf numFmtId="0" fontId="0" fillId="33" borderId="79" xfId="0" applyFill="1" applyBorder="1" applyAlignment="1" applyProtection="1">
      <alignment horizontal="center"/>
      <protection hidden="1"/>
    </xf>
    <xf numFmtId="164" fontId="21" fillId="0" borderId="76" xfId="0" applyNumberFormat="1" applyFont="1" applyBorder="1" applyAlignment="1" applyProtection="1">
      <alignment horizontal="center"/>
      <protection locked="0"/>
    </xf>
    <xf numFmtId="164" fontId="21" fillId="0" borderId="77" xfId="0" applyNumberFormat="1" applyFont="1" applyBorder="1" applyAlignment="1" applyProtection="1">
      <alignment horizontal="center"/>
      <protection locked="0"/>
    </xf>
    <xf numFmtId="164" fontId="21" fillId="0" borderId="78" xfId="0" applyNumberFormat="1" applyFont="1" applyBorder="1" applyAlignment="1" applyProtection="1">
      <alignment horizontal="center"/>
      <protection locked="0"/>
    </xf>
    <xf numFmtId="164" fontId="21" fillId="47" borderId="80" xfId="0" applyNumberFormat="1" applyFont="1" applyFill="1" applyBorder="1" applyAlignment="1" applyProtection="1">
      <alignment horizontal="center"/>
      <protection hidden="1"/>
    </xf>
    <xf numFmtId="164" fontId="21" fillId="47" borderId="68" xfId="0" applyNumberFormat="1" applyFont="1" applyFill="1" applyBorder="1" applyAlignment="1" applyProtection="1">
      <alignment horizontal="center"/>
      <protection hidden="1"/>
    </xf>
    <xf numFmtId="164" fontId="21" fillId="0" borderId="49" xfId="0" applyNumberFormat="1" applyFont="1" applyBorder="1" applyAlignment="1" applyProtection="1">
      <alignment horizontal="center"/>
      <protection hidden="1"/>
    </xf>
    <xf numFmtId="164" fontId="21" fillId="0" borderId="50" xfId="0" applyNumberFormat="1" applyFont="1" applyBorder="1" applyAlignment="1" applyProtection="1">
      <alignment horizontal="center"/>
      <protection hidden="1"/>
    </xf>
    <xf numFmtId="165" fontId="24" fillId="45" borderId="16" xfId="0" applyNumberFormat="1" applyFont="1" applyFill="1" applyBorder="1" applyAlignment="1" applyProtection="1">
      <alignment horizontal="center"/>
      <protection hidden="1"/>
    </xf>
    <xf numFmtId="165" fontId="24" fillId="45" borderId="44" xfId="0" applyNumberFormat="1" applyFont="1" applyFill="1" applyBorder="1" applyAlignment="1" applyProtection="1">
      <alignment horizontal="center"/>
      <protection hidden="1"/>
    </xf>
    <xf numFmtId="165" fontId="24" fillId="45" borderId="43" xfId="0" applyNumberFormat="1" applyFont="1" applyFill="1" applyBorder="1" applyAlignment="1" applyProtection="1">
      <alignment horizontal="center"/>
      <protection hidden="1"/>
    </xf>
    <xf numFmtId="165" fontId="21" fillId="0" borderId="42" xfId="0" applyNumberFormat="1" applyFont="1" applyBorder="1" applyAlignment="1" applyProtection="1">
      <alignment horizontal="center"/>
      <protection hidden="1"/>
    </xf>
    <xf numFmtId="165" fontId="21" fillId="0" borderId="44" xfId="0" applyNumberFormat="1" applyFont="1" applyBorder="1" applyAlignment="1" applyProtection="1">
      <alignment horizontal="center"/>
      <protection hidden="1"/>
    </xf>
    <xf numFmtId="165" fontId="21" fillId="0" borderId="10" xfId="0" applyNumberFormat="1" applyFont="1" applyBorder="1" applyAlignment="1" applyProtection="1">
      <alignment horizontal="center"/>
      <protection hidden="1"/>
    </xf>
    <xf numFmtId="164" fontId="21" fillId="47" borderId="64" xfId="0" applyNumberFormat="1" applyFont="1" applyFill="1" applyBorder="1" applyAlignment="1" applyProtection="1">
      <alignment horizontal="center"/>
      <protection hidden="1"/>
    </xf>
    <xf numFmtId="164" fontId="21" fillId="47" borderId="65" xfId="0" applyNumberFormat="1" applyFont="1" applyFill="1" applyBorder="1" applyAlignment="1" applyProtection="1">
      <alignment horizontal="center"/>
      <protection hidden="1"/>
    </xf>
    <xf numFmtId="164" fontId="21" fillId="47" borderId="66" xfId="0" applyNumberFormat="1" applyFont="1" applyFill="1" applyBorder="1" applyAlignment="1" applyProtection="1">
      <alignment horizontal="center"/>
      <protection hidden="1"/>
    </xf>
    <xf numFmtId="164" fontId="21" fillId="47" borderId="56" xfId="0" applyNumberFormat="1" applyFont="1" applyFill="1" applyBorder="1" applyAlignment="1" applyProtection="1">
      <alignment horizontal="center"/>
      <protection hidden="1"/>
    </xf>
    <xf numFmtId="165" fontId="24" fillId="45" borderId="48" xfId="0" applyNumberFormat="1" applyFont="1" applyFill="1" applyBorder="1" applyAlignment="1" applyProtection="1">
      <alignment horizontal="center"/>
      <protection hidden="1"/>
    </xf>
    <xf numFmtId="165" fontId="24" fillId="45" borderId="49" xfId="0" applyNumberFormat="1" applyFont="1" applyFill="1" applyBorder="1" applyAlignment="1" applyProtection="1">
      <alignment horizontal="center"/>
      <protection hidden="1"/>
    </xf>
    <xf numFmtId="165" fontId="21" fillId="47" borderId="49" xfId="0" applyNumberFormat="1" applyFont="1" applyFill="1" applyBorder="1" applyAlignment="1" applyProtection="1">
      <alignment horizontal="center"/>
      <protection hidden="1"/>
    </xf>
    <xf numFmtId="165" fontId="21" fillId="47" borderId="50" xfId="0" applyNumberFormat="1" applyFont="1" applyFill="1" applyBorder="1" applyAlignment="1" applyProtection="1">
      <alignment horizontal="center"/>
      <protection hidden="1"/>
    </xf>
    <xf numFmtId="0" fontId="30" fillId="42" borderId="28" xfId="0" applyFont="1" applyFill="1" applyBorder="1" applyAlignment="1" applyProtection="1">
      <alignment horizontal="center" vertical="center"/>
      <protection hidden="1"/>
    </xf>
    <xf numFmtId="0" fontId="30" fillId="42" borderId="47" xfId="0" applyFont="1" applyFill="1" applyBorder="1" applyAlignment="1" applyProtection="1">
      <alignment horizontal="center" vertical="center"/>
      <protection hidden="1"/>
    </xf>
    <xf numFmtId="0" fontId="30" fillId="42" borderId="17" xfId="0" applyFont="1" applyFill="1" applyBorder="1" applyAlignment="1" applyProtection="1">
      <alignment horizontal="center" vertical="center"/>
      <protection hidden="1"/>
    </xf>
    <xf numFmtId="0" fontId="0" fillId="33" borderId="28" xfId="0" applyFill="1" applyBorder="1" applyAlignment="1" applyProtection="1">
      <alignment horizontal="center"/>
      <protection hidden="1"/>
    </xf>
    <xf numFmtId="0" fontId="0" fillId="33" borderId="47" xfId="0" applyFill="1" applyBorder="1" applyAlignment="1" applyProtection="1">
      <alignment horizontal="center"/>
      <protection hidden="1"/>
    </xf>
    <xf numFmtId="0" fontId="0" fillId="33" borderId="17" xfId="0" applyFill="1" applyBorder="1" applyAlignment="1" applyProtection="1">
      <alignment horizontal="center"/>
      <protection hidden="1"/>
    </xf>
    <xf numFmtId="10" fontId="21" fillId="47" borderId="28" xfId="42" applyNumberFormat="1" applyFont="1" applyFill="1" applyBorder="1" applyAlignment="1" applyProtection="1">
      <alignment horizontal="center"/>
      <protection hidden="1"/>
    </xf>
    <xf numFmtId="10" fontId="21" fillId="47" borderId="47" xfId="42" applyNumberFormat="1" applyFont="1" applyFill="1" applyBorder="1" applyAlignment="1" applyProtection="1">
      <alignment horizontal="center"/>
      <protection hidden="1"/>
    </xf>
    <xf numFmtId="10" fontId="21" fillId="47" borderId="17" xfId="42" applyNumberFormat="1" applyFont="1" applyFill="1" applyBorder="1" applyAlignment="1" applyProtection="1">
      <alignment horizontal="center"/>
      <protection hidden="1"/>
    </xf>
    <xf numFmtId="0" fontId="16" fillId="47" borderId="18" xfId="0" applyFont="1" applyFill="1" applyBorder="1" applyAlignment="1" applyProtection="1">
      <alignment horizontal="center"/>
      <protection hidden="1"/>
    </xf>
    <xf numFmtId="0" fontId="16" fillId="47" borderId="28" xfId="0" applyFont="1" applyFill="1" applyBorder="1" applyAlignment="1" applyProtection="1">
      <alignment horizontal="center"/>
      <protection hidden="1"/>
    </xf>
    <xf numFmtId="0" fontId="16" fillId="47" borderId="47" xfId="0" applyFont="1" applyFill="1" applyBorder="1" applyAlignment="1" applyProtection="1">
      <alignment horizontal="center"/>
      <protection hidden="1"/>
    </xf>
    <xf numFmtId="0" fontId="16" fillId="47" borderId="17" xfId="0" applyFont="1" applyFill="1" applyBorder="1" applyAlignment="1" applyProtection="1">
      <alignment horizontal="center"/>
      <protection hidden="1"/>
    </xf>
    <xf numFmtId="10" fontId="21" fillId="47" borderId="48" xfId="0" applyNumberFormat="1" applyFont="1" applyFill="1" applyBorder="1" applyAlignment="1" applyProtection="1">
      <alignment horizontal="center"/>
      <protection hidden="1"/>
    </xf>
    <xf numFmtId="0" fontId="0" fillId="33" borderId="60" xfId="0" applyFill="1" applyBorder="1" applyAlignment="1" applyProtection="1">
      <alignment horizontal="center"/>
      <protection hidden="1"/>
    </xf>
    <xf numFmtId="0" fontId="0" fillId="33" borderId="81" xfId="0" applyFill="1" applyBorder="1" applyAlignment="1" applyProtection="1">
      <alignment horizontal="center"/>
      <protection hidden="1"/>
    </xf>
    <xf numFmtId="164" fontId="21" fillId="0" borderId="64" xfId="0" applyNumberFormat="1" applyFont="1" applyBorder="1" applyAlignment="1" applyProtection="1">
      <alignment horizontal="center"/>
      <protection locked="0"/>
    </xf>
    <xf numFmtId="164" fontId="21" fillId="0" borderId="65" xfId="0" applyNumberFormat="1" applyFont="1" applyBorder="1" applyAlignment="1" applyProtection="1">
      <alignment horizontal="center"/>
      <protection locked="0"/>
    </xf>
    <xf numFmtId="164" fontId="21" fillId="0" borderId="66" xfId="0" applyNumberFormat="1" applyFont="1" applyBorder="1" applyAlignment="1" applyProtection="1">
      <alignment horizontal="center"/>
      <protection locked="0"/>
    </xf>
    <xf numFmtId="165" fontId="21" fillId="47" borderId="48" xfId="0" applyNumberFormat="1" applyFont="1" applyFill="1" applyBorder="1" applyAlignment="1" applyProtection="1">
      <alignment horizontal="center"/>
      <protection hidden="1"/>
    </xf>
    <xf numFmtId="164" fontId="21" fillId="47" borderId="43" xfId="0" applyNumberFormat="1" applyFont="1" applyFill="1" applyBorder="1" applyAlignment="1" applyProtection="1">
      <alignment horizontal="center"/>
      <protection hidden="1"/>
    </xf>
    <xf numFmtId="164" fontId="21" fillId="47" borderId="46" xfId="0" applyNumberFormat="1" applyFont="1" applyFill="1" applyBorder="1" applyAlignment="1" applyProtection="1">
      <alignment horizontal="center"/>
      <protection hidden="1"/>
    </xf>
    <xf numFmtId="165" fontId="21" fillId="34" borderId="28" xfId="0" applyNumberFormat="1" applyFont="1" applyFill="1" applyBorder="1" applyAlignment="1" applyProtection="1">
      <alignment horizontal="center"/>
      <protection hidden="1"/>
    </xf>
    <xf numFmtId="165" fontId="21" fillId="34" borderId="47" xfId="0" applyNumberFormat="1" applyFont="1" applyFill="1" applyBorder="1" applyAlignment="1" applyProtection="1">
      <alignment horizontal="center"/>
      <protection hidden="1"/>
    </xf>
    <xf numFmtId="165" fontId="21" fillId="34" borderId="17" xfId="0" applyNumberFormat="1" applyFont="1" applyFill="1" applyBorder="1" applyAlignment="1" applyProtection="1">
      <alignment horizontal="center"/>
      <protection hidden="1"/>
    </xf>
    <xf numFmtId="164" fontId="21" fillId="34" borderId="29" xfId="0" applyNumberFormat="1" applyFont="1" applyFill="1" applyBorder="1" applyAlignment="1" applyProtection="1">
      <alignment horizontal="center"/>
      <protection hidden="1"/>
    </xf>
    <xf numFmtId="164" fontId="21" fillId="34" borderId="31" xfId="0" applyNumberFormat="1" applyFont="1" applyFill="1" applyBorder="1" applyAlignment="1" applyProtection="1">
      <alignment horizontal="center"/>
      <protection hidden="1"/>
    </xf>
    <xf numFmtId="164" fontId="21" fillId="34" borderId="30" xfId="0" applyNumberFormat="1" applyFont="1" applyFill="1" applyBorder="1" applyAlignment="1" applyProtection="1">
      <alignment horizontal="center"/>
      <protection hidden="1"/>
    </xf>
    <xf numFmtId="164" fontId="21" fillId="34" borderId="37" xfId="0" applyNumberFormat="1" applyFont="1" applyFill="1" applyBorder="1" applyAlignment="1" applyProtection="1">
      <alignment horizontal="center"/>
      <protection hidden="1"/>
    </xf>
    <xf numFmtId="164" fontId="21" fillId="34" borderId="38" xfId="0" applyNumberFormat="1" applyFont="1" applyFill="1" applyBorder="1" applyAlignment="1" applyProtection="1">
      <alignment horizontal="center"/>
      <protection hidden="1"/>
    </xf>
    <xf numFmtId="164" fontId="21" fillId="34" borderId="39" xfId="0" applyNumberFormat="1" applyFont="1" applyFill="1" applyBorder="1" applyAlignment="1" applyProtection="1">
      <alignment horizontal="center"/>
      <protection hidden="1"/>
    </xf>
    <xf numFmtId="165" fontId="21" fillId="34" borderId="37" xfId="0" applyNumberFormat="1" applyFont="1" applyFill="1" applyBorder="1" applyAlignment="1" applyProtection="1">
      <alignment horizontal="center"/>
      <protection hidden="1"/>
    </xf>
    <xf numFmtId="165" fontId="21" fillId="34" borderId="38" xfId="0" applyNumberFormat="1" applyFont="1" applyFill="1" applyBorder="1" applyAlignment="1" applyProtection="1">
      <alignment horizontal="center"/>
      <protection hidden="1"/>
    </xf>
    <xf numFmtId="165" fontId="21" fillId="34" borderId="39" xfId="0" applyNumberFormat="1" applyFont="1" applyFill="1" applyBorder="1" applyAlignment="1" applyProtection="1">
      <alignment horizontal="center"/>
      <protection hidden="1"/>
    </xf>
    <xf numFmtId="164" fontId="21" fillId="34" borderId="28" xfId="0" applyNumberFormat="1" applyFont="1" applyFill="1" applyBorder="1" applyAlignment="1" applyProtection="1">
      <alignment horizontal="center"/>
      <protection hidden="1"/>
    </xf>
    <xf numFmtId="164" fontId="21" fillId="34" borderId="47" xfId="0" applyNumberFormat="1" applyFont="1" applyFill="1" applyBorder="1" applyAlignment="1" applyProtection="1">
      <alignment horizontal="center"/>
      <protection hidden="1"/>
    </xf>
    <xf numFmtId="164" fontId="21" fillId="34" borderId="17" xfId="0" applyNumberFormat="1" applyFont="1" applyFill="1" applyBorder="1" applyAlignment="1" applyProtection="1">
      <alignment horizontal="center"/>
      <protection hidden="1"/>
    </xf>
    <xf numFmtId="165" fontId="21" fillId="34" borderId="31" xfId="0" applyNumberFormat="1" applyFont="1" applyFill="1" applyBorder="1" applyAlignment="1" applyProtection="1">
      <alignment horizontal="center"/>
      <protection hidden="1"/>
    </xf>
    <xf numFmtId="164" fontId="21" fillId="34" borderId="15" xfId="0" applyNumberFormat="1" applyFont="1" applyFill="1" applyBorder="1" applyAlignment="1" applyProtection="1">
      <alignment horizontal="center"/>
      <protection hidden="1"/>
    </xf>
    <xf numFmtId="164" fontId="21" fillId="34" borderId="0" xfId="0" applyNumberFormat="1" applyFont="1" applyFill="1" applyAlignment="1" applyProtection="1">
      <alignment horizontal="center"/>
      <protection hidden="1"/>
    </xf>
    <xf numFmtId="0" fontId="0" fillId="34" borderId="28" xfId="0" applyFill="1" applyBorder="1" applyAlignment="1" applyProtection="1">
      <alignment horizontal="center"/>
      <protection hidden="1"/>
    </xf>
    <xf numFmtId="0" fontId="0" fillId="34" borderId="47" xfId="0" applyFill="1" applyBorder="1" applyAlignment="1" applyProtection="1">
      <alignment horizontal="center"/>
      <protection hidden="1"/>
    </xf>
    <xf numFmtId="0" fontId="0" fillId="34" borderId="17" xfId="0" applyFill="1" applyBorder="1" applyAlignment="1" applyProtection="1">
      <alignment horizontal="center"/>
      <protection hidden="1"/>
    </xf>
    <xf numFmtId="0" fontId="16" fillId="34" borderId="31" xfId="0" applyFont="1" applyFill="1" applyBorder="1" applyAlignment="1" applyProtection="1">
      <alignment horizontal="center"/>
      <protection hidden="1"/>
    </xf>
    <xf numFmtId="0" fontId="30" fillId="46" borderId="28" xfId="0" applyFont="1" applyFill="1" applyBorder="1" applyAlignment="1" applyProtection="1">
      <alignment horizontal="center" vertical="center"/>
      <protection hidden="1"/>
    </xf>
    <xf numFmtId="0" fontId="30" fillId="46" borderId="47" xfId="0" applyFont="1" applyFill="1" applyBorder="1" applyAlignment="1" applyProtection="1">
      <alignment horizontal="center" vertical="center"/>
      <protection hidden="1"/>
    </xf>
    <xf numFmtId="0" fontId="30" fillId="46" borderId="17" xfId="0" applyFont="1" applyFill="1" applyBorder="1" applyAlignment="1" applyProtection="1">
      <alignment horizontal="center" vertical="center"/>
      <protection hidden="1"/>
    </xf>
    <xf numFmtId="0" fontId="0" fillId="0" borderId="28" xfId="0" applyBorder="1" applyAlignment="1" applyProtection="1">
      <alignment horizontal="center"/>
      <protection hidden="1"/>
    </xf>
    <xf numFmtId="0" fontId="0" fillId="0" borderId="47" xfId="0" applyBorder="1" applyAlignment="1" applyProtection="1">
      <alignment horizontal="center"/>
      <protection hidden="1"/>
    </xf>
    <xf numFmtId="0" fontId="0" fillId="0" borderId="17" xfId="0" applyBorder="1" applyAlignment="1" applyProtection="1">
      <alignment horizontal="center"/>
      <protection hidden="1"/>
    </xf>
    <xf numFmtId="164" fontId="21" fillId="47" borderId="28" xfId="0" applyNumberFormat="1" applyFont="1" applyFill="1" applyBorder="1" applyAlignment="1" applyProtection="1">
      <alignment horizontal="center"/>
      <protection hidden="1"/>
    </xf>
    <xf numFmtId="164" fontId="21" fillId="47" borderId="47" xfId="0" applyNumberFormat="1" applyFont="1" applyFill="1" applyBorder="1" applyAlignment="1" applyProtection="1">
      <alignment horizontal="center"/>
      <protection hidden="1"/>
    </xf>
    <xf numFmtId="164" fontId="21" fillId="47" borderId="17" xfId="0" applyNumberFormat="1" applyFont="1" applyFill="1" applyBorder="1" applyAlignment="1" applyProtection="1">
      <alignment horizontal="center"/>
      <protection hidden="1"/>
    </xf>
    <xf numFmtId="167" fontId="21" fillId="0" borderId="28" xfId="0" applyNumberFormat="1" applyFont="1" applyBorder="1" applyAlignment="1" applyProtection="1">
      <alignment horizontal="center"/>
      <protection hidden="1"/>
    </xf>
    <xf numFmtId="167" fontId="21" fillId="0" borderId="47" xfId="0" applyNumberFormat="1" applyFont="1" applyBorder="1" applyAlignment="1" applyProtection="1">
      <alignment horizontal="center"/>
      <protection hidden="1"/>
    </xf>
    <xf numFmtId="167" fontId="21" fillId="0" borderId="17" xfId="0" applyNumberFormat="1" applyFont="1" applyBorder="1" applyAlignment="1" applyProtection="1">
      <alignment horizontal="center"/>
      <protection hidden="1"/>
    </xf>
    <xf numFmtId="0" fontId="31" fillId="0" borderId="0" xfId="0" applyFont="1" applyAlignment="1" applyProtection="1">
      <alignment horizontal="center"/>
      <protection hidden="1"/>
    </xf>
    <xf numFmtId="0" fontId="31" fillId="0" borderId="44" xfId="0" applyFont="1" applyBorder="1" applyAlignment="1" applyProtection="1">
      <alignment horizontal="center"/>
      <protection hidden="1"/>
    </xf>
    <xf numFmtId="167" fontId="21" fillId="0" borderId="28" xfId="0" applyNumberFormat="1" applyFont="1" applyBorder="1" applyAlignment="1" applyProtection="1">
      <alignment horizontal="center"/>
      <protection locked="0"/>
    </xf>
    <xf numFmtId="167" fontId="21" fillId="0" borderId="47" xfId="0" applyNumberFormat="1" applyFont="1" applyBorder="1" applyAlignment="1" applyProtection="1">
      <alignment horizontal="center"/>
      <protection locked="0"/>
    </xf>
    <xf numFmtId="167" fontId="21" fillId="0" borderId="17" xfId="0" applyNumberFormat="1" applyFont="1" applyBorder="1" applyAlignment="1" applyProtection="1">
      <alignment horizontal="center"/>
      <protection locked="0"/>
    </xf>
    <xf numFmtId="0" fontId="0" fillId="33" borderId="73" xfId="0" applyFill="1" applyBorder="1" applyAlignment="1" applyProtection="1">
      <alignment horizontal="center"/>
      <protection hidden="1"/>
    </xf>
    <xf numFmtId="0" fontId="0" fillId="33" borderId="74" xfId="0" applyFill="1" applyBorder="1" applyAlignment="1" applyProtection="1">
      <alignment horizontal="center"/>
      <protection hidden="1"/>
    </xf>
    <xf numFmtId="164" fontId="21" fillId="47" borderId="82" xfId="0" applyNumberFormat="1" applyFont="1" applyFill="1" applyBorder="1" applyAlignment="1" applyProtection="1">
      <alignment horizontal="center"/>
      <protection hidden="1"/>
    </xf>
    <xf numFmtId="0" fontId="16" fillId="0" borderId="29" xfId="0" applyFont="1" applyBorder="1" applyAlignment="1" applyProtection="1">
      <alignment horizontal="left"/>
      <protection hidden="1"/>
    </xf>
    <xf numFmtId="0" fontId="16" fillId="0" borderId="31" xfId="0" applyFont="1" applyBorder="1" applyAlignment="1" applyProtection="1">
      <alignment horizontal="left"/>
      <protection hidden="1"/>
    </xf>
    <xf numFmtId="0" fontId="16" fillId="0" borderId="30" xfId="0" applyFont="1" applyBorder="1" applyAlignment="1" applyProtection="1">
      <alignment horizontal="left"/>
      <protection hidden="1"/>
    </xf>
    <xf numFmtId="166" fontId="16" fillId="0" borderId="29" xfId="0" applyNumberFormat="1" applyFont="1" applyBorder="1" applyAlignment="1" applyProtection="1">
      <alignment horizontal="left"/>
      <protection hidden="1"/>
    </xf>
    <xf numFmtId="166" fontId="16" fillId="0" borderId="31" xfId="0" applyNumberFormat="1" applyFont="1" applyBorder="1" applyAlignment="1" applyProtection="1">
      <alignment horizontal="left"/>
      <protection hidden="1"/>
    </xf>
    <xf numFmtId="166" fontId="16" fillId="0" borderId="30" xfId="0" applyNumberFormat="1" applyFont="1" applyBorder="1" applyAlignment="1" applyProtection="1">
      <alignment horizontal="left"/>
      <protection hidden="1"/>
    </xf>
    <xf numFmtId="0" fontId="16" fillId="34" borderId="28" xfId="0" applyFont="1" applyFill="1" applyBorder="1" applyAlignment="1" applyProtection="1">
      <alignment horizontal="center"/>
      <protection hidden="1"/>
    </xf>
    <xf numFmtId="0" fontId="16" fillId="34" borderId="47" xfId="0" applyFont="1" applyFill="1" applyBorder="1" applyAlignment="1" applyProtection="1">
      <alignment horizontal="center"/>
      <protection hidden="1"/>
    </xf>
    <xf numFmtId="0" fontId="16" fillId="34" borderId="17" xfId="0" applyFont="1" applyFill="1" applyBorder="1" applyAlignment="1" applyProtection="1">
      <alignment horizontal="center"/>
      <protection hidden="1"/>
    </xf>
    <xf numFmtId="0" fontId="27" fillId="0" borderId="37" xfId="0" applyFont="1" applyBorder="1" applyAlignment="1" applyProtection="1">
      <alignment horizontal="center"/>
      <protection hidden="1"/>
    </xf>
    <xf numFmtId="0" fontId="27" fillId="0" borderId="38" xfId="0" applyFont="1" applyBorder="1" applyAlignment="1" applyProtection="1">
      <alignment horizontal="center"/>
      <protection hidden="1"/>
    </xf>
    <xf numFmtId="0" fontId="27" fillId="0" borderId="39" xfId="0" applyFont="1" applyBorder="1" applyAlignment="1" applyProtection="1">
      <alignment horizontal="center"/>
      <protection hidden="1"/>
    </xf>
    <xf numFmtId="14" fontId="0" fillId="47" borderId="28" xfId="0" applyNumberFormat="1" applyFill="1" applyBorder="1" applyAlignment="1" applyProtection="1">
      <alignment horizontal="center"/>
      <protection hidden="1"/>
    </xf>
    <xf numFmtId="14" fontId="0" fillId="47" borderId="47" xfId="0" applyNumberFormat="1" applyFill="1" applyBorder="1" applyAlignment="1" applyProtection="1">
      <alignment horizontal="center"/>
      <protection hidden="1"/>
    </xf>
    <xf numFmtId="14" fontId="0" fillId="47" borderId="17" xfId="0" applyNumberFormat="1" applyFill="1" applyBorder="1" applyAlignment="1" applyProtection="1">
      <alignment horizontal="center"/>
      <protection hidden="1"/>
    </xf>
    <xf numFmtId="0" fontId="16" fillId="47" borderId="34" xfId="0" applyFont="1" applyFill="1" applyBorder="1" applyAlignment="1" applyProtection="1">
      <alignment horizontal="center"/>
      <protection hidden="1"/>
    </xf>
    <xf numFmtId="165" fontId="21" fillId="47" borderId="28" xfId="0" applyNumberFormat="1" applyFont="1" applyFill="1" applyBorder="1" applyAlignment="1" applyProtection="1">
      <alignment horizontal="center"/>
      <protection hidden="1"/>
    </xf>
    <xf numFmtId="165" fontId="21" fillId="47" borderId="47" xfId="0" applyNumberFormat="1" applyFont="1" applyFill="1" applyBorder="1" applyAlignment="1" applyProtection="1">
      <alignment horizontal="center"/>
      <protection hidden="1"/>
    </xf>
    <xf numFmtId="165" fontId="21" fillId="47" borderId="17" xfId="0" applyNumberFormat="1" applyFont="1" applyFill="1" applyBorder="1" applyAlignment="1" applyProtection="1">
      <alignment horizontal="center"/>
      <protection hidden="1"/>
    </xf>
    <xf numFmtId="165" fontId="21" fillId="47" borderId="34" xfId="0" applyNumberFormat="1" applyFont="1" applyFill="1" applyBorder="1" applyAlignment="1" applyProtection="1">
      <alignment horizontal="center"/>
      <protection hidden="1"/>
    </xf>
    <xf numFmtId="165" fontId="16" fillId="47" borderId="28" xfId="0" applyNumberFormat="1" applyFont="1" applyFill="1" applyBorder="1" applyAlignment="1" applyProtection="1">
      <alignment horizontal="center"/>
      <protection hidden="1"/>
    </xf>
    <xf numFmtId="165" fontId="16" fillId="47" borderId="34" xfId="0" applyNumberFormat="1" applyFont="1" applyFill="1" applyBorder="1" applyAlignment="1" applyProtection="1">
      <alignment horizontal="center"/>
      <protection hidden="1"/>
    </xf>
    <xf numFmtId="165" fontId="16" fillId="47" borderId="18" xfId="0" applyNumberFormat="1" applyFont="1" applyFill="1" applyBorder="1" applyAlignment="1" applyProtection="1">
      <alignment horizontal="center"/>
      <protection hidden="1"/>
    </xf>
    <xf numFmtId="165" fontId="21" fillId="47" borderId="18" xfId="0" applyNumberFormat="1" applyFont="1" applyFill="1" applyBorder="1" applyAlignment="1" applyProtection="1">
      <alignment horizontal="center"/>
      <protection hidden="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94">
    <dxf>
      <font>
        <color rgb="FF9C0006"/>
      </font>
      <fill>
        <patternFill>
          <bgColor rgb="FFFFC7CE"/>
        </patternFill>
      </fill>
    </dxf>
    <dxf>
      <font>
        <color rgb="FF9C0006"/>
      </font>
      <fill>
        <patternFill>
          <bgColor rgb="FFFFC7CE"/>
        </patternFill>
      </fill>
    </dxf>
    <dxf>
      <font>
        <color theme="1"/>
      </font>
      <fill>
        <patternFill>
          <bgColor rgb="FFC6EFCE"/>
        </patternFill>
      </fill>
    </dxf>
    <dxf>
      <font>
        <color theme="1"/>
      </font>
      <fill>
        <patternFill>
          <bgColor rgb="FFC6EFCE"/>
        </patternFill>
      </fill>
    </dxf>
    <dxf>
      <font>
        <color theme="6" tint="-0.499984740745262"/>
      </font>
      <fill>
        <patternFill>
          <bgColor theme="6" tint="0.79998168889431442"/>
        </patternFill>
      </fill>
    </dxf>
    <dxf>
      <font>
        <color rgb="FFC00000"/>
      </font>
      <fill>
        <patternFill>
          <bgColor rgb="FFFFC7CE"/>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b/>
        <i val="0"/>
        <color rgb="FFC00000"/>
      </font>
      <border>
        <left style="thin">
          <color rgb="FFC00000"/>
        </left>
        <right style="thin">
          <color rgb="FFC00000"/>
        </right>
        <top style="thin">
          <color rgb="FFC00000"/>
        </top>
        <bottom style="thin">
          <color rgb="FFC00000"/>
        </bottom>
        <vertical/>
        <horizontal/>
      </border>
    </dxf>
    <dxf>
      <font>
        <color theme="1"/>
      </font>
      <fill>
        <patternFill>
          <bgColor rgb="FFC6EFCE"/>
        </patternFill>
      </fill>
    </dxf>
    <dxf>
      <font>
        <color theme="1"/>
      </font>
      <fill>
        <patternFill>
          <bgColor rgb="FFC6EFCE"/>
        </patternFill>
      </fill>
    </dxf>
    <dxf>
      <font>
        <color theme="6" tint="-0.499984740745262"/>
      </font>
      <fill>
        <patternFill>
          <bgColor theme="6" tint="0.79998168889431442"/>
        </patternFill>
      </fill>
    </dxf>
    <dxf>
      <font>
        <color rgb="FFC00000"/>
      </font>
      <fill>
        <patternFill>
          <bgColor rgb="FFFFC7CE"/>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theme="1"/>
      </font>
      <fill>
        <patternFill>
          <bgColor rgb="FFC6EFCE"/>
        </patternFill>
      </fill>
    </dxf>
    <dxf>
      <font>
        <color rgb="FF9C0006"/>
      </font>
      <fill>
        <patternFill>
          <bgColor rgb="FFFFC7CE"/>
        </patternFill>
      </fill>
    </dxf>
    <dxf>
      <font>
        <color theme="1"/>
      </font>
      <fill>
        <patternFill>
          <bgColor rgb="FFC6EFCE"/>
        </patternFill>
      </fill>
    </dxf>
    <dxf>
      <fill>
        <patternFill>
          <bgColor rgb="FFFFFF00"/>
        </patternFill>
      </fill>
    </dxf>
    <dxf>
      <fill>
        <patternFill>
          <bgColor rgb="FFFFFF00"/>
        </patternFill>
      </fill>
    </dxf>
    <dxf>
      <fill>
        <patternFill>
          <bgColor rgb="FFFFFF00"/>
        </patternFill>
      </fill>
    </dxf>
    <dxf>
      <fill>
        <patternFill>
          <bgColor rgb="FFC6EFCE"/>
        </patternFill>
      </fill>
    </dxf>
    <dxf>
      <font>
        <color rgb="FF9C0006"/>
      </font>
      <fill>
        <patternFill>
          <bgColor rgb="FFFFC7CE"/>
        </patternFill>
      </fill>
    </dxf>
    <dxf>
      <font>
        <color rgb="FF9C0006"/>
      </font>
      <fill>
        <patternFill>
          <bgColor rgb="FFFFC7CE"/>
        </patternFill>
      </fill>
    </dxf>
    <dxf>
      <fill>
        <patternFill>
          <bgColor rgb="FFC6EFCE"/>
        </patternFill>
      </fill>
    </dxf>
    <dxf>
      <font>
        <color theme="6" tint="-0.499984740745262"/>
      </font>
      <fill>
        <patternFill>
          <bgColor theme="6" tint="0.79998168889431442"/>
        </patternFill>
      </fill>
    </dxf>
    <dxf>
      <font>
        <color rgb="FFC00000"/>
      </font>
      <fill>
        <patternFill>
          <bgColor rgb="FFFFC7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1"/>
      </font>
      <fill>
        <patternFill>
          <bgColor theme="1"/>
        </patternFill>
      </fill>
      <border>
        <left style="thin">
          <color auto="1"/>
        </left>
        <right style="thin">
          <color auto="1"/>
        </right>
        <top style="thin">
          <color auto="1"/>
        </top>
        <bottom style="thin">
          <color auto="1"/>
        </bottom>
        <vertical/>
        <horizontal/>
      </border>
    </dxf>
    <dxf>
      <font>
        <color theme="1"/>
      </font>
      <fill>
        <patternFill>
          <bgColor theme="1"/>
        </patternFill>
      </fill>
      <border>
        <left style="thin">
          <color auto="1"/>
        </left>
        <right style="thin">
          <color auto="1"/>
        </right>
        <top style="thin">
          <color auto="1"/>
        </top>
        <bottom style="thin">
          <color auto="1"/>
        </bottom>
        <vertical/>
        <horizontal/>
      </border>
    </dxf>
    <dxf>
      <font>
        <color theme="1"/>
      </font>
      <fill>
        <patternFill>
          <bgColor theme="1"/>
        </patternFill>
      </fill>
    </dxf>
    <dxf>
      <font>
        <color theme="0"/>
      </font>
      <fill>
        <patternFill>
          <bgColor theme="0"/>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79998168889431442"/>
        </patternFill>
      </fill>
    </dxf>
    <dxf>
      <font>
        <color rgb="FFC00000"/>
      </font>
      <fill>
        <patternFill>
          <bgColor rgb="FFFFC7CE"/>
        </patternFill>
      </fill>
    </dxf>
    <dxf>
      <font>
        <color theme="1"/>
      </font>
      <fill>
        <patternFill>
          <bgColor rgb="FFC6EFCE"/>
        </patternFill>
      </fill>
    </dxf>
    <dxf>
      <font>
        <color theme="1"/>
      </font>
      <fill>
        <patternFill>
          <bgColor rgb="FFC6EFCE"/>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79998168889431442"/>
        </patternFill>
      </fill>
    </dxf>
    <dxf>
      <font>
        <color rgb="FFC00000"/>
      </font>
      <fill>
        <patternFill>
          <bgColor rgb="FFFFC7CE"/>
        </patternFill>
      </fill>
    </dxf>
    <dxf>
      <font>
        <color rgb="FFC00000"/>
      </font>
      <border>
        <left style="thin">
          <color rgb="FFC00000"/>
        </left>
        <right style="thin">
          <color rgb="FFC00000"/>
        </right>
        <top style="thin">
          <color rgb="FFC00000"/>
        </top>
        <bottom style="thin">
          <color rgb="FFC00000"/>
        </bottom>
        <vertical/>
        <horizontal/>
      </border>
    </dxf>
    <dxf>
      <font>
        <color theme="1"/>
      </font>
      <fill>
        <patternFill>
          <bgColor rgb="FFC6EFCE"/>
        </patternFill>
      </fill>
    </dxf>
    <dxf>
      <font>
        <color theme="1"/>
      </font>
      <fill>
        <patternFill>
          <bgColor rgb="FFC6EFCE"/>
        </patternFill>
      </fill>
    </dxf>
    <dxf>
      <font>
        <color theme="1"/>
      </font>
      <fill>
        <patternFill>
          <bgColor theme="1"/>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theme="1"/>
      </font>
      <fill>
        <patternFill>
          <bgColor rgb="FFC6EFCE"/>
        </patternFill>
      </fill>
    </dxf>
    <dxf>
      <font>
        <color rgb="FF9C0006"/>
      </font>
      <fill>
        <patternFill>
          <bgColor rgb="FFFFC7CE"/>
        </patternFill>
      </fill>
    </dxf>
    <dxf>
      <font>
        <color theme="1"/>
      </font>
      <fill>
        <patternFill>
          <bgColor rgb="FFC6EFCE"/>
        </patternFill>
      </fill>
    </dxf>
    <dxf>
      <fill>
        <patternFill>
          <bgColor rgb="FFC6EFCE"/>
        </patternFill>
      </fill>
    </dxf>
    <dxf>
      <font>
        <color rgb="FF9C0006"/>
      </font>
      <fill>
        <patternFill>
          <bgColor rgb="FFFFC7CE"/>
        </patternFill>
      </fill>
    </dxf>
    <dxf>
      <font>
        <color rgb="FF9C0006"/>
      </font>
      <fill>
        <patternFill>
          <bgColor rgb="FFFFC7CE"/>
        </patternFill>
      </fill>
    </dxf>
    <dxf>
      <fill>
        <patternFill>
          <bgColor rgb="FFC6EFCE"/>
        </patternFill>
      </fill>
    </dxf>
    <dxf>
      <font>
        <color theme="6" tint="-0.499984740745262"/>
      </font>
      <fill>
        <patternFill>
          <bgColor theme="6" tint="0.79998168889431442"/>
        </patternFill>
      </fill>
    </dxf>
    <dxf>
      <font>
        <color rgb="FFC00000"/>
      </font>
      <fill>
        <patternFill>
          <bgColor rgb="FFFFC7CE"/>
        </patternFill>
      </fill>
    </dxf>
    <dxf>
      <fill>
        <patternFill>
          <bgColor rgb="FFFFFF00"/>
        </patternFill>
      </fill>
    </dxf>
    <dxf>
      <font>
        <color theme="1"/>
      </font>
      <fill>
        <patternFill>
          <bgColor theme="1"/>
        </patternFill>
      </fill>
      <border>
        <left style="thin">
          <color auto="1"/>
        </left>
        <right style="thin">
          <color auto="1"/>
        </right>
        <top style="thin">
          <color auto="1"/>
        </top>
        <bottom style="thin">
          <color auto="1"/>
        </bottom>
        <vertical/>
        <horizontal/>
      </border>
    </dxf>
    <dxf>
      <font>
        <color theme="1"/>
      </font>
      <fill>
        <patternFill>
          <bgColor theme="1"/>
        </patternFill>
      </fill>
      <border>
        <left style="thin">
          <color auto="1"/>
        </left>
        <right style="thin">
          <color auto="1"/>
        </right>
        <top style="thin">
          <color auto="1"/>
        </top>
        <bottom style="thin">
          <color auto="1"/>
        </bottom>
        <vertical/>
        <horizontal/>
      </border>
    </dxf>
    <dxf>
      <font>
        <color theme="1"/>
      </font>
      <fill>
        <patternFill>
          <bgColor theme="1"/>
        </patternFill>
      </fill>
      <border>
        <left style="thin">
          <color auto="1"/>
        </left>
        <right style="thin">
          <color auto="1"/>
        </right>
        <top style="thin">
          <color auto="1"/>
        </top>
        <bottom style="thin">
          <color auto="1"/>
        </bottom>
        <vertical/>
        <horizontal/>
      </border>
    </dxf>
    <dxf>
      <font>
        <color theme="1"/>
      </font>
      <fill>
        <patternFill>
          <bgColor theme="1"/>
        </patternFill>
      </fill>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border>
    </dxf>
    <dxf>
      <font>
        <color theme="0"/>
      </font>
      <border>
        <left style="thin">
          <color auto="1"/>
        </left>
        <right style="thin">
          <color auto="1"/>
        </right>
        <top style="thin">
          <color auto="1"/>
        </top>
        <bottom style="thin">
          <color auto="1"/>
        </bottom>
      </border>
    </dxf>
    <dxf>
      <font>
        <color theme="0"/>
      </font>
    </dxf>
    <dxf>
      <font>
        <color theme="0"/>
      </font>
    </dxf>
    <dxf>
      <font>
        <color theme="0"/>
      </font>
      <border>
        <left style="thin">
          <color auto="1"/>
        </left>
        <right style="thin">
          <color auto="1"/>
        </right>
        <top style="thin">
          <color auto="1"/>
        </top>
        <bottom style="thin">
          <color auto="1"/>
        </bottom>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dxf>
    <dxf>
      <border>
        <vertical style="thin">
          <color indexed="64"/>
        </vertical>
      </border>
    </dxf>
    <dxf>
      <border>
        <vertical style="thin">
          <color indexed="64"/>
        </vertical>
      </border>
    </dxf>
    <dxf>
      <border>
        <vertical style="thin">
          <color indexed="64"/>
        </vertical>
      </border>
    </dxf>
    <dxf>
      <border>
        <vertical style="thin">
          <color indexed="64"/>
        </vertical>
      </border>
    </dxf>
    <dxf>
      <font>
        <color theme="0"/>
      </font>
      <fill>
        <patternFill patternType="solid">
          <fgColor indexed="64"/>
          <bgColor rgb="FF8C2633"/>
        </patternFill>
      </fill>
      <alignment horizontal="center" vertical="center"/>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000%"/>
    </dxf>
    <dxf>
      <font>
        <color theme="0"/>
      </font>
      <fill>
        <patternFill patternType="solid">
          <fgColor indexed="64"/>
          <bgColor rgb="FF8C2633"/>
        </patternFill>
      </fill>
      <alignment horizontal="center" vertical="center"/>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000%"/>
    </dxf>
    <dxf>
      <font>
        <color theme="0"/>
      </font>
      <fill>
        <patternFill patternType="solid">
          <fgColor indexed="64"/>
          <bgColor rgb="FF8C2633"/>
        </patternFill>
      </fill>
      <alignment horizontal="center" vertical="center" wrapText="1"/>
    </dxf>
    <dxf>
      <border>
        <left style="thin">
          <color indexed="64"/>
        </left>
        <top style="thin">
          <color indexed="64"/>
        </top>
        <bottom style="thin">
          <color indexed="64"/>
        </bottom>
        <vertical style="thin">
          <color indexed="64"/>
        </vertical>
        <horizontal style="thin">
          <color indexed="64"/>
        </horizontal>
      </border>
    </dxf>
    <dxf>
      <numFmt numFmtId="165" formatCode="0.000%"/>
    </dxf>
    <dxf>
      <border>
        <top style="thin">
          <color indexed="64"/>
        </top>
      </border>
    </dxf>
    <dxf>
      <border>
        <left style="thin">
          <color indexed="64"/>
        </left>
        <bottom style="thin">
          <color indexed="64"/>
        </bottom>
        <vertical style="thin">
          <color indexed="64"/>
        </vertical>
      </border>
    </dxf>
    <dxf>
      <font>
        <color theme="0"/>
      </font>
      <fill>
        <patternFill patternType="solid">
          <fgColor indexed="64"/>
          <bgColor rgb="FF8C2633"/>
        </patternFill>
      </fill>
      <alignment horizontal="center" vertical="center"/>
    </dxf>
    <dxf>
      <alignment wrapText="1"/>
    </dxf>
    <dxf>
      <numFmt numFmtId="165" formatCode="0.000%"/>
    </dxf>
    <dxf>
      <border>
        <left style="thin">
          <color indexed="64"/>
        </left>
        <bottom style="thin">
          <color indexed="64"/>
        </bottom>
        <vertical style="thin">
          <color indexed="64"/>
        </vertical>
      </border>
    </dxf>
    <dxf>
      <font>
        <color theme="0"/>
      </font>
      <fill>
        <patternFill patternType="solid">
          <fgColor indexed="64"/>
          <bgColor rgb="FF8C2633"/>
        </patternFill>
      </fill>
      <alignment horizontal="center" vertical="center" wrapText="1"/>
    </dxf>
    <dxf>
      <numFmt numFmtId="165" formatCode="0.000%"/>
    </dxf>
    <dxf>
      <border>
        <bottom style="thin">
          <color indexed="64"/>
        </bottom>
        <vertical style="thin">
          <color indexed="64"/>
        </vertical>
      </border>
    </dxf>
    <dxf>
      <font>
        <color theme="0"/>
      </font>
      <fill>
        <patternFill patternType="solid">
          <fgColor indexed="64"/>
          <bgColor rgb="FF8C2633"/>
        </patternFill>
      </fill>
      <alignment horizontal="center" vertical="center" wrapText="1"/>
    </dxf>
    <dxf>
      <numFmt numFmtId="165" formatCode="0.000%"/>
    </dxf>
    <dxf>
      <border>
        <top style="thin">
          <color indexed="64"/>
        </top>
        <vertical style="thin">
          <color indexed="64"/>
        </vertical>
      </border>
    </dxf>
    <dxf>
      <border>
        <left style="thin">
          <color indexed="64"/>
        </left>
        <right style="thin">
          <color indexed="64"/>
        </right>
        <bottom style="thin">
          <color indexed="64"/>
        </bottom>
        <vertical style="thin">
          <color indexed="64"/>
        </vertical>
      </border>
    </dxf>
    <dxf>
      <font>
        <color theme="0"/>
      </font>
      <fill>
        <patternFill patternType="solid">
          <fgColor indexed="64"/>
          <bgColor rgb="FF8C2633"/>
        </patternFill>
      </fill>
      <alignment horizontal="center" vertical="center"/>
    </dxf>
    <dxf>
      <numFmt numFmtId="164" formatCode="&quot;$&quot;#,##0"/>
    </dxf>
    <dxf>
      <alignment wrapText="1"/>
    </dxf>
    <dxf>
      <alignment wrapText="1"/>
    </dxf>
    <dxf>
      <numFmt numFmtId="14" formatCode="0.00%"/>
    </dxf>
    <dxf>
      <border>
        <top style="thin">
          <color indexed="64"/>
        </top>
        <bottom style="thin">
          <color indexed="64"/>
        </bottom>
        <vertical style="thin">
          <color indexed="64"/>
        </vertical>
        <horizontal style="thin">
          <color indexed="64"/>
        </horizontal>
      </border>
    </dxf>
    <dxf>
      <font>
        <color theme="0"/>
      </font>
      <fill>
        <patternFill patternType="solid">
          <fgColor indexed="64"/>
          <bgColor rgb="FF8C2633"/>
        </patternFill>
      </fill>
      <alignment horizontal="center" vertical="center" wrapText="1"/>
    </dxf>
    <dxf>
      <font>
        <color theme="0"/>
      </font>
      <fill>
        <patternFill patternType="solid">
          <fgColor indexed="64"/>
          <bgColor rgb="FF444444"/>
        </patternFill>
      </fill>
      <alignment horizontal="center" vertical="center"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ont>
        <color theme="0"/>
      </font>
      <fill>
        <patternFill patternType="solid">
          <fgColor indexed="64"/>
          <bgColor rgb="FF444444"/>
        </patternFill>
      </fill>
      <alignment horizontal="center" vertical="center"/>
    </dxf>
    <dxf>
      <alignment horizontal="left"/>
    </dxf>
    <dxf>
      <alignment vertical="center"/>
    </dxf>
    <dxf>
      <font>
        <color theme="0"/>
      </font>
      <fill>
        <patternFill patternType="solid">
          <fgColor indexed="64"/>
          <bgColor rgb="FF444444"/>
        </patternFill>
      </fill>
      <alignment horizontal="center" vertical="center"/>
    </dxf>
    <dxf>
      <border>
        <vertical style="thin">
          <color indexed="64"/>
        </vertical>
      </border>
    </dxf>
    <dxf>
      <border>
        <bottom style="thin">
          <color theme="0"/>
        </bottom>
      </border>
    </dxf>
    <dxf>
      <border>
        <left style="thin">
          <color indexed="64"/>
        </left>
        <vertical style="thin">
          <color indexed="64"/>
        </vertical>
        <horizontal style="thin">
          <color indexed="64"/>
        </horizontal>
      </border>
    </dxf>
    <dxf>
      <border>
        <right style="thin">
          <color indexed="64"/>
        </right>
        <vertical style="thin">
          <color indexed="64"/>
        </vertical>
      </border>
    </dxf>
    <dxf>
      <border>
        <horizontal style="thin">
          <color theme="0"/>
        </horizontal>
      </border>
    </dxf>
    <dxf>
      <border>
        <left/>
      </border>
    </dxf>
    <dxf>
      <border>
        <left style="thin">
          <color indexed="64"/>
        </left>
        <vertical style="thin">
          <color indexed="64"/>
        </vertical>
        <horizontal style="thin">
          <color indexed="64"/>
        </horizontal>
      </border>
    </dxf>
    <dxf>
      <font>
        <color theme="0"/>
      </font>
    </dxf>
    <dxf>
      <fill>
        <patternFill patternType="solid">
          <bgColor theme="0"/>
        </patternFill>
      </fill>
    </dxf>
    <dxf>
      <border>
        <left style="thin">
          <color theme="0"/>
        </left>
        <right style="thin">
          <color theme="0"/>
        </right>
        <top style="thin">
          <color theme="0"/>
        </top>
        <bottom style="thin">
          <color theme="0"/>
        </bottom>
        <horizontal style="thin">
          <color theme="0"/>
        </horizontal>
      </border>
    </dxf>
    <dxf>
      <border>
        <left style="thin">
          <color theme="0"/>
        </left>
        <right style="thin">
          <color theme="0"/>
        </right>
        <top style="thin">
          <color theme="0"/>
        </top>
        <bottom style="thin">
          <color theme="0"/>
        </bottom>
        <horizontal style="thin">
          <color theme="0"/>
        </horizontal>
      </border>
    </dxf>
    <dxf>
      <fill>
        <patternFill patternType="solid">
          <bgColor theme="0"/>
        </patternFill>
      </fill>
    </dxf>
    <dxf>
      <fill>
        <patternFill patternType="solid">
          <bgColor theme="0"/>
        </patternFill>
      </fill>
    </dxf>
    <dxf>
      <font>
        <color theme="0"/>
      </font>
    </dxf>
    <dxf>
      <font>
        <color theme="0"/>
      </font>
    </dxf>
    <dxf>
      <border>
        <right style="thin">
          <color indexed="64"/>
        </right>
        <top style="thin">
          <color indexed="64"/>
        </top>
        <bottom style="thin">
          <color indexed="64"/>
        </bottom>
        <vertical style="thin">
          <color indexed="64"/>
        </vertical>
        <horizontal style="thin">
          <color indexed="64"/>
        </horizontal>
      </border>
    </dxf>
    <dxf>
      <font>
        <color theme="0"/>
      </font>
    </dxf>
    <dxf>
      <fill>
        <patternFill patternType="solid">
          <bgColor rgb="FF447DAC"/>
        </patternFill>
      </fill>
    </dxf>
    <dxf>
      <alignment wrapText="1"/>
    </dxf>
    <dxf>
      <alignment vertical="center"/>
    </dxf>
    <dxf>
      <alignment horizontal="center"/>
    </dxf>
    <dxf>
      <numFmt numFmtId="14" formatCode="0.00%"/>
    </dxf>
    <dxf>
      <alignment wrapText="1"/>
    </dxf>
    <dxf>
      <numFmt numFmtId="164" formatCode="&quot;$&quot;#,##0"/>
    </dxf>
    <dxf>
      <alignment vertical="center"/>
    </dxf>
    <dxf>
      <alignment horizontal="center"/>
    </dxf>
    <dxf>
      <alignment wrapText="1"/>
    </dxf>
    <dxf>
      <font>
        <color theme="0"/>
      </font>
    </dxf>
    <dxf>
      <fill>
        <patternFill patternType="solid">
          <bgColor rgb="FF444444"/>
        </patternFill>
      </fill>
    </dxf>
    <dxf>
      <alignment vertical="center"/>
    </dxf>
    <dxf>
      <alignment horizontal="center"/>
    </dxf>
    <dxf>
      <alignment vertical="center"/>
    </dxf>
    <dxf>
      <alignment horizontal="center"/>
    </dxf>
    <dxf>
      <border>
        <left style="thin">
          <color indexed="64"/>
        </left>
        <top style="thin">
          <color indexed="64"/>
        </top>
        <bottom style="thin">
          <color indexed="64"/>
        </bottom>
        <vertical style="thin">
          <color indexed="64"/>
        </vertical>
        <horizontal style="thin">
          <color indexed="64"/>
        </horizontal>
      </border>
    </dxf>
    <dxf>
      <alignment vertical="center"/>
    </dxf>
    <dxf>
      <border>
        <vertical style="thin">
          <color indexed="64"/>
        </vertical>
      </border>
    </dxf>
    <dxf>
      <numFmt numFmtId="14" formatCode="0.00%"/>
    </dxf>
    <dxf>
      <alignment horizontal="center"/>
    </dxf>
    <dxf>
      <font>
        <color theme="0"/>
      </font>
    </dxf>
    <dxf>
      <fill>
        <patternFill patternType="solid">
          <bgColor rgb="FF447DAC"/>
        </patternFill>
      </fill>
    </dxf>
    <dxf>
      <border>
        <left style="thin">
          <color indexed="64"/>
        </left>
        <top style="thin">
          <color indexed="64"/>
        </top>
        <bottom style="thin">
          <color indexed="64"/>
        </bottom>
        <vertical style="thin">
          <color indexed="64"/>
        </vertical>
        <horizontal style="thin">
          <color indexed="64"/>
        </horizontal>
      </border>
    </dxf>
    <dxf>
      <font>
        <color theme="0"/>
      </font>
    </dxf>
    <dxf>
      <fill>
        <patternFill patternType="solid">
          <bgColor rgb="FF8C2633"/>
        </patternFill>
      </fill>
    </dxf>
    <dxf>
      <alignment vertical="center"/>
    </dxf>
    <dxf>
      <alignment horizontal="center"/>
    </dxf>
    <dxf>
      <alignment wrapText="1"/>
    </dxf>
    <dxf>
      <numFmt numFmtId="164" formatCode="&quot;$&quot;#,##0"/>
    </dxf>
    <dxf>
      <alignment vertical="center"/>
    </dxf>
    <dxf>
      <alignment horizontal="center"/>
    </dxf>
    <dxf>
      <alignment wrapText="1"/>
    </dxf>
    <dxf>
      <numFmt numFmtId="164" formatCode="&quot;$&quot;#,##0"/>
    </dxf>
    <dxf>
      <numFmt numFmtId="14" formatCode="0.00%"/>
    </dxf>
    <dxf>
      <alignment wrapText="1"/>
    </dxf>
    <dxf>
      <border>
        <right style="thin">
          <color indexed="64"/>
        </right>
        <top style="thin">
          <color indexed="64"/>
        </top>
        <vertical style="thin">
          <color indexed="64"/>
        </vertical>
        <horizontal style="thin">
          <color indexed="64"/>
        </horizontal>
      </border>
    </dxf>
    <dxf>
      <border>
        <top style="thin">
          <color indexed="64"/>
        </top>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font>
        <color theme="0"/>
      </font>
    </dxf>
    <dxf>
      <fill>
        <patternFill patternType="solid">
          <bgColor rgb="FF234058"/>
        </patternFill>
      </fill>
    </dxf>
    <dxf>
      <alignment vertical="center"/>
    </dxf>
    <dxf>
      <alignment wrapText="1"/>
    </dxf>
    <dxf>
      <alignment horizontal="center"/>
    </dxf>
    <dxf>
      <numFmt numFmtId="164" formatCode="&quot;$&quot;#,##0"/>
    </dxf>
    <dxf>
      <border>
        <top style="thin">
          <color indexed="64"/>
        </top>
        <bottom style="thin">
          <color indexed="64"/>
        </bottom>
        <vertical style="thin">
          <color indexed="64"/>
        </vertical>
        <horizontal style="thin">
          <color indexed="64"/>
        </horizontal>
      </border>
    </dxf>
    <dxf>
      <font>
        <color theme="0"/>
      </font>
    </dxf>
    <dxf>
      <fill>
        <patternFill>
          <bgColor rgb="FF234058"/>
        </patternFill>
      </fill>
    </dxf>
    <dxf>
      <fill>
        <patternFill patternType="solid">
          <bgColor theme="3"/>
        </patternFill>
      </fill>
    </dxf>
    <dxf>
      <alignment wrapText="1"/>
    </dxf>
    <dxf>
      <alignment vertical="center"/>
    </dxf>
    <dxf>
      <alignment horizontal="center"/>
    </dxf>
    <dxf>
      <numFmt numFmtId="13" formatCode="0%"/>
    </dxf>
    <dxf>
      <alignment horizontal="center"/>
    </dxf>
    <dxf>
      <numFmt numFmtId="164" formatCode="&quot;$&quot;#,##0"/>
    </dxf>
    <dxf>
      <alignment wrapText="1"/>
    </dxf>
    <dxf>
      <alignment vertical="center"/>
    </dxf>
    <dxf>
      <alignment horizontal="center"/>
    </dxf>
    <dxf>
      <alignment wrapText="1"/>
    </dxf>
    <dxf>
      <alignment vertical="center"/>
    </dxf>
    <dxf>
      <alignment horizontal="center"/>
    </dxf>
    <dxf>
      <numFmt numFmtId="164" formatCode="&quot;$&quot;#,##0"/>
    </dxf>
    <dxf>
      <alignment wrapText="1"/>
    </dxf>
    <dxf>
      <alignment vertical="center"/>
    </dxf>
    <dxf>
      <alignment horizontal="center"/>
    </dxf>
    <dxf>
      <alignment horizontal="center"/>
    </dxf>
    <dxf>
      <numFmt numFmtId="14" formatCode="0.00%"/>
    </dxf>
    <dxf>
      <alignment wrapText="1"/>
    </dxf>
    <dxf>
      <alignment vertical="center"/>
    </dxf>
    <dxf>
      <alignment horizontal="center"/>
    </dxf>
    <dxf>
      <alignment vertic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ill>
        <patternFill patternType="solid">
          <bgColor rgb="FF444444"/>
        </patternFill>
      </fill>
    </dxf>
    <dxf>
      <font>
        <color theme="0"/>
      </font>
    </dxf>
    <dxf>
      <fill>
        <patternFill patternType="solid">
          <bgColor rgb="FF234058"/>
        </patternFill>
      </fill>
    </dxf>
    <dxf>
      <alignment vertical="center"/>
    </dxf>
    <dxf>
      <alignment vertical="center"/>
    </dxf>
    <dxf>
      <alignment horizontal="center"/>
    </dxf>
    <dxf>
      <alignment horizontal="center"/>
    </dxf>
    <dxf>
      <alignment wrapText="1"/>
    </dxf>
    <dxf>
      <numFmt numFmtId="164" formatCode="&quot;$&quot;#,##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164" formatCode="&quot;$&quot;#,##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numFmt numFmtId="0" formatCode="General"/>
      <alignment textRotation="0" wrapText="0" indent="0" justifyLastLine="0" shrinkToFit="0" readingOrder="0"/>
      <border diagonalUp="0" diagonalDown="0">
        <left style="medium">
          <color indexed="64"/>
        </left>
        <right/>
        <top/>
        <bottom/>
      </border>
    </dxf>
    <dxf>
      <font>
        <b val="0"/>
        <i val="0"/>
        <strike val="0"/>
        <condense val="0"/>
        <extend val="0"/>
        <outline val="0"/>
        <shadow val="0"/>
        <u val="none"/>
        <vertAlign val="baseline"/>
        <sz val="11"/>
        <color theme="1"/>
        <name val="Aptos Narrow"/>
        <family val="2"/>
        <scheme val="minor"/>
      </font>
      <numFmt numFmtId="164" formatCode="&quot;$&quot;#,##0"/>
      <alignment horizontal="center" vertical="bottom" textRotation="0" wrapText="0" indent="0" justifyLastLine="0" shrinkToFit="0" readingOrder="0"/>
      <border diagonalUp="0" diagonalDown="0">
        <left/>
        <right style="medium">
          <color indexed="64"/>
        </right>
        <top/>
        <bottom style="thin">
          <color indexed="64"/>
        </bottom>
      </border>
    </dxf>
    <dxf>
      <font>
        <b val="0"/>
        <i val="0"/>
        <strike val="0"/>
        <condense val="0"/>
        <extend val="0"/>
        <outline val="0"/>
        <shadow val="0"/>
        <u val="none"/>
        <vertAlign val="baseline"/>
        <sz val="11"/>
        <color theme="1"/>
        <name val="Aptos Narrow"/>
        <family val="2"/>
        <scheme val="minor"/>
      </font>
      <numFmt numFmtId="164" formatCode="&quot;$&quot;#,##0"/>
      <alignment horizontal="center" vertical="bottom" textRotation="0" wrapText="0" indent="0" justifyLastLine="0" shrinkToFit="0" readingOrder="0"/>
      <border diagonalUp="0" diagonalDown="0">
        <left style="thin">
          <color indexed="64"/>
        </left>
        <right/>
        <top/>
        <bottom style="thin">
          <color indexed="64"/>
        </bottom>
      </border>
    </dxf>
    <dxf>
      <font>
        <b val="0"/>
        <i val="0"/>
        <strike val="0"/>
        <condense val="0"/>
        <extend val="0"/>
        <outline val="0"/>
        <shadow val="0"/>
        <u val="none"/>
        <vertAlign val="baseline"/>
        <sz val="11"/>
        <color theme="1"/>
        <name val="Aptos Narrow"/>
        <family val="2"/>
        <scheme val="minor"/>
      </font>
      <numFmt numFmtId="164" formatCode="&quot;$&quot;#,##0"/>
      <alignment horizontal="center" vertical="bottom" textRotation="0" wrapText="0" indent="0" justifyLastLine="0" shrinkToFit="0" readingOrder="0"/>
      <border diagonalUp="0" diagonalDown="0">
        <left/>
        <right style="thin">
          <color indexed="64"/>
        </right>
        <top/>
        <bottom style="thin">
          <color indexed="64"/>
        </bottom>
      </border>
    </dxf>
    <dxf>
      <font>
        <b val="0"/>
        <i val="0"/>
        <strike val="0"/>
        <condense val="0"/>
        <extend val="0"/>
        <outline val="0"/>
        <shadow val="0"/>
        <u val="none"/>
        <vertAlign val="baseline"/>
        <sz val="11"/>
        <color theme="1"/>
        <name val="Aptos Narrow"/>
        <family val="2"/>
        <scheme val="minor"/>
      </font>
      <numFmt numFmtId="164" formatCode="&quot;$&quot;#,##0"/>
      <alignment horizontal="center" vertical="bottom" textRotation="0" wrapText="0" indent="0" justifyLastLine="0" shrinkToFit="0" readingOrder="0"/>
      <border diagonalUp="0" diagonalDown="0">
        <left style="thin">
          <color indexed="64"/>
        </left>
        <right/>
        <top/>
        <bottom style="thin">
          <color indexed="64"/>
        </bottom>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bottom style="thin">
          <color indexed="64"/>
        </bottom>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bottom style="thin">
          <color indexed="64"/>
        </bottom>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bottom style="thin">
          <color indexed="64"/>
        </bottom>
      </border>
    </dxf>
    <dxf>
      <alignment horizontal="center" vertical="bottom" textRotation="0" wrapText="0" indent="0" justifyLastLine="0" shrinkToFit="0" readingOrder="0"/>
      <border diagonalUp="0" diagonalDown="0">
        <left/>
        <right/>
        <top/>
        <bottom style="thin">
          <color indexed="64"/>
        </bottom>
      </border>
    </dxf>
    <dxf>
      <alignment textRotation="0" wrapText="0" indent="0" justifyLastLine="0" shrinkToFit="0" readingOrder="0"/>
    </dxf>
    <dxf>
      <alignment horizontal="general" vertical="center" textRotation="0" wrapText="0" indent="0" justifyLastLine="0" shrinkToFit="0" readingOrder="0"/>
      <border diagonalUp="0" diagonalDown="0">
        <left style="medium">
          <color indexed="64"/>
        </left>
        <right style="thin">
          <color indexed="64"/>
        </right>
        <top/>
        <bottom/>
      </border>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right style="medium">
          <color indexed="64"/>
        </right>
        <top/>
        <bottom/>
      </border>
    </dxf>
    <dxf>
      <font>
        <b val="0"/>
        <i val="0"/>
        <strike val="0"/>
        <condense val="0"/>
        <extend val="0"/>
        <outline val="0"/>
        <shadow val="0"/>
        <u val="none"/>
        <vertAlign val="baseline"/>
        <sz val="11"/>
        <color theme="1"/>
        <name val="Aptos Narrow"/>
        <family val="2"/>
        <scheme val="minor"/>
      </font>
      <fill>
        <patternFill patternType="solid">
          <fgColor indexed="64"/>
          <bgColor theme="5" tint="0.79998168889431442"/>
        </patternFill>
      </fill>
      <alignment horizontal="general" vertical="center" textRotation="0" wrapText="0" indent="0" justifyLastLine="0" shrinkToFit="0" readingOrder="0"/>
      <border diagonalUp="0" diagonalDown="0">
        <left/>
        <right style="medium">
          <color indexed="64"/>
        </right>
        <top/>
        <bottom/>
      </border>
    </dxf>
    <dxf>
      <border diagonalUp="0" diagonalDown="0">
        <left style="medium">
          <color indexed="64"/>
        </left>
        <right style="medium">
          <color indexed="64"/>
        </right>
        <top style="medium">
          <color indexed="64"/>
        </top>
        <bottom style="medium">
          <color indexed="64"/>
        </bottom>
      </border>
    </dxf>
    <dxf>
      <alignment textRotation="0" wrapText="0" indent="0" justifyLastLine="0" shrinkToFit="0" readingOrder="0"/>
    </dxf>
    <dxf>
      <alignment textRotation="0" wrapText="1" indent="0" justifyLastLine="0" shrinkToFit="0" readingOrder="0"/>
    </dxf>
    <dxf>
      <numFmt numFmtId="0" formatCode="General"/>
      <alignment horizontal="left" vertical="center" textRotation="0" wrapText="0" indent="0" justifyLastLine="0" shrinkToFit="0" readingOrder="0"/>
      <border diagonalUp="0" diagonalDown="0">
        <left style="medium">
          <color indexed="64"/>
        </left>
        <right style="medium">
          <color indexed="64"/>
        </right>
        <top/>
        <bottom/>
        <vertical/>
        <horizontal/>
      </border>
    </dxf>
    <dxf>
      <numFmt numFmtId="164" formatCode="&quot;$&quot;#,##0"/>
      <alignment horizontal="center" vertical="center" textRotation="0" wrapText="0" indent="0" justifyLastLine="0" shrinkToFit="0" readingOrder="0"/>
    </dxf>
    <dxf>
      <numFmt numFmtId="164" formatCode="&quot;$&quot;#,##0"/>
      <alignment horizontal="center" vertical="center" textRotation="0" wrapText="0" indent="0" justifyLastLine="0" shrinkToFit="0" readingOrder="0"/>
      <border diagonalUp="0" diagonalDown="0">
        <left/>
        <right style="medium">
          <color indexed="64"/>
        </right>
        <top/>
        <bottom/>
        <vertical/>
        <horizontal/>
      </border>
    </dxf>
    <dxf>
      <numFmt numFmtId="164" formatCode="&quot;$&quot;#,##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bottom"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outline="0">
        <left style="thin">
          <color indexed="64"/>
        </left>
        <right/>
        <top/>
        <bottom/>
      </border>
    </dxf>
    <dxf>
      <alignment horizontal="general" vertical="center" textRotation="0" wrapText="0" indent="0" justifyLastLine="0" shrinkToFit="0" readingOrder="0"/>
      <border diagonalUp="0" diagonalDown="0" outline="0">
        <left style="medium">
          <color indexed="64"/>
        </left>
        <right style="thin">
          <color indexed="64"/>
        </right>
        <top/>
        <bottom/>
      </border>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tint="0.79998168889431442"/>
        </patternFill>
      </fill>
      <alignment horizontal="general" vertical="center" textRotation="0" wrapText="0" indent="0" justifyLastLine="0" shrinkToFit="0" readingOrder="0"/>
      <border diagonalUp="0" diagonalDown="0">
        <left/>
        <right style="thin">
          <color indexed="64"/>
        </right>
        <top/>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numFmt numFmtId="14" formatCode="0.00%"/>
    </dxf>
    <dxf>
      <numFmt numFmtId="14" formatCode="0.00%"/>
    </dxf>
    <dxf>
      <numFmt numFmtId="14" formatCode="0.00%"/>
    </dxf>
    <dxf>
      <numFmt numFmtId="166" formatCode="&quot;$&quot;#,##0.00"/>
    </dxf>
    <dxf>
      <numFmt numFmtId="166" formatCode="&quot;$&quot;#,##0.00"/>
    </dxf>
    <dxf>
      <numFmt numFmtId="166" formatCode="&quot;$&quot;#,##0.00"/>
    </dxf>
    <dxf>
      <numFmt numFmtId="166" formatCode="&quot;$&quot;#,##0.00"/>
    </dxf>
    <dxf>
      <numFmt numFmtId="166" formatCode="&quot;$&quot;#,##0.00"/>
    </dxf>
    <dxf>
      <numFmt numFmtId="14" formatCode="0.00%"/>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quot;$&quot;#,##0.00"/>
    </dxf>
    <dxf>
      <numFmt numFmtId="166" formatCode="&quot;$&quot;#,##0.00"/>
    </dxf>
    <dxf>
      <numFmt numFmtId="166" formatCode="&quot;$&quot;#,##0.00"/>
    </dxf>
    <dxf>
      <numFmt numFmtId="14" formatCode="0.00%"/>
    </dxf>
    <dxf>
      <numFmt numFmtId="14" formatCode="0.00%"/>
    </dxf>
    <dxf>
      <numFmt numFmtId="14" formatCode="0.00%"/>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66" formatCode="&quot;$&quot;#,##0.00"/>
    </dxf>
    <dxf>
      <numFmt numFmtId="14" formatCode="0.00%"/>
    </dxf>
    <dxf>
      <numFmt numFmtId="166" formatCode="&quot;$&quot;#,##0.00"/>
    </dxf>
    <dxf>
      <numFmt numFmtId="166" formatCode="&quot;$&quot;#,##0.00"/>
    </dxf>
    <dxf>
      <numFmt numFmtId="14" formatCode="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quot;$&quot;#,##0.00"/>
    </dxf>
    <dxf>
      <numFmt numFmtId="166" formatCode="&quot;$&quot;#,##0.00"/>
    </dxf>
    <dxf>
      <numFmt numFmtId="0" formatCode="General"/>
    </dxf>
    <dxf>
      <numFmt numFmtId="0" formatCode="General"/>
    </dxf>
    <dxf>
      <numFmt numFmtId="0" formatCode="General"/>
    </dxf>
    <dxf>
      <numFmt numFmtId="19" formatCode="m/d/yyyy"/>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9" formatCode="m/d/yyyy"/>
    </dxf>
    <dxf>
      <fill>
        <patternFill patternType="none">
          <fgColor indexed="64"/>
          <bgColor auto="1"/>
        </patternFill>
      </fill>
    </dxf>
    <dxf>
      <fill>
        <patternFill patternType="none">
          <fgColor indexed="64"/>
          <bgColor auto="1"/>
        </patternFill>
      </fill>
    </dxf>
    <dxf>
      <numFmt numFmtId="166" formatCode="&quot;$&quot;#,##0.00"/>
    </dxf>
    <dxf>
      <numFmt numFmtId="166" formatCode="&quot;$&quot;#,##0.00"/>
    </dxf>
    <dxf>
      <numFmt numFmtId="19" formatCode="m/d/yyyy"/>
    </dxf>
    <dxf>
      <fill>
        <patternFill patternType="none">
          <fgColor indexed="64"/>
          <bgColor auto="1"/>
        </patternFill>
      </fill>
    </dxf>
    <dxf>
      <font>
        <b/>
        <i val="0"/>
        <strike val="0"/>
        <condense val="0"/>
        <extend val="0"/>
        <outline val="0"/>
        <shadow val="0"/>
        <u val="none"/>
        <vertAlign val="baseline"/>
        <sz val="11"/>
        <color theme="1"/>
        <name val="Aptos Narrow"/>
        <family val="2"/>
        <scheme val="minor"/>
      </font>
    </dxf>
    <dxf>
      <font>
        <b/>
        <i val="0"/>
        <color theme="0"/>
      </font>
      <fill>
        <patternFill>
          <bgColor rgb="FF212E3B"/>
        </patternFill>
      </fill>
    </dxf>
    <dxf>
      <font>
        <color theme="0"/>
      </font>
      <fill>
        <patternFill>
          <bgColor rgb="FF212E3B"/>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6" xr9:uid="{459AD6CC-B96E-4315-AA11-8682AA5E02E7}">
      <tableStyleElement type="wholeTable" dxfId="393"/>
      <tableStyleElement type="headerRow" dxfId="392"/>
    </tableStyle>
  </tableStyles>
  <colors>
    <mruColors>
      <color rgb="FF234058"/>
      <color rgb="FFFFC7CE"/>
      <color rgb="FFFFB9B9"/>
      <color rgb="FFC6EFCE"/>
      <color rgb="FF447DAC"/>
      <color rgb="FF8C2633"/>
      <color rgb="FF212E3B"/>
      <color rgb="FFFFABAB"/>
      <color rgb="FF444444"/>
    </mruColors>
  </colors>
  <extLst>
    <ext xmlns:x14="http://schemas.microsoft.com/office/spreadsheetml/2009/9/main" uri="{46F421CA-312F-682f-3DD2-61675219B42D}">
      <x14:dxfs count="4">
        <dxf>
          <fill>
            <patternFill>
              <bgColor rgb="FFCCD7E2"/>
            </patternFill>
          </fill>
        </dxf>
        <dxf>
          <font>
            <b/>
            <i val="0"/>
            <color theme="0"/>
          </font>
          <fill>
            <patternFill>
              <bgColor rgb="FF425B76"/>
            </patternFill>
          </fill>
        </dxf>
        <dxf>
          <fill>
            <patternFill>
              <bgColor theme="0" tint="-4.9989318521683403E-2"/>
            </patternFill>
          </fill>
        </dxf>
        <dxf>
          <fill>
            <patternFill>
              <bgColor theme="2"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1681</xdr:colOff>
      <xdr:row>0</xdr:row>
      <xdr:rowOff>114300</xdr:rowOff>
    </xdr:from>
    <xdr:to>
      <xdr:col>5</xdr:col>
      <xdr:colOff>77321</xdr:colOff>
      <xdr:row>2</xdr:row>
      <xdr:rowOff>232858</xdr:rowOff>
    </xdr:to>
    <xdr:grpSp>
      <xdr:nvGrpSpPr>
        <xdr:cNvPr id="4" name="Group 5">
          <a:extLst>
            <a:ext uri="{FF2B5EF4-FFF2-40B4-BE49-F238E27FC236}">
              <a16:creationId xmlns:a16="http://schemas.microsoft.com/office/drawing/2014/main" id="{B71DB8BF-EB6E-6401-191E-452BE759B7C3}"/>
            </a:ext>
          </a:extLst>
        </xdr:cNvPr>
        <xdr:cNvGrpSpPr/>
      </xdr:nvGrpSpPr>
      <xdr:grpSpPr>
        <a:xfrm>
          <a:off x="324410" y="114300"/>
          <a:ext cx="5436535" cy="1086746"/>
          <a:chOff x="2095500" y="142875"/>
          <a:chExt cx="5887272" cy="1505160"/>
        </a:xfrm>
      </xdr:grpSpPr>
      <xdr:grpSp>
        <xdr:nvGrpSpPr>
          <xdr:cNvPr id="5" name="Group 3">
            <a:extLst>
              <a:ext uri="{FF2B5EF4-FFF2-40B4-BE49-F238E27FC236}">
                <a16:creationId xmlns:a16="http://schemas.microsoft.com/office/drawing/2014/main" id="{538F5B40-5B00-7115-EFDB-668316311A33}"/>
              </a:ext>
            </a:extLst>
          </xdr:cNvPr>
          <xdr:cNvGrpSpPr/>
        </xdr:nvGrpSpPr>
        <xdr:grpSpPr>
          <a:xfrm>
            <a:off x="2095500" y="142875"/>
            <a:ext cx="5887272" cy="1505160"/>
            <a:chOff x="2095500" y="142875"/>
            <a:chExt cx="5887272" cy="1505160"/>
          </a:xfrm>
        </xdr:grpSpPr>
        <xdr:pic>
          <xdr:nvPicPr>
            <xdr:cNvPr id="6" name="Picture 1">
              <a:extLst>
                <a:ext uri="{FF2B5EF4-FFF2-40B4-BE49-F238E27FC236}">
                  <a16:creationId xmlns:a16="http://schemas.microsoft.com/office/drawing/2014/main" id="{B153438A-BBFE-4134-94A7-C653A3FED5A0}"/>
                </a:ext>
              </a:extLst>
            </xdr:cNvPr>
            <xdr:cNvPicPr>
              <a:picLocks noChangeAspect="1"/>
            </xdr:cNvPicPr>
          </xdr:nvPicPr>
          <xdr:blipFill>
            <a:blip xmlns:r="http://schemas.openxmlformats.org/officeDocument/2006/relationships" r:embed="rId1"/>
            <a:stretch>
              <a:fillRect/>
            </a:stretch>
          </xdr:blipFill>
          <xdr:spPr>
            <a:xfrm>
              <a:off x="2095500" y="142875"/>
              <a:ext cx="5887272" cy="1505160"/>
            </a:xfrm>
            <a:prstGeom prst="rect">
              <a:avLst/>
            </a:prstGeom>
            <a:ln>
              <a:solidFill>
                <a:sysClr val="windowText" lastClr="000000"/>
              </a:solidFill>
            </a:ln>
          </xdr:spPr>
        </xdr:pic>
        <xdr:sp macro="" textlink="">
          <xdr:nvSpPr>
            <xdr:cNvPr id="8" name="Rectangle 2">
              <a:extLst>
                <a:ext uri="{FF2B5EF4-FFF2-40B4-BE49-F238E27FC236}">
                  <a16:creationId xmlns:a16="http://schemas.microsoft.com/office/drawing/2014/main" id="{558C1598-8477-3BE6-DF20-0CACE242549D}"/>
                </a:ext>
              </a:extLst>
            </xdr:cNvPr>
            <xdr:cNvSpPr/>
          </xdr:nvSpPr>
          <xdr:spPr>
            <a:xfrm>
              <a:off x="3457575" y="381000"/>
              <a:ext cx="3228975" cy="1162050"/>
            </a:xfrm>
            <a:prstGeom prst="rect">
              <a:avLst/>
            </a:prstGeom>
            <a:solidFill>
              <a:srgbClr val="212E3B"/>
            </a:solidFill>
            <a:ln>
              <a:solidFill>
                <a:srgbClr val="212E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9" name="TextBox 4">
            <a:extLst>
              <a:ext uri="{FF2B5EF4-FFF2-40B4-BE49-F238E27FC236}">
                <a16:creationId xmlns:a16="http://schemas.microsoft.com/office/drawing/2014/main" id="{8B65FCB3-D282-201D-CF78-33E2BFC3E0F4}"/>
              </a:ext>
            </a:extLst>
          </xdr:cNvPr>
          <xdr:cNvSpPr txBox="1"/>
        </xdr:nvSpPr>
        <xdr:spPr>
          <a:xfrm>
            <a:off x="3486150" y="219072"/>
            <a:ext cx="3209925" cy="1415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bg1"/>
                </a:solidFill>
                <a:latin typeface="Baskerville Old Face" panose="02020602080505020303" pitchFamily="18" charset="0"/>
              </a:rPr>
              <a:t>Correspondent Pricing Model</a:t>
            </a:r>
          </a:p>
        </xdr:txBody>
      </xdr:sp>
    </xdr:grpSp>
    <xdr:clientData/>
  </xdr:twoCellAnchor>
  <xdr:twoCellAnchor editAs="absolute">
    <xdr:from>
      <xdr:col>1</xdr:col>
      <xdr:colOff>4033</xdr:colOff>
      <xdr:row>3</xdr:row>
      <xdr:rowOff>304800</xdr:rowOff>
    </xdr:from>
    <xdr:to>
      <xdr:col>3</xdr:col>
      <xdr:colOff>224453</xdr:colOff>
      <xdr:row>6</xdr:row>
      <xdr:rowOff>118110</xdr:rowOff>
    </xdr:to>
    <mc:AlternateContent xmlns:mc="http://schemas.openxmlformats.org/markup-compatibility/2006" xmlns:a14="http://schemas.microsoft.com/office/drawing/2010/main">
      <mc:Choice Requires="a14">
        <xdr:graphicFrame macro="">
          <xdr:nvGraphicFramePr>
            <xdr:cNvPr id="21" name="AHL - Available Check">
              <a:extLst>
                <a:ext uri="{FF2B5EF4-FFF2-40B4-BE49-F238E27FC236}">
                  <a16:creationId xmlns:a16="http://schemas.microsoft.com/office/drawing/2014/main" id="{7CAA9BB5-D10B-8A3B-38CF-6DCCB74BA9D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HL - Available Check"/>
            </a:graphicData>
          </a:graphic>
        </xdr:graphicFrame>
      </mc:Choice>
      <mc:Fallback xmlns="">
        <xdr:sp macro="" textlink="">
          <xdr:nvSpPr>
            <xdr:cNvPr id="0" name=""/>
            <xdr:cNvSpPr>
              <a:spLocks noTextEdit="1"/>
            </xdr:cNvSpPr>
          </xdr:nvSpPr>
          <xdr:spPr>
            <a:xfrm>
              <a:off x="321608" y="1660712"/>
              <a:ext cx="16002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454229</xdr:colOff>
      <xdr:row>3</xdr:row>
      <xdr:rowOff>304800</xdr:rowOff>
    </xdr:from>
    <xdr:to>
      <xdr:col>3</xdr:col>
      <xdr:colOff>2054429</xdr:colOff>
      <xdr:row>6</xdr:row>
      <xdr:rowOff>118110</xdr:rowOff>
    </xdr:to>
    <mc:AlternateContent xmlns:mc="http://schemas.openxmlformats.org/markup-compatibility/2006" xmlns:a14="http://schemas.microsoft.com/office/drawing/2010/main">
      <mc:Choice Requires="a14">
        <xdr:graphicFrame macro="">
          <xdr:nvGraphicFramePr>
            <xdr:cNvPr id="14" name="Churchill - Eligibility_TF">
              <a:extLst>
                <a:ext uri="{FF2B5EF4-FFF2-40B4-BE49-F238E27FC236}">
                  <a16:creationId xmlns:a16="http://schemas.microsoft.com/office/drawing/2014/main" id="{287D14E6-B792-9162-E40C-A886EE93BFD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hurchill - Eligibility_TF"/>
            </a:graphicData>
          </a:graphic>
        </xdr:graphicFrame>
      </mc:Choice>
      <mc:Fallback xmlns="">
        <xdr:sp macro="" textlink="">
          <xdr:nvSpPr>
            <xdr:cNvPr id="0" name=""/>
            <xdr:cNvSpPr>
              <a:spLocks noTextEdit="1"/>
            </xdr:cNvSpPr>
          </xdr:nvSpPr>
          <xdr:spPr>
            <a:xfrm>
              <a:off x="2163014" y="1660712"/>
              <a:ext cx="1600200"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34177</xdr:colOff>
      <xdr:row>3</xdr:row>
      <xdr:rowOff>304800</xdr:rowOff>
    </xdr:from>
    <xdr:to>
      <xdr:col>5</xdr:col>
      <xdr:colOff>80121</xdr:colOff>
      <xdr:row>6</xdr:row>
      <xdr:rowOff>118110</xdr:rowOff>
    </xdr:to>
    <mc:AlternateContent xmlns:mc="http://schemas.openxmlformats.org/markup-compatibility/2006" xmlns:a14="http://schemas.microsoft.com/office/drawing/2010/main">
      <mc:Choice Requires="a14">
        <xdr:graphicFrame macro="">
          <xdr:nvGraphicFramePr>
            <xdr:cNvPr id="13" name="Constructive -  Eligible_TF">
              <a:extLst>
                <a:ext uri="{FF2B5EF4-FFF2-40B4-BE49-F238E27FC236}">
                  <a16:creationId xmlns:a16="http://schemas.microsoft.com/office/drawing/2014/main" id="{F95B967A-F239-1987-09AA-FB12A49208C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nstructive -  Eligible_TF"/>
            </a:graphicData>
          </a:graphic>
        </xdr:graphicFrame>
      </mc:Choice>
      <mc:Fallback xmlns="">
        <xdr:sp macro="" textlink="">
          <xdr:nvSpPr>
            <xdr:cNvPr id="0" name=""/>
            <xdr:cNvSpPr>
              <a:spLocks noTextEdit="1"/>
            </xdr:cNvSpPr>
          </xdr:nvSpPr>
          <xdr:spPr>
            <a:xfrm>
              <a:off x="4004421" y="1660712"/>
              <a:ext cx="1600200"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1400</xdr:colOff>
      <xdr:row>2</xdr:row>
      <xdr:rowOff>293594</xdr:rowOff>
    </xdr:from>
    <xdr:to>
      <xdr:col>5</xdr:col>
      <xdr:colOff>77602</xdr:colOff>
      <xdr:row>3</xdr:row>
      <xdr:rowOff>257735</xdr:rowOff>
    </xdr:to>
    <xdr:sp macro="" textlink="">
      <xdr:nvSpPr>
        <xdr:cNvPr id="50" name="TextBox 1">
          <a:extLst>
            <a:ext uri="{FF2B5EF4-FFF2-40B4-BE49-F238E27FC236}">
              <a16:creationId xmlns:a16="http://schemas.microsoft.com/office/drawing/2014/main" id="{F65DFAAD-D37D-9065-35EA-13D70C8F78D4}"/>
            </a:ext>
          </a:extLst>
        </xdr:cNvPr>
        <xdr:cNvSpPr txBox="1"/>
      </xdr:nvSpPr>
      <xdr:spPr>
        <a:xfrm>
          <a:off x="315165" y="1268506"/>
          <a:ext cx="5286937" cy="345141"/>
        </a:xfrm>
        <a:prstGeom prst="rect">
          <a:avLst/>
        </a:prstGeom>
        <a:solidFill>
          <a:srgbClr val="212E3B"/>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Eligibility Checks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Montell" refreshedDate="45902.519417129632" createdVersion="8" refreshedVersion="8" minRefreshableVersion="3" recordCount="6" xr:uid="{F191778B-D5F9-4240-9C0C-0AD818B985DB}">
  <cacheSource type="worksheet">
    <worksheetSource name="Table59"/>
  </cacheSource>
  <cacheFields count="137">
    <cacheField name="Record ID" numFmtId="0">
      <sharedItems containsSemiMixedTypes="0" containsString="0" containsNumber="1" containsInteger="1" minValue="16465951" maxValue="33383240489" count="8">
        <n v="33383240489"/>
        <n v="33383084951"/>
        <n v="33329376338"/>
        <n v="33330149550"/>
        <n v="33334908950"/>
        <n v="33321779329"/>
        <n v="16465951" u="1"/>
        <n v="16465952" u="1"/>
      </sharedItems>
    </cacheField>
    <cacheField name="Property Address" numFmtId="0">
      <sharedItems containsBlank="1" count="10">
        <s v="1189 South Park Lane, Tempe, AZ 85281"/>
        <s v="1189 South Park Lane, Irving, TX 75060"/>
        <s v="1289 South Paris Street, Ennis, TX 75119"/>
        <s v="1189 South Park Lane, Tempe, AZ, USA" u="1"/>
        <s v="1189 South Park Lane, Irving, TX, USA" u="1"/>
        <s v="South Park Lane" u="1"/>
        <s v="1289 South Paris Street" u="1"/>
        <s v="South Park Grove Court" u="1"/>
        <m u="1"/>
        <s v="2 South Park Grove Court" u="1"/>
      </sharedItems>
    </cacheField>
    <cacheField name="Property City" numFmtId="0">
      <sharedItems/>
    </cacheField>
    <cacheField name="Property State" numFmtId="0">
      <sharedItems/>
    </cacheField>
    <cacheField name="Property Zip" numFmtId="0">
      <sharedItems containsSemiMixedTypes="0" containsString="0" containsNumber="1" containsInteger="1" minValue="75060" maxValue="85281"/>
    </cacheField>
    <cacheField name="County" numFmtId="0">
      <sharedItems/>
    </cacheField>
    <cacheField name="Acquisition Date" numFmtId="14">
      <sharedItems containsSemiMixedTypes="0" containsNonDate="0" containsDate="1" containsString="0" minDate="2025-06-20T00:00:00" maxDate="2025-08-04T00:00:00"/>
    </cacheField>
    <cacheField name="First Name" numFmtId="0">
      <sharedItems/>
    </cacheField>
    <cacheField name="Last Name" numFmtId="0">
      <sharedItems/>
    </cacheField>
    <cacheField name="Borrowing Entity" numFmtId="0">
      <sharedItems containsBlank="1"/>
    </cacheField>
    <cacheField name="Email" numFmtId="0">
      <sharedItems containsBlank="1" count="3">
        <s v="danielhaycraft@outlook.com"/>
        <m u="1"/>
        <s v="familypropllc@gmail.com" u="1"/>
      </sharedItems>
    </cacheField>
    <cacheField name="Phone Number" numFmtId="0">
      <sharedItems/>
    </cacheField>
    <cacheField name="Current Address" numFmtId="0">
      <sharedItems/>
    </cacheField>
    <cacheField name="Current City" numFmtId="0">
      <sharedItems/>
    </cacheField>
    <cacheField name="Current State" numFmtId="0">
      <sharedItems/>
    </cacheField>
    <cacheField name="Current Zip Code" numFmtId="0">
      <sharedItems containsSemiMixedTypes="0" containsString="0" containsNumber="1" containsInteger="1" minValue="76092" maxValue="85224"/>
    </cacheField>
    <cacheField name="Us Citizen?" numFmtId="0">
      <sharedItems/>
    </cacheField>
    <cacheField name="Fico" numFmtId="0">
      <sharedItems containsSemiMixedTypes="0" containsString="0" containsNumber="1" containsInteger="1" minValue="625" maxValue="724"/>
    </cacheField>
    <cacheField name="Primary Residence" numFmtId="0">
      <sharedItems/>
    </cacheField>
    <cacheField name="Borrower Experience - Number of Projects" numFmtId="0">
      <sharedItems containsSemiMixedTypes="0" containsString="0" containsNumber="1" containsInteger="1" minValue="3" maxValue="9"/>
    </cacheField>
    <cacheField name="Number Of Rental Properties You Own" numFmtId="0">
      <sharedItems containsSemiMixedTypes="0" containsString="0" containsNumber="1" containsInteger="1" minValue="3" maxValue="9"/>
    </cacheField>
    <cacheField name="Cash Reserves" numFmtId="166">
      <sharedItems containsSemiMixedTypes="0" containsString="0" containsNumber="1" containsInteger="1" minValue="5000" maxValue="5000000"/>
    </cacheField>
    <cacheField name="Retirement Accounts" numFmtId="166">
      <sharedItems containsSemiMixedTypes="0" containsString="0" containsNumber="1" containsInteger="1" minValue="7" maxValue="300000"/>
    </cacheField>
    <cacheField name="Broker First Name" numFmtId="0">
      <sharedItems containsBlank="1"/>
    </cacheField>
    <cacheField name="Broker Last Name" numFmtId="0">
      <sharedItems containsBlank="1"/>
    </cacheField>
    <cacheField name="Broker Email Address" numFmtId="0">
      <sharedItems containsBlank="1"/>
    </cacheField>
    <cacheField name="Broker Phone Number" numFmtId="0">
      <sharedItems containsBlank="1"/>
    </cacheField>
    <cacheField name="Product Type" numFmtId="0">
      <sharedItems/>
    </cacheField>
    <cacheField name="SM Loan Type" numFmtId="0">
      <sharedItems/>
    </cacheField>
    <cacheField name="SM Property Type" numFmtId="0">
      <sharedItems/>
    </cacheField>
    <cacheField name="Number of Units" numFmtId="0">
      <sharedItems containsSemiMixedTypes="0" containsString="0" containsNumber="1" containsInteger="1" minValue="1" maxValue="2"/>
    </cacheField>
    <cacheField name="Target Close Date" numFmtId="14">
      <sharedItems containsSemiMixedTypes="0" containsNonDate="0" containsDate="1" containsString="0" minDate="2025-08-31T00:00:00" maxDate="2025-09-01T00:00:00"/>
    </cacheField>
    <cacheField name="Exit Strategy" numFmtId="0">
      <sharedItems/>
    </cacheField>
    <cacheField name="Existing Loan Amount" numFmtId="166">
      <sharedItems containsString="0" containsBlank="1" containsNumber="1" containsInteger="1" minValue="50000" maxValue="500000"/>
    </cacheField>
    <cacheField name="Requested Loan Amount" numFmtId="166">
      <sharedItems containsSemiMixedTypes="0" containsString="0" containsNumber="1" containsInteger="1" minValue="165000" maxValue="495000"/>
    </cacheField>
    <cacheField name="Purchase Price" numFmtId="166">
      <sharedItems containsSemiMixedTypes="0" containsString="0" containsNumber="1" containsInteger="1" minValue="200000" maxValue="500000"/>
    </cacheField>
    <cacheField name="Cost of Improvement To Date" numFmtId="166">
      <sharedItems containsNonDate="0" containsString="0" containsBlank="1"/>
    </cacheField>
    <cacheField name="Improvement Budget" numFmtId="166">
      <sharedItems containsSemiMixedTypes="0" containsString="0" containsNumber="1" containsInteger="1" minValue="0" maxValue="250000"/>
    </cacheField>
    <cacheField name="AIV" numFmtId="166">
      <sharedItems containsSemiMixedTypes="0" containsString="0" containsNumber="1" containsInteger="1" minValue="200000" maxValue="510000"/>
    </cacheField>
    <cacheField name="ARV" numFmtId="166">
      <sharedItems containsSemiMixedTypes="0" containsString="0" containsNumber="1" containsInteger="1" minValue="225000" maxValue="625000"/>
    </cacheField>
    <cacheField name="Pre-Rehab Sq. Ft." numFmtId="0">
      <sharedItems containsSemiMixedTypes="0" containsString="0" containsNumber="1" containsInteger="1" minValue="2000" maxValue="5000"/>
    </cacheField>
    <cacheField name="Post-Rehab Sq. Ft." numFmtId="0">
      <sharedItems containsSemiMixedTypes="0" containsString="0" containsNumber="1" containsInteger="1" minValue="2000" maxValue="5000"/>
    </cacheField>
    <cacheField name="Property Pictures" numFmtId="0">
      <sharedItems containsBlank="1"/>
    </cacheField>
    <cacheField name="Construction Budget Document" numFmtId="0">
      <sharedItems containsBlank="1"/>
    </cacheField>
    <cacheField name="Purchase Contract Upload" numFmtId="0">
      <sharedItems containsBlank="1"/>
    </cacheField>
    <cacheField name="Object Create Date/Time" numFmtId="14">
      <sharedItems containsSemiMixedTypes="0" containsNonDate="0" containsDate="1" containsString="0" minDate="2025-08-21T10:54:00" maxDate="2025-08-22T10:36:00"/>
    </cacheField>
    <cacheField name="Heyflow Form" numFmtId="0">
      <sharedItems/>
    </cacheField>
    <cacheField name="Transferred From" numFmtId="0">
      <sharedItems containsNonDate="0" containsString="0" containsBlank="1"/>
    </cacheField>
    <cacheField name="Contact Name" numFmtId="0">
      <sharedItems count="3">
        <s v="Daniel Haycraft"/>
        <s v="D J"/>
        <s v="John G"/>
      </sharedItems>
    </cacheField>
    <cacheField name="Contact Email" numFmtId="0">
      <sharedItems count="2">
        <s v="danielhaycraft@outlook.com"/>
        <s v="daniel.haycraft@capitalfund1.com"/>
      </sharedItems>
    </cacheField>
    <cacheField name="Calculated AIV" numFmtId="0">
      <sharedItems containsSemiMixedTypes="0" containsString="0" containsNumber="1" containsInteger="1" minValue="200000" maxValue="500000"/>
    </cacheField>
    <cacheField name="AHL - California Check Max Loan Amount" numFmtId="166">
      <sharedItems containsSemiMixedTypes="0" containsString="0" containsNumber="1" containsInteger="1" minValue="2000000" maxValue="2000000"/>
    </cacheField>
    <cacheField name="AHL - MAX Renovation Budget" numFmtId="166">
      <sharedItems containsSemiMixedTypes="0" containsString="0" containsNumber="1" containsInteger="1" minValue="2000000" maxValue="2000000"/>
    </cacheField>
    <cacheField name="AHL - MIN Loan Amount Check" numFmtId="0">
      <sharedItems/>
    </cacheField>
    <cacheField name="AHL - Eligible borrowers" numFmtId="0">
      <sharedItems/>
    </cacheField>
    <cacheField name="AHL - Reserves" numFmtId="0">
      <sharedItems/>
    </cacheField>
    <cacheField name="AHL - Property Type Check" numFmtId="0">
      <sharedItems/>
    </cacheField>
    <cacheField name="AHL - Minimum sqft" numFmtId="0">
      <sharedItems/>
    </cacheField>
    <cacheField name="AHL - Minimum FICO" numFmtId="0">
      <sharedItems/>
    </cacheField>
    <cacheField name="AHL - State Availablility" numFmtId="0">
      <sharedItems/>
    </cacheField>
    <cacheField name="AHL - License Required Business Purpose States" numFmtId="0">
      <sharedItems/>
    </cacheField>
    <cacheField name="AHL - Available Check" numFmtId="0">
      <sharedItems count="2">
        <s v="TRUE"/>
        <s v="FALSE"/>
      </sharedItems>
    </cacheField>
    <cacheField name="AHL - NJD/JD" numFmtId="0">
      <sharedItems/>
    </cacheField>
    <cacheField name="AHL - Franchise Type" numFmtId="0">
      <sharedItems/>
    </cacheField>
    <cacheField name="AHL - Funding Type" numFmtId="0">
      <sharedItems/>
    </cacheField>
    <cacheField name="AHL - Experience Category" numFmtId="0">
      <sharedItems/>
    </cacheField>
    <cacheField name="AHL - FICO Category" numFmtId="0">
      <sharedItems/>
    </cacheField>
    <cacheField name="AHL - LTC Estimate" numFmtId="10">
      <sharedItems containsSemiMixedTypes="0" containsString="0" containsNumber="1" minValue="0.77160493827160492" maxValue="0.85555555555555551"/>
    </cacheField>
    <cacheField name="AHL - LTC Category" numFmtId="0">
      <sharedItems/>
    </cacheField>
    <cacheField name="AHL - Match Key" numFmtId="0">
      <sharedItems/>
    </cacheField>
    <cacheField name="AHL - LTC" numFmtId="10">
      <sharedItems containsSemiMixedTypes="0" containsString="0" containsNumber="1" minValue="0.85" maxValue="0.9"/>
    </cacheField>
    <cacheField name="AHL - ARLTV" numFmtId="10">
      <sharedItems containsSemiMixedTypes="0" containsString="0" containsNumber="1" minValue="0.7" maxValue="0.7"/>
    </cacheField>
    <cacheField name="AHL - ARLTV Pivot Display" numFmtId="10">
      <sharedItems containsMixedTypes="1" containsNumber="1" minValue="0.7" maxValue="0.7"/>
    </cacheField>
    <cacheField name="AHL - Rate" numFmtId="10">
      <sharedItems containsSemiMixedTypes="0" containsString="0" containsNumber="1" minValue="0.10249999999999999" maxValue="0.10625"/>
    </cacheField>
    <cacheField name="AHL - Points" numFmtId="10">
      <sharedItems containsSemiMixedTypes="0" containsString="0" containsNumber="1" minValue="8.7500000000000008E-3" maxValue="0.01"/>
    </cacheField>
    <cacheField name="AHL - Exit Fee" numFmtId="10">
      <sharedItems containsSemiMixedTypes="0" containsString="0" containsNumber="1" minValue="8.7500000000000008E-3" maxValue="0.01"/>
    </cacheField>
    <cacheField name="AHL - Exit Fee Only" numFmtId="10">
      <sharedItems containsSemiMixedTypes="0" containsString="0" containsNumber="1" minValue="2.2499999999999999E-2" maxValue="2.5000000000000001E-2"/>
    </cacheField>
    <cacheField name="AHL - 0 Point Rate" numFmtId="10">
      <sharedItems containsSemiMixedTypes="0" containsString="0" containsNumber="1" minValue="0.13" maxValue="0.13625000000000001"/>
    </cacheField>
    <cacheField name="AHL - Financed Budget" numFmtId="166">
      <sharedItems containsMixedTypes="1" containsNumber="1" containsInteger="1" minValue="50000" maxValue="67000"/>
    </cacheField>
    <cacheField name="AHL - Loan Amount (ARLTV calc)" numFmtId="166">
      <sharedItems containsSemiMixedTypes="0" containsString="0" containsNumber="1" containsInteger="1" minValue="157500" maxValue="437500"/>
    </cacheField>
    <cacheField name="AHL - Loan Amount Decider" numFmtId="166">
      <sharedItems containsSemiMixedTypes="0" containsString="0" containsNumber="1" containsInteger="1" minValue="157500" maxValue="437500"/>
    </cacheField>
    <cacheField name="AHL - MAX Loan Amount" numFmtId="166">
      <sharedItems containsSemiMixedTypes="0" containsString="0" containsNumber="1" containsInteger="1" minValue="157500" maxValue="437500"/>
    </cacheField>
    <cacheField name="Exception Check 1" numFmtId="166">
      <sharedItems/>
    </cacheField>
    <cacheField name="Exception Reserve Check" numFmtId="166">
      <sharedItems containsMixedTypes="1" containsNumber="1" minValue="-0.1" maxValue="-0.1"/>
    </cacheField>
    <cacheField name="Exception LTC %" numFmtId="10">
      <sharedItems containsMixedTypes="1" containsNumber="1" minValue="0.75" maxValue="0.75"/>
    </cacheField>
    <cacheField name="Exception LTC Amount" numFmtId="166">
      <sharedItems containsMixedTypes="1" containsNumber="1" containsInteger="1" minValue="187500" maxValue="187500"/>
    </cacheField>
    <cacheField name="AHL - LA w/ Exception" numFmtId="166">
      <sharedItems containsSemiMixedTypes="0" containsString="0" containsNumber="1" containsInteger="1" minValue="157500" maxValue="437500"/>
    </cacheField>
    <cacheField name="AHL - Max LTC" numFmtId="10">
      <sharedItems containsSemiMixedTypes="0" containsString="0" containsNumber="1" minValue="0.75" maxValue="0.9"/>
    </cacheField>
    <cacheField name="AHL - RE LTC Category" numFmtId="166">
      <sharedItems/>
    </cacheField>
    <cacheField name="Re Match Key" numFmtId="10">
      <sharedItems/>
    </cacheField>
    <cacheField name="Column1" numFmtId="10">
      <sharedItems containsNonDate="0" containsString="0" containsBlank="1"/>
    </cacheField>
    <cacheField name="AHL - Rate2" numFmtId="10">
      <sharedItems containsSemiMixedTypes="0" containsString="0" containsNumber="1" minValue="0.10249999999999999" maxValue="0.10625"/>
    </cacheField>
    <cacheField name="AHL - Points3" numFmtId="10">
      <sharedItems containsSemiMixedTypes="0" containsString="0" containsNumber="1" minValue="8.7500000000000008E-3" maxValue="0.01"/>
    </cacheField>
    <cacheField name="AHL - Exit Fee4" numFmtId="10">
      <sharedItems containsSemiMixedTypes="0" containsString="0" containsNumber="1" minValue="8.7500000000000008E-3" maxValue="0.01"/>
    </cacheField>
    <cacheField name="AHL - Exit Fee Only5" numFmtId="10">
      <sharedItems containsSemiMixedTypes="0" containsString="0" containsNumber="1" minValue="2.2499999999999999E-2" maxValue="2.5000000000000001E-2"/>
    </cacheField>
    <cacheField name="AHL - 0 Point Rate6" numFmtId="10">
      <sharedItems containsSemiMixedTypes="0" containsString="0" containsNumber="1" minValue="0.13" maxValue="0.13625000000000001"/>
    </cacheField>
    <cacheField name="AHL - Est. LTAIV" numFmtId="10">
      <sharedItems containsSemiMixedTypes="0" containsString="0" containsNumber="1" minValue="0.67073170731707321" maxValue="0.78749999999999998"/>
    </cacheField>
    <cacheField name="AHL - Est. LTARV" numFmtId="10">
      <sharedItems containsSemiMixedTypes="0" containsString="0" containsNumber="1" minValue="0.625" maxValue="0.7"/>
    </cacheField>
    <cacheField name="AHL - Est. LTC" numFmtId="10">
      <sharedItems containsSemiMixedTypes="0" containsString="0" containsNumber="1" minValue="0.75" maxValue="0.85555555555555551"/>
    </cacheField>
    <cacheField name="Churchill - Experience Level" numFmtId="0">
      <sharedItems/>
    </cacheField>
    <cacheField name="Churchill - Project Type" numFmtId="0">
      <sharedItems/>
    </cacheField>
    <cacheField name="Churchill - Credit Score" numFmtId="0">
      <sharedItems/>
    </cacheField>
    <cacheField name="Churchill - Number of Units2" numFmtId="0">
      <sharedItems/>
    </cacheField>
    <cacheField name="Churchill - Match Key" numFmtId="0">
      <sharedItems/>
    </cacheField>
    <cacheField name="Churchill - propertyType_check" numFmtId="0">
      <sharedItems/>
    </cacheField>
    <cacheField name="Churchill - msa_check" numFmtId="0">
      <sharedItems/>
    </cacheField>
    <cacheField name="Churchill - Eligibility_TF" numFmtId="0">
      <sharedItems count="2">
        <b v="1"/>
        <b v="0"/>
      </sharedItems>
    </cacheField>
    <cacheField name="Churchill - Max LTAIV" numFmtId="10">
      <sharedItems containsMixedTypes="1" containsNumber="1" minValue="0.75" maxValue="0.85"/>
    </cacheField>
    <cacheField name="Churchill - Max LTC" numFmtId="10">
      <sharedItems containsMixedTypes="1" containsNumber="1" minValue="0.75" maxValue="0.9"/>
    </cacheField>
    <cacheField name="Churchill - Max LTARV" numFmtId="10">
      <sharedItems containsMixedTypes="1" containsNumber="1" minValue="0.7" maxValue="0.75"/>
    </cacheField>
    <cacheField name="Churchill - Base Rate" numFmtId="10">
      <sharedItems containsMixedTypes="1" containsNumber="1" minValue="8.7499999999999994E-2" maxValue="0.09"/>
    </cacheField>
    <cacheField name="Churchill - Adj Rate" numFmtId="10">
      <sharedItems containsMixedTypes="1" containsNumber="1" minValue="8.7499999999999994E-2" maxValue="9.5000000000000001E-2"/>
    </cacheField>
    <cacheField name="Churchill - Max Day 1" numFmtId="166">
      <sharedItems containsMixedTypes="1" containsNumber="1" containsInteger="1" minValue="132500" maxValue="401750"/>
    </cacheField>
    <cacheField name="Churchill - Financed Budget" numFmtId="166">
      <sharedItems containsMixedTypes="1" containsNumber="1" containsInteger="1" minValue="0" maxValue="250000"/>
    </cacheField>
    <cacheField name="Churchill - Max Loan Amount" numFmtId="166">
      <sharedItems containsMixedTypes="1" containsNumber="1" containsInteger="1" minValue="150000" maxValue="468750"/>
    </cacheField>
    <cacheField name="Churchill - Max Cash Out" numFmtId="0">
      <sharedItems containsMixedTypes="1" containsNumber="1" containsInteger="1" minValue="500000" maxValue="500000"/>
    </cacheField>
    <cacheField name="Constructive -  Experience Level" numFmtId="0">
      <sharedItems/>
    </cacheField>
    <cacheField name="Constructive -  Project Type" numFmtId="0">
      <sharedItems/>
    </cacheField>
    <cacheField name="Constructive -  Dwelling Type" numFmtId="0">
      <sharedItems/>
    </cacheField>
    <cacheField name="Constructive -  Credit Score" numFmtId="0">
      <sharedItems/>
    </cacheField>
    <cacheField name="Constructive -  Match Key" numFmtId="0">
      <sharedItems/>
    </cacheField>
    <cacheField name="Constructive -  MinValuePerUnit_check" numFmtId="0">
      <sharedItems/>
    </cacheField>
    <cacheField name="Constructive -  state_check" numFmtId="0">
      <sharedItems/>
    </cacheField>
    <cacheField name="Constructive -  Eligible_TF" numFmtId="0">
      <sharedItems count="2">
        <b v="1"/>
        <b v="0"/>
      </sharedItems>
    </cacheField>
    <cacheField name="Constructive -  Foreign_check" numFmtId="0">
      <sharedItems/>
    </cacheField>
    <cacheField name="Constructive -  Max LTV" numFmtId="10">
      <sharedItems containsMixedTypes="1" containsNumber="1" minValue="0.65" maxValue="0.8"/>
    </cacheField>
    <cacheField name="Constructive -  Max Total LTC" numFmtId="10">
      <sharedItems containsMixedTypes="1" containsNumber="1" minValue="0.8" maxValue="0.9"/>
    </cacheField>
    <cacheField name="Constructive -  Max LTARV" numFmtId="10">
      <sharedItems containsMixedTypes="1" containsNumber="1" minValue="0.65" maxValue="0.75"/>
    </cacheField>
    <cacheField name="Constructive -  Max Day 1" numFmtId="166">
      <sharedItems containsMixedTypes="1" containsNumber="1" containsInteger="1" minValue="110000" maxValue="370500"/>
    </cacheField>
    <cacheField name="Constructive -  Financed Budget" numFmtId="166">
      <sharedItems containsMixedTypes="1" containsNumber="1" containsInteger="1" minValue="0" maxValue="250000"/>
    </cacheField>
    <cacheField name="Constructive -  Max Loan Amount" numFmtId="166">
      <sharedItems containsMixedTypes="1" containsNumber="1" containsInteger="1" minValue="145000" maxValue="437500"/>
    </cacheField>
    <cacheField name="Constructive -  Est Loan Amount" numFmtId="166">
      <sharedItems containsMixedTypes="1" containsNumber="1" containsInteger="1" minValue="130000" maxValue="400000"/>
    </cacheField>
    <cacheField name="Constructive - Lender Fee" numFmtId="166">
      <sharedItems containsMixedTypes="1" containsNumber="1" containsInteger="1" minValue="1995" maxValue="2495"/>
    </cacheField>
    <cacheField name="Constructive - 0 Point Rate" numFmtId="10">
      <sharedItems containsMixedTypes="1" containsNumber="1" minValue="0.1099" maxValue="0.1249"/>
    </cacheField>
    <cacheField name="Constructive - 0.5 Point Rate" numFmtId="10">
      <sharedItems containsMixedTypes="1" containsNumber="1" minValue="9.9900000000000003E-2" maxValue="0.11489999999999999"/>
    </cacheField>
    <cacheField name="Constructive - 1 Point Rate" numFmtId="10">
      <sharedItems containsMixedTypes="1" containsNumber="1" minValue="8.7499999999999994E-2" maxValue="0.10489999999999999"/>
    </cacheField>
    <cacheField name="AHL - Day 1 Loan Amount" numFmtId="0" formula="IF(('AHL - LA w/ Exception'-'Improvement Budget')&lt;0,0,'AHL - MAX Loan Amount'-'Improvement Budget')" databaseField="0"/>
  </cacheFields>
  <extLst>
    <ext xmlns:x14="http://schemas.microsoft.com/office/spreadsheetml/2009/9/main" uri="{725AE2AE-9491-48be-B2B4-4EB974FC3084}">
      <x14:pivotCacheDefinition pivotCacheId="10524050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s v="Tempe"/>
    <s v="Arizona"/>
    <n v="85281"/>
    <s v="Maricopa"/>
    <d v="2025-06-20T00:00:00"/>
    <s v="Daniel"/>
    <s v="Haycraft"/>
    <s v="Cf1"/>
    <x v="0"/>
    <s v=" +1 480 338 5396"/>
    <s v="855 North Dobson Road"/>
    <s v="Chandler"/>
    <s v="Arizona"/>
    <n v="85224"/>
    <s v="U.S. Permanent Resident"/>
    <n v="700"/>
    <s v="Own"/>
    <n v="3"/>
    <n v="3"/>
    <n v="300000"/>
    <n v="300000"/>
    <m/>
    <m/>
    <m/>
    <m/>
    <s v="Fix and Flip (Rehab)"/>
    <s v="Cash Out Refinance"/>
    <s v="Single Family"/>
    <n v="1"/>
    <d v="2025-08-31T00:00:00"/>
    <s v="Sell"/>
    <n v="50000"/>
    <n v="495000"/>
    <n v="500000"/>
    <m/>
    <n v="67000"/>
    <n v="510000"/>
    <n v="625000"/>
    <n v="4490"/>
    <n v="5000"/>
    <s v="https://builder.prd.heyflow.com/dl/99b9034a22423c2a84bfdba74ffcd452996cfe6196255b74ab86a45d3c8c4908"/>
    <s v="https://builder.prd.heyflow.com/dl/046b07b2f4c23e4d03317bc53f1b863998f11082781a020671bc36bfefb0dff0"/>
    <s v="https://builder.prd.heyflow.com/dl/88d0d7effadf66c7ae471b9804442ba4cd0058607a99d5141152b03ae7b462de"/>
    <d v="2025-08-22T10:36:00"/>
    <s v="F&amp;F Soft Money"/>
    <m/>
    <x v="0"/>
    <x v="0"/>
    <n v="500000"/>
    <n v="2000000"/>
    <n v="2000000"/>
    <s v="TRUE"/>
    <s v="TRUE"/>
    <s v="TRUE"/>
    <s v="TRUE"/>
    <s v="TRUE"/>
    <s v="TRUE"/>
    <s v="TRUE"/>
    <b v="1"/>
    <x v="0"/>
    <s v="NJD"/>
    <s v="No Franchise"/>
    <s v="Lender Funded"/>
    <s v="3-5 Projects"/>
    <s v="660+"/>
    <n v="0.77160493827160492"/>
    <s v="85%"/>
    <s v="No Franchise| Lender Funded| 3-5 Projects| 660+| 85%"/>
    <n v="0.85"/>
    <n v="0.7"/>
    <n v="0.7"/>
    <n v="0.105"/>
    <n v="0.01"/>
    <n v="0.01"/>
    <n v="2.5000000000000001E-2"/>
    <n v="0.13500000000000001"/>
    <n v="67000"/>
    <n v="437500"/>
    <n v="437500"/>
    <n v="437500"/>
    <s v=""/>
    <s v=""/>
    <s v=""/>
    <s v=""/>
    <n v="437500"/>
    <n v="0.85"/>
    <s v="85%"/>
    <s v="No Franchise| Lender Funded| 3-5 Projects| 660+| 85%"/>
    <m/>
    <n v="0.105"/>
    <n v="0.01"/>
    <n v="0.01"/>
    <n v="2.5000000000000001E-2"/>
    <n v="0.13500000000000001"/>
    <n v="0.72647058823529409"/>
    <n v="0.7"/>
    <n v="0.77160493827160492"/>
    <s v="Experienced (3-9) ($5m)"/>
    <s v="Fix and Flip (Light Rehab)"/>
    <s v="&gt;=700"/>
    <s v="&lt;=4 Units"/>
    <s v="Experienced (3-9) ($5m)|Fix and Flip (Light Rehab)|Cash Out Refinance|&gt;=700|&lt;=4 Units"/>
    <s v=""/>
    <s v=""/>
    <x v="0"/>
    <n v="0.85"/>
    <n v="0.9"/>
    <n v="0.75"/>
    <n v="8.7499999999999994E-2"/>
    <n v="9.2499999999999999E-2"/>
    <n v="401750"/>
    <n v="67000"/>
    <n v="468750"/>
    <n v="500000"/>
    <s v="Gold (3-4)"/>
    <s v="Fix and Flip (Light Rehab)"/>
    <s v="Single Family"/>
    <s v="680-739"/>
    <s v="Gold (3-4)|Fix and Flip (Light Rehab)|Cash Out Refinance|Single Family|680-739"/>
    <s v=""/>
    <s v=""/>
    <x v="0"/>
    <b v="0"/>
    <n v="0.8"/>
    <n v="0.8"/>
    <n v="0.7"/>
    <n v="370500"/>
    <n v="67000"/>
    <n v="437500"/>
    <n v="400000"/>
    <n v="1995"/>
    <n v="0.1249"/>
    <n v="0.11489999999999999"/>
    <n v="0.10489999999999999"/>
  </r>
  <r>
    <x v="1"/>
    <x v="0"/>
    <s v="Tempe"/>
    <s v="Arizona"/>
    <n v="85281"/>
    <s v="Maricopa"/>
    <d v="2025-06-20T00:00:00"/>
    <s v="Daniel"/>
    <s v="Haycraft"/>
    <s v="Cf1"/>
    <x v="0"/>
    <s v=" +1 480 338 5396"/>
    <s v="855 North Dobson Road"/>
    <s v="Chandler"/>
    <s v="Arizona"/>
    <n v="85224"/>
    <s v="U.S. Permanent Resident"/>
    <n v="625"/>
    <s v="Own"/>
    <n v="3"/>
    <n v="3"/>
    <n v="55000"/>
    <n v="300000"/>
    <m/>
    <m/>
    <m/>
    <m/>
    <s v="Fix and Flip (Rehab)"/>
    <s v="Purchase"/>
    <s v="Single Family"/>
    <n v="1"/>
    <d v="2025-08-31T00:00:00"/>
    <s v="Sell"/>
    <m/>
    <n v="295000"/>
    <n v="200000"/>
    <m/>
    <n v="50000"/>
    <n v="205000"/>
    <n v="300000"/>
    <n v="5000"/>
    <n v="5000"/>
    <s v="https://builder.prd.heyflow.com/dl/99b9034a22423c2a84bfdba74ffcd452996cfe6196255b74ab86a45d3c8c4908"/>
    <s v="https://builder.prd.heyflow.com/dl/046b07b2f4c23e4d03317bc53f1b863998f11082781a020671bc36bfefb0dff0"/>
    <s v="https://builder.prd.heyflow.com/dl/88d0d7effadf66c7ae471b9804442ba4cd0058607a99d5141152b03ae7b462de"/>
    <d v="2025-08-22T10:24:00"/>
    <s v="F&amp;F Soft Money (Broker)"/>
    <m/>
    <x v="0"/>
    <x v="0"/>
    <n v="200000"/>
    <n v="2000000"/>
    <n v="2000000"/>
    <s v="TRUE"/>
    <s v="TRUE"/>
    <s v="TRUE"/>
    <s v="TRUE"/>
    <s v="TRUE"/>
    <s v="TRUE"/>
    <s v="TRUE"/>
    <b v="1"/>
    <x v="0"/>
    <s v="NJD"/>
    <s v="No Franchise"/>
    <s v="Lender Funded"/>
    <s v="3-5 Projects"/>
    <s v="620-639"/>
    <n v="0.84"/>
    <s v="85%"/>
    <s v="No Franchise| Lender Funded| 3-5 Projects| 620-639| 85%"/>
    <n v="0.85"/>
    <n v="0.7"/>
    <n v="0.7"/>
    <n v="0.105"/>
    <n v="0.01"/>
    <n v="0.01"/>
    <n v="2.5000000000000001E-2"/>
    <n v="0.13500000000000001"/>
    <n v="50000"/>
    <n v="210000"/>
    <n v="210000"/>
    <n v="210000"/>
    <b v="1"/>
    <n v="-0.1"/>
    <n v="0.75"/>
    <n v="187500"/>
    <n v="187500"/>
    <n v="0.75"/>
    <s v="85%"/>
    <s v="No Franchise| Lender Funded| 3-5 Projects| 620-639| 85%"/>
    <m/>
    <n v="0.105"/>
    <n v="0.01"/>
    <n v="0.01"/>
    <n v="2.5000000000000001E-2"/>
    <n v="0.13500000000000001"/>
    <n v="0.67073170731707321"/>
    <n v="0.625"/>
    <n v="0.75"/>
    <s v="Experienced (3-9) ($5m)"/>
    <s v="Fix and Flip (Light Rehab)"/>
    <s v="ERROR"/>
    <s v="&lt;=4 Units"/>
    <s v="Experienced (3-9) ($5m)|Fix and Flip (Light Rehab)|Purchase|ERROR|&lt;=4 Units"/>
    <s v=""/>
    <s v=""/>
    <x v="1"/>
    <s v="ERROR"/>
    <s v="ERROR"/>
    <s v="ERROR"/>
    <s v="ERROR"/>
    <s v="ERROR"/>
    <s v="N/A"/>
    <s v=""/>
    <s v=""/>
    <s v="ERROR"/>
    <s v="Gold (3-4)"/>
    <s v="Fix and Flip (Light Rehab)"/>
    <s v="Single Family"/>
    <s v="ERROR"/>
    <s v="Gold (3-4)|Fix and Flip (Light Rehab)|Purchase|Single Family|ERROR"/>
    <s v=""/>
    <s v=""/>
    <x v="1"/>
    <b v="0"/>
    <s v="N/A"/>
    <s v="N/A"/>
    <s v="N/A"/>
    <s v="N/A"/>
    <s v="N/A"/>
    <s v="N/A"/>
    <s v="N/A"/>
    <s v="N/A"/>
    <s v="N/A"/>
    <s v="N/A"/>
    <s v="N/A"/>
  </r>
  <r>
    <x v="2"/>
    <x v="1"/>
    <s v="Irving"/>
    <s v="Texas"/>
    <n v="75060"/>
    <s v="Dallas"/>
    <d v="2025-08-03T00:00:00"/>
    <s v="Daniel"/>
    <s v="Haycraft"/>
    <s v="Cf1"/>
    <x v="0"/>
    <s v=" +1 480 338 5396"/>
    <s v="1189 Adams Lane"/>
    <s v="Southlake"/>
    <s v="Texas"/>
    <n v="76092"/>
    <s v="U.S. Citizen"/>
    <n v="693"/>
    <s v="Own"/>
    <n v="3"/>
    <n v="3"/>
    <n v="5000"/>
    <n v="50000"/>
    <s v="D"/>
    <s v="J"/>
    <s v="daniel.haycraft@capitalfund1.com"/>
    <s v=" +1 480 338 5396"/>
    <s v="Bridge (No Rehab)"/>
    <s v="Purchase"/>
    <s v="Single Family"/>
    <n v="1"/>
    <d v="2025-08-31T00:00:00"/>
    <s v="Sell"/>
    <n v="500000"/>
    <n v="495000"/>
    <n v="200000"/>
    <m/>
    <n v="0"/>
    <n v="200000"/>
    <n v="225000"/>
    <n v="2000"/>
    <n v="2000"/>
    <s v="https://builder.prd.heyflow.com/dl/303897ee847fa205f70b2882b89dae9240fa35c05a389eef8ae1cb130768ed1e"/>
    <s v="https://builder.prd.heyflow.com/dl/805fcad49b453013c33ef2bb8710da0ebd968c07f66e56e6d0fe84072d0027e5"/>
    <s v="https://builder.prd.heyflow.com/dl/0daff5db140b29ed032446147ec5ef9c73e2f61c84a6d8918c2d081272b71cdd"/>
    <d v="2025-08-21T12:52:00"/>
    <s v="F&amp;F Soft Money (Broker)"/>
    <m/>
    <x v="1"/>
    <x v="1"/>
    <n v="200000"/>
    <n v="2000000"/>
    <n v="2000000"/>
    <s v="TRUE"/>
    <s v="TRUE"/>
    <s v="FALSE"/>
    <s v="TRUE"/>
    <s v="TRUE"/>
    <s v="TRUE"/>
    <s v="TRUE"/>
    <b v="0"/>
    <x v="1"/>
    <s v="NJD"/>
    <s v="No Franchise"/>
    <s v="Lender Funded"/>
    <s v="3-5 Projects"/>
    <s v="660+"/>
    <n v="0.78749999999999998"/>
    <s v="85%"/>
    <s v="No Franchise| Lender Funded| 3-5 Projects| 660+| 85%"/>
    <n v="0.85"/>
    <n v="0.7"/>
    <s v=""/>
    <n v="0.105"/>
    <n v="0.01"/>
    <n v="0.01"/>
    <n v="2.5000000000000001E-2"/>
    <n v="0.13500000000000001"/>
    <s v="N/A"/>
    <n v="157500"/>
    <n v="157500"/>
    <n v="157500"/>
    <s v=""/>
    <s v=""/>
    <s v=""/>
    <s v=""/>
    <n v="157500"/>
    <n v="0.85"/>
    <s v="85%"/>
    <s v="No Franchise| Lender Funded| 3-5 Projects| 660+| 85%"/>
    <m/>
    <n v="0.105"/>
    <n v="0.01"/>
    <n v="0.01"/>
    <n v="2.5000000000000001E-2"/>
    <n v="0.13500000000000001"/>
    <n v="0.78749999999999998"/>
    <n v="0.7"/>
    <n v="0.78749999999999998"/>
    <s v="Experienced (3-9) ($5m)"/>
    <s v="Bridge (No Rehab)"/>
    <s v="680 - 699"/>
    <s v="&lt;=4 Units"/>
    <s v="Experienced (3-9) ($5m)|Bridge (No Rehab)|Purchase|680 - 699|&lt;=4 Units"/>
    <s v=""/>
    <s v=""/>
    <x v="0"/>
    <n v="0.75"/>
    <n v="0.75"/>
    <s v="N/A"/>
    <n v="8.7499999999999994E-2"/>
    <n v="0.09"/>
    <n v="150000"/>
    <n v="0"/>
    <n v="150000"/>
    <s v="N/A"/>
    <s v="Gold (3-4)"/>
    <s v="Bridge (No Rehab)"/>
    <s v="Single Family"/>
    <s v="680-739"/>
    <s v="Gold (3-4)|Bridge (No Rehab)|Purchase|Single Family|680-739"/>
    <s v=""/>
    <s v=""/>
    <x v="0"/>
    <b v="0"/>
    <n v="0.75"/>
    <s v="N/A"/>
    <s v="N/A"/>
    <n v="150000"/>
    <n v="0"/>
    <n v="150000"/>
    <n v="150000"/>
    <n v="1995"/>
    <n v="0.1149"/>
    <n v="0.10489999999999999"/>
    <n v="9.4899999999999998E-2"/>
  </r>
  <r>
    <x v="3"/>
    <x v="1"/>
    <s v="Irving"/>
    <s v="Texas"/>
    <n v="75060"/>
    <s v="Dallas"/>
    <d v="2025-06-20T00:00:00"/>
    <s v="Daniel"/>
    <s v="Haycraft"/>
    <s v="Cf1"/>
    <x v="0"/>
    <s v=" +1 480 338 5396"/>
    <s v="1189 Adams Lane"/>
    <s v="Southlake"/>
    <s v="Texas"/>
    <n v="76092"/>
    <s v="U.S. Citizen"/>
    <n v="693"/>
    <s v="Own"/>
    <n v="3"/>
    <n v="3"/>
    <n v="5000"/>
    <n v="50000"/>
    <s v="D"/>
    <s v="J"/>
    <s v="daniel.haycraft@capitalfund1.com"/>
    <s v=" +1 480 338 5396"/>
    <s v="Fix and Flip (Rehab)"/>
    <s v="Rate and Term Refinance"/>
    <s v="Duplex"/>
    <n v="2"/>
    <d v="2025-08-31T00:00:00"/>
    <s v="Sell"/>
    <m/>
    <n v="450000"/>
    <n v="200000"/>
    <m/>
    <n v="250000"/>
    <n v="200000"/>
    <n v="550000"/>
    <n v="2000"/>
    <n v="2500"/>
    <s v="https://builder.prd.heyflow.com/dl/303897ee847fa205f70b2882b89dae9240fa35c05a389eef8ae1cb130768ed1e"/>
    <s v="https://builder.prd.heyflow.com/dl/805fcad49b453013c33ef2bb8710da0ebd968c07f66e56e6d0fe84072d0027e5"/>
    <s v="https://builder.prd.heyflow.com/dl/0daff5db140b29ed032446147ec5ef9c73e2f61c84a6d8918c2d081272b71cdd"/>
    <d v="2025-08-21T12:48:00"/>
    <s v="F&amp;F Soft Money (Broker)"/>
    <m/>
    <x v="1"/>
    <x v="1"/>
    <n v="200000"/>
    <n v="2000000"/>
    <n v="2000000"/>
    <s v="TRUE"/>
    <s v="TRUE"/>
    <s v="FALSE"/>
    <s v="TRUE"/>
    <s v="TRUE"/>
    <s v="TRUE"/>
    <s v="TRUE"/>
    <b v="0"/>
    <x v="1"/>
    <s v="NJD"/>
    <s v="No Franchise"/>
    <s v="Lender Funded"/>
    <s v="3-5 Projects"/>
    <s v="660+"/>
    <n v="0.85555555555555551"/>
    <s v="90%"/>
    <s v="No Franchise| Lender Funded| 3-5 Projects| 660+| 90%"/>
    <n v="0.9"/>
    <n v="0.7"/>
    <s v=""/>
    <n v="0.10625"/>
    <n v="0.01"/>
    <n v="0.01"/>
    <n v="2.5000000000000001E-2"/>
    <n v="0.13625000000000001"/>
    <s v="N/A"/>
    <n v="385000"/>
    <n v="385000"/>
    <n v="385000"/>
    <s v=""/>
    <s v=""/>
    <s v=""/>
    <s v=""/>
    <n v="385000"/>
    <n v="0.9"/>
    <s v="90%"/>
    <s v="No Franchise| Lender Funded| 3-5 Projects| 660+| 90%"/>
    <m/>
    <n v="0.10625"/>
    <n v="0.01"/>
    <n v="0.01"/>
    <n v="2.5000000000000001E-2"/>
    <n v="0.13625000000000001"/>
    <n v="0.67500000000000004"/>
    <n v="0.7"/>
    <n v="0.85555555555555551"/>
    <s v="Experienced (3-9) ($5m)"/>
    <s v="Fix and Flip (Heavy Rehab)"/>
    <s v="680 - 699"/>
    <s v="&lt;=4 Units"/>
    <s v="Experienced (3-9) ($5m)|Fix and Flip (Heavy Rehab)|Rate and Term Refinance|680 - 699|&lt;=4 Units"/>
    <s v=""/>
    <s v=""/>
    <x v="0"/>
    <n v="0.85"/>
    <n v="0.85"/>
    <n v="0.7"/>
    <n v="0.09"/>
    <n v="9.2499999999999999E-2"/>
    <n v="132500"/>
    <n v="250000"/>
    <n v="382500"/>
    <s v="N/A"/>
    <s v="Gold (3-4)"/>
    <s v="Fix and Flip (Heavy Rehab)"/>
    <s v="Other (2-4 Unit)"/>
    <s v="680-739"/>
    <s v="Gold (3-4)|Fix and Flip (Heavy Rehab)|Rate and Term Refinance|Other (2-4 Unit)|680-739"/>
    <s v=""/>
    <s v=""/>
    <x v="0"/>
    <b v="0"/>
    <n v="0.8"/>
    <n v="0.8"/>
    <n v="0.75"/>
    <n v="110000"/>
    <n v="250000"/>
    <n v="360000"/>
    <n v="160000"/>
    <n v="2495"/>
    <n v="0.11990000000000001"/>
    <n v="0.1099"/>
    <n v="9.9900000000000003E-2"/>
  </r>
  <r>
    <x v="4"/>
    <x v="1"/>
    <s v="Irving"/>
    <s v="Texas"/>
    <n v="75060"/>
    <s v="Dallas"/>
    <d v="2025-06-20T00:00:00"/>
    <s v="Daniel"/>
    <s v="Haycraft"/>
    <s v="Cf1"/>
    <x v="0"/>
    <s v=" +1 480 338 5396"/>
    <s v="1189 Adams Lane"/>
    <s v="Southlake"/>
    <s v="Texas"/>
    <n v="76092"/>
    <s v="U.S. Citizen"/>
    <n v="693"/>
    <s v="Own"/>
    <n v="3"/>
    <n v="3"/>
    <n v="5000"/>
    <n v="50000"/>
    <s v="D"/>
    <s v="J"/>
    <s v="daniel.haycraft@capitalfund1.com"/>
    <s v=" +1 480 338 5396"/>
    <s v="Fix and Flip (Rehab)"/>
    <s v="Cash Out Refinance"/>
    <s v="Single Family"/>
    <n v="1"/>
    <d v="2025-08-31T00:00:00"/>
    <s v="Sell"/>
    <m/>
    <n v="165000"/>
    <n v="200000"/>
    <m/>
    <n v="25000"/>
    <n v="200000"/>
    <n v="250000"/>
    <n v="2000"/>
    <n v="2000"/>
    <s v="https://builder.prd.heyflow.com/dl/303897ee847fa205f70b2882b89dae9240fa35c05a389eef8ae1cb130768ed1e"/>
    <s v="https://builder.prd.heyflow.com/dl/805fcad49b453013c33ef2bb8710da0ebd968c07f66e56e6d0fe84072d0027e5"/>
    <s v="https://builder.prd.heyflow.com/dl/0daff5db140b29ed032446147ec5ef9c73e2f61c84a6d8918c2d081272b71cdd"/>
    <d v="2025-08-21T12:35:00"/>
    <s v="F&amp;F Soft Money (Broker)"/>
    <m/>
    <x v="1"/>
    <x v="1"/>
    <n v="200000"/>
    <n v="2000000"/>
    <n v="2000000"/>
    <s v="TRUE"/>
    <s v="TRUE"/>
    <s v="FALSE"/>
    <s v="TRUE"/>
    <s v="TRUE"/>
    <s v="TRUE"/>
    <s v="TRUE"/>
    <b v="0"/>
    <x v="1"/>
    <s v="NJD"/>
    <s v="No Franchise"/>
    <s v="Lender Funded"/>
    <s v="3-5 Projects"/>
    <s v="660+"/>
    <n v="0.77777777777777779"/>
    <s v="85%"/>
    <s v="No Franchise| Lender Funded| 3-5 Projects| 660+| 85%"/>
    <n v="0.85"/>
    <n v="0.7"/>
    <s v=""/>
    <n v="0.105"/>
    <n v="0.01"/>
    <n v="0.01"/>
    <n v="2.5000000000000001E-2"/>
    <n v="0.13500000000000001"/>
    <s v="N/A"/>
    <n v="175000"/>
    <n v="175000"/>
    <n v="175000"/>
    <s v=""/>
    <s v=""/>
    <s v=""/>
    <s v=""/>
    <n v="175000"/>
    <n v="0.85"/>
    <s v="85%"/>
    <s v="No Franchise| Lender Funded| 3-5 Projects| 660+| 85%"/>
    <m/>
    <n v="0.105"/>
    <n v="0.01"/>
    <n v="0.01"/>
    <n v="2.5000000000000001E-2"/>
    <n v="0.13500000000000001"/>
    <n v="0.75"/>
    <n v="0.7"/>
    <n v="0.77777777777777779"/>
    <s v="Experienced (3-9) ($5m)"/>
    <s v="Fix and Flip (Light Rehab)"/>
    <s v="680 - 699"/>
    <s v="&lt;=4 Units"/>
    <s v="Experienced (3-9) ($5m)|Fix and Flip (Light Rehab)|Cash Out Refinance|680 - 699|&lt;=4 Units"/>
    <s v=""/>
    <s v=""/>
    <x v="0"/>
    <n v="0.85"/>
    <n v="0.9"/>
    <n v="0.75"/>
    <n v="8.7499999999999994E-2"/>
    <n v="9.5000000000000001E-2"/>
    <n v="162500"/>
    <n v="25000"/>
    <n v="187500"/>
    <n v="500000"/>
    <s v="Gold (3-4)"/>
    <s v="Fix and Flip (Light Rehab)"/>
    <s v="Single Family"/>
    <s v="680-739"/>
    <s v="Gold (3-4)|Fix and Flip (Light Rehab)|Cash Out Refinance|Single Family|680-739"/>
    <s v=""/>
    <s v=""/>
    <x v="0"/>
    <b v="0"/>
    <n v="0.8"/>
    <n v="0.8"/>
    <n v="0.7"/>
    <n v="150000"/>
    <n v="25000"/>
    <n v="175000"/>
    <n v="160000"/>
    <n v="1995"/>
    <n v="0.1249"/>
    <n v="0.11489999999999999"/>
    <n v="0.10489999999999999"/>
  </r>
  <r>
    <x v="5"/>
    <x v="2"/>
    <s v="Ennis"/>
    <s v="Texas"/>
    <n v="75119"/>
    <s v="Ellis"/>
    <d v="2025-06-20T00:00:00"/>
    <s v="Daniel"/>
    <s v="Haycraft"/>
    <m/>
    <x v="0"/>
    <s v=" +1 480 338 5396"/>
    <s v="855 North Dobson Road"/>
    <s v="Chandler"/>
    <s v="Arizona"/>
    <n v="85224"/>
    <s v="U.S. Citizen"/>
    <n v="724"/>
    <s v="Own"/>
    <n v="9"/>
    <n v="9"/>
    <n v="5000000"/>
    <n v="7"/>
    <s v="John"/>
    <s v="G"/>
    <s v="daniel.haycraft@capitalfund1.com"/>
    <s v=" +1 480 338 5396"/>
    <s v="Fix and Flip (Rehab)"/>
    <s v="Purchase"/>
    <s v="Non-Warrantable Condo"/>
    <n v="1"/>
    <d v="2025-08-31T00:00:00"/>
    <s v="Sell"/>
    <m/>
    <n v="175000"/>
    <n v="200000"/>
    <m/>
    <n v="15000"/>
    <n v="200000"/>
    <n v="240000"/>
    <n v="2000"/>
    <n v="2000"/>
    <m/>
    <m/>
    <m/>
    <d v="2025-08-21T10:54:00"/>
    <s v="F&amp;F Soft Money (Broker)"/>
    <m/>
    <x v="2"/>
    <x v="1"/>
    <n v="200000"/>
    <n v="2000000"/>
    <n v="2000000"/>
    <s v="TRUE"/>
    <s v="TRUE"/>
    <s v="TRUE"/>
    <s v="FALSE"/>
    <s v="TRUE"/>
    <s v="TRUE"/>
    <s v="TRUE"/>
    <b v="0"/>
    <x v="1"/>
    <s v="NJD"/>
    <s v="No Franchise"/>
    <s v="Lender Funded"/>
    <s v="6-9 Projects"/>
    <s v="660+"/>
    <n v="0.78139534883720929"/>
    <s v="85%"/>
    <s v="No Franchise| Lender Funded| 6-9 Projects| 660+| 85%"/>
    <n v="0.85"/>
    <n v="0.7"/>
    <s v=""/>
    <n v="0.10249999999999999"/>
    <n v="8.7500000000000008E-3"/>
    <n v="8.7500000000000008E-3"/>
    <n v="2.2499999999999999E-2"/>
    <n v="0.13"/>
    <s v="N/A"/>
    <n v="168000"/>
    <n v="168000"/>
    <n v="168000"/>
    <s v=""/>
    <s v=""/>
    <s v=""/>
    <s v=""/>
    <n v="168000"/>
    <n v="0.85"/>
    <s v="85%"/>
    <s v="No Franchise| Lender Funded| 6-9 Projects| 660+| 85%"/>
    <m/>
    <n v="0.10249999999999999"/>
    <n v="8.7500000000000008E-3"/>
    <n v="8.7500000000000008E-3"/>
    <n v="2.2499999999999999E-2"/>
    <n v="0.13"/>
    <n v="0.76500000000000001"/>
    <n v="0.7"/>
    <n v="0.78139534883720929"/>
    <s v="Experienced (3-9) ($5m)"/>
    <s v="Fix and Flip (Light Rehab)"/>
    <s v="&gt;=700"/>
    <s v="&lt;=4 Units"/>
    <s v="Experienced (3-9) ($5m)|Fix and Flip (Light Rehab)|Purchase|&gt;=700|&lt;=4 Units"/>
    <s v=""/>
    <s v=""/>
    <x v="0"/>
    <n v="0.85"/>
    <n v="0.9"/>
    <n v="0.75"/>
    <n v="8.7499999999999994E-2"/>
    <n v="8.7499999999999994E-2"/>
    <n v="165000"/>
    <n v="15000"/>
    <n v="180000"/>
    <s v="N/A"/>
    <s v="Platinum (5+)"/>
    <s v="Fix and Flip (Light Rehab)"/>
    <s v="Non-Warrantable Condo"/>
    <s v="680-739"/>
    <s v="Platinum (5+)|Fix and Flip (Light Rehab)|Purchase|Non-Warrantable Condo|680-739"/>
    <s v=""/>
    <s v=""/>
    <x v="0"/>
    <b v="0"/>
    <n v="0.65"/>
    <n v="0.9"/>
    <n v="0.65"/>
    <n v="130000"/>
    <n v="15000"/>
    <n v="145000"/>
    <n v="130000"/>
    <n v="1995"/>
    <n v="0.1099"/>
    <n v="9.9900000000000003E-2"/>
    <n v="8.749999999999999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DFDBF8-3450-40D6-8544-DC43B62B0E8C}" name="PivotTable2" cacheId="0" applyNumberFormats="0" applyBorderFormats="0" applyFontFormats="0" applyPatternFormats="0" applyAlignmentFormats="0" applyWidthHeightFormats="1" dataCaption="Values" showError="1" updatedVersion="8" minRefreshableVersion="3" useAutoFormatting="1" rowGrandTotals="0" itemPrintTitles="1" createdVersion="8" indent="0" compact="0" compactData="0" multipleFieldFilters="0" rowHeaderCaption="">
  <location ref="C9:AJ15" firstHeaderRow="0" firstDataRow="1" firstDataCol="5"/>
  <pivotFields count="137">
    <pivotField name="HubSpot Record ID" axis="axisRow" compact="0" outline="0" showAll="0" defaultSubtotal="0">
      <items count="8">
        <item m="1" x="6"/>
        <item m="1" x="7"/>
        <item x="0"/>
        <item x="1"/>
        <item x="2"/>
        <item x="3"/>
        <item x="4"/>
        <item x="5"/>
      </items>
    </pivotField>
    <pivotField name="Property _x000a_Address" axis="axisRow" compact="0" outline="0" showAll="0" defaultSubtotal="0">
      <items count="10">
        <item m="1" x="7"/>
        <item n=" " m="1" x="8"/>
        <item m="1" x="9"/>
        <item m="1" x="3"/>
        <item m="1" x="4"/>
        <item m="1" x="5"/>
        <item m="1" x="6"/>
        <item x="0"/>
        <item x="1"/>
        <item x="2"/>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items count="3">
        <item x="0"/>
        <item m="1" x="2"/>
        <item n=" " m="1"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3">
        <item x="1"/>
        <item x="0"/>
        <item x="2"/>
      </items>
    </pivotField>
    <pivotField axis="axisRow" compact="0" outline="0" showAll="0" defaultSubtotal="0">
      <items count="2">
        <item x="1"/>
        <item x="0"/>
      </items>
    </pivotField>
    <pivotField compact="0" outline="0" showAll="0"/>
    <pivotField compact="0" numFmtId="166" outline="0" showAll="0"/>
    <pivotField compact="0" numFmtId="166"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numFmtId="166" outline="0" showAll="0"/>
    <pivotField dataField="1" compact="0" outline="0" showAll="0"/>
    <pivotField compact="0" outline="0" showAll="0"/>
    <pivotField compact="0" outline="0" showAll="0"/>
    <pivotField compact="0" outline="0" showAll="0"/>
    <pivotField dataField="1" compact="0" numFmtId="10" outline="0" showAll="0"/>
    <pivotField dataField="1" compact="0" numFmtId="10" outline="0" showAll="0"/>
    <pivotField dataField="1" compact="0" numFmtId="10" outline="0" showAll="0"/>
    <pivotField dataField="1" compact="0" numFmtId="10" outline="0" showAll="0"/>
    <pivotField dataField="1" compact="0" numFmtId="1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dataField="1" compact="0" outline="0" showAll="0"/>
    <pivotField dataField="1" compact="0" outline="0" showAll="0"/>
    <pivotField dataField="1"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dragToRow="0" dragToCol="0" dragToPage="0" showAll="0" defaultSubtotal="0"/>
  </pivotFields>
  <rowFields count="5">
    <field x="48"/>
    <field x="49"/>
    <field x="0"/>
    <field x="1"/>
    <field x="61"/>
  </rowFields>
  <rowItems count="6">
    <i>
      <x/>
      <x/>
      <x v="4"/>
      <x v="8"/>
      <x/>
    </i>
    <i r="2">
      <x v="5"/>
      <x v="8"/>
      <x/>
    </i>
    <i r="2">
      <x v="6"/>
      <x v="8"/>
      <x/>
    </i>
    <i>
      <x v="1"/>
      <x v="1"/>
      <x v="2"/>
      <x v="7"/>
      <x v="1"/>
    </i>
    <i r="2">
      <x v="3"/>
      <x v="7"/>
      <x v="1"/>
    </i>
    <i>
      <x v="2"/>
      <x/>
      <x v="7"/>
      <x v="9"/>
      <x/>
    </i>
  </rowItems>
  <colFields count="1">
    <field x="-2"/>
  </colFields>
  <colItems count="2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colItems>
  <dataFields count="29">
    <dataField name="AHL _x000a_Max Day 1" fld="136" baseField="1" baseItem="0" numFmtId="164"/>
    <dataField name="AHL _x000a_Financed Budget " fld="78" subtotal="average" baseField="1" baseItem="0" numFmtId="164"/>
    <dataField name="AHL _x000a_Max Loan Amount" fld="86" subtotal="average" baseField="1" baseItem="8" numFmtId="164"/>
    <dataField name="AHL _x000a_Max LTC" fld="87" baseField="1" baseItem="8" numFmtId="10"/>
    <dataField name="AHL _x000a_ARLTV" fld="72" subtotal="average" baseField="1" baseItem="8" numFmtId="165"/>
    <dataField name="AHL _x000a_Points" fld="92" subtotal="average" baseField="1" baseItem="8" numFmtId="165"/>
    <dataField name="AHL _x000a_Exit Fee" fld="93" subtotal="average" baseField="1" baseItem="7" numFmtId="165"/>
    <dataField name="AHL _x000a_Exit Fee Only" fld="94" subtotal="average" baseField="1" baseItem="8" numFmtId="165"/>
    <dataField name="AHL _x000a_Rate" fld="91" subtotal="average" baseField="1" baseItem="9" numFmtId="165"/>
    <dataField name="AHL _x000a_0 Point Rate" fld="95" subtotal="average" baseField="1" baseItem="8" numFmtId="165"/>
    <dataField name=" " fld="3" subtotal="count" baseField="0" baseItem="0"/>
    <dataField name="Churchill_x000a_Max Day 1 " fld="112" subtotal="average" baseField="1" baseItem="0"/>
    <dataField name="Churchill_x000a_Financed Budget " fld="113" subtotal="average" baseField="1" baseItem="0"/>
    <dataField name="Churchill_x000a_Max Loan Amount " fld="114" subtotal="average" baseField="1" baseItem="0"/>
    <dataField name="Churchill_x000a_Max LTV" fld="107" subtotal="average" baseField="1" baseItem="0"/>
    <dataField name="Churchill_x000a_Max LTC " fld="108" subtotal="average" baseField="1" baseItem="0"/>
    <dataField name="Churchill_x000a_Max LTARV " fld="109" subtotal="average" baseField="1" baseItem="0"/>
    <dataField name="Churchill_x000a_Final Rate " fld="111" subtotal="average" baseField="3" baseItem="0"/>
    <dataField name="  " fld="3" subtotal="count" baseField="0" baseItem="0"/>
    <dataField name="Constructive_x000a_Max Day 1 " fld="128" subtotal="average" baseField="1" baseItem="0"/>
    <dataField name="Constructive_x000a_Financed Budget " fld="129" subtotal="average" baseField="1" baseItem="0"/>
    <dataField name="Constructive_x000a_Max Total Loan" fld="130" subtotal="average" baseField="1" baseItem="0"/>
    <dataField name="Constructive_x000a_Max LTV " fld="125" subtotal="average" baseField="1" baseItem="0"/>
    <dataField name="Constructive_x000a_Max LTC " fld="126" subtotal="average" baseField="1" baseItem="0"/>
    <dataField name="Constructive_x000a_Max LTARV " fld="127" subtotal="average" baseField="1" baseItem="0"/>
    <dataField name="Constructive_x000a_Lender Fee " fld="132" subtotal="average" baseField="1" baseItem="0"/>
    <dataField name="Constructive_x000a_0 Point Rate " fld="133" subtotal="average" baseField="1" baseItem="0"/>
    <dataField name="Constructive_x000a_0.5 Point Rate " fld="134" subtotal="average" baseField="1" baseItem="0"/>
    <dataField name="Constructive_x000a_1 Point Rate " fld="135" subtotal="average" baseField="1" baseItem="0"/>
  </dataFields>
  <formats count="144">
    <format dxfId="229">
      <pivotArea dataOnly="0" labelOnly="1" outline="0" fieldPosition="0">
        <references count="1">
          <reference field="4294967294" count="1">
            <x v="17"/>
          </reference>
        </references>
      </pivotArea>
    </format>
    <format dxfId="228">
      <pivotArea field="1" type="button" dataOnly="0" labelOnly="1" outline="0" axis="axisRow" fieldPosition="3"/>
    </format>
    <format dxfId="227">
      <pivotArea dataOnly="0" labelOnly="1" outline="0" fieldPosition="0">
        <references count="1">
          <reference field="4294967294" count="1">
            <x v="17"/>
          </reference>
        </references>
      </pivotArea>
    </format>
    <format dxfId="226">
      <pivotArea field="1" type="button" dataOnly="0" labelOnly="1" outline="0" axis="axisRow" fieldPosition="3"/>
    </format>
    <format dxfId="225">
      <pivotArea dataOnly="0" labelOnly="1" outline="0" fieldPosition="0">
        <references count="1">
          <reference field="4294967294" count="1">
            <x v="17"/>
          </reference>
        </references>
      </pivotArea>
    </format>
    <format dxfId="224">
      <pivotArea dataOnly="0" labelOnly="1" outline="0" fieldPosition="0">
        <references count="1">
          <reference field="4294967294" count="1">
            <x v="17"/>
          </reference>
        </references>
      </pivotArea>
    </format>
    <format dxfId="223">
      <pivotArea dataOnly="0" labelOnly="1" outline="0" fieldPosition="0">
        <references count="1">
          <reference field="4294967294" count="1">
            <x v="17"/>
          </reference>
        </references>
      </pivotArea>
    </format>
    <format dxfId="222">
      <pivotArea field="1" type="button" dataOnly="0" labelOnly="1" outline="0" axis="axisRow" fieldPosition="3"/>
    </format>
    <format dxfId="221">
      <pivotArea field="1" type="button" dataOnly="0" labelOnly="1" outline="0" axis="axisRow" fieldPosition="3"/>
    </format>
    <format dxfId="220">
      <pivotArea dataOnly="0" outline="0" fieldPosition="0">
        <references count="1">
          <reference field="4294967294" count="1">
            <x v="17"/>
          </reference>
        </references>
      </pivotArea>
    </format>
    <format dxfId="219">
      <pivotArea dataOnly="0" labelOnly="1" outline="0" fieldPosition="0">
        <references count="1">
          <reference field="1" count="0"/>
        </references>
      </pivotArea>
    </format>
    <format dxfId="218">
      <pivotArea dataOnly="0" outline="0" fieldPosition="0">
        <references count="1">
          <reference field="4294967294" count="1">
            <x v="17"/>
          </reference>
        </references>
      </pivotArea>
    </format>
    <format dxfId="217">
      <pivotArea dataOnly="0" outline="0" fieldPosition="0">
        <references count="1">
          <reference field="4294967294" count="1">
            <x v="17"/>
          </reference>
        </references>
      </pivotArea>
    </format>
    <format dxfId="216">
      <pivotArea dataOnly="0" labelOnly="1" outline="0" fieldPosition="0">
        <references count="1">
          <reference field="4294967294" count="3">
            <x v="22"/>
            <x v="23"/>
            <x v="24"/>
          </reference>
        </references>
      </pivotArea>
    </format>
    <format dxfId="215">
      <pivotArea dataOnly="0" labelOnly="1" outline="0" fieldPosition="0">
        <references count="1">
          <reference field="4294967294" count="3">
            <x v="22"/>
            <x v="23"/>
            <x v="24"/>
          </reference>
        </references>
      </pivotArea>
    </format>
    <format dxfId="214">
      <pivotArea dataOnly="0" labelOnly="1" outline="0" fieldPosition="0">
        <references count="1">
          <reference field="4294967294" count="3">
            <x v="22"/>
            <x v="23"/>
            <x v="24"/>
          </reference>
        </references>
      </pivotArea>
    </format>
    <format dxfId="213">
      <pivotArea dataOnly="0" outline="0" fieldPosition="0">
        <references count="1">
          <reference field="4294967294" count="3">
            <x v="22"/>
            <x v="23"/>
            <x v="24"/>
          </reference>
        </references>
      </pivotArea>
    </format>
    <format dxfId="212">
      <pivotArea dataOnly="0" outline="0" fieldPosition="0">
        <references count="1">
          <reference field="4294967294" count="3">
            <x v="22"/>
            <x v="23"/>
            <x v="24"/>
          </reference>
        </references>
      </pivotArea>
    </format>
    <format dxfId="211">
      <pivotArea dataOnly="0" labelOnly="1" outline="0" fieldPosition="0">
        <references count="1">
          <reference field="4294967294" count="2">
            <x v="19"/>
            <x v="24"/>
          </reference>
        </references>
      </pivotArea>
    </format>
    <format dxfId="210">
      <pivotArea dataOnly="0" labelOnly="1" outline="0" fieldPosition="0">
        <references count="1">
          <reference field="4294967294" count="2">
            <x v="19"/>
            <x v="24"/>
          </reference>
        </references>
      </pivotArea>
    </format>
    <format dxfId="209">
      <pivotArea dataOnly="0" labelOnly="1" outline="0" fieldPosition="0">
        <references count="1">
          <reference field="4294967294" count="2">
            <x v="19"/>
            <x v="24"/>
          </reference>
        </references>
      </pivotArea>
    </format>
    <format dxfId="208">
      <pivotArea dataOnly="0" outline="0" fieldPosition="0">
        <references count="1">
          <reference field="4294967294" count="2">
            <x v="19"/>
            <x v="21"/>
          </reference>
        </references>
      </pivotArea>
    </format>
    <format dxfId="207">
      <pivotArea dataOnly="0" outline="0" fieldPosition="0">
        <references count="1">
          <reference field="4294967294" count="2">
            <x v="19"/>
            <x v="21"/>
          </reference>
        </references>
      </pivotArea>
    </format>
    <format dxfId="206">
      <pivotArea dataOnly="0" labelOnly="1" outline="0" fieldPosition="0">
        <references count="1">
          <reference field="4294967294" count="1">
            <x v="21"/>
          </reference>
        </references>
      </pivotArea>
    </format>
    <format dxfId="205">
      <pivotArea dataOnly="0" labelOnly="1" outline="0" fieldPosition="0">
        <references count="1">
          <reference field="4294967294" count="1">
            <x v="21"/>
          </reference>
        </references>
      </pivotArea>
    </format>
    <format dxfId="204">
      <pivotArea dataOnly="0" labelOnly="1" outline="0" fieldPosition="0">
        <references count="1">
          <reference field="4294967294" count="1">
            <x v="20"/>
          </reference>
        </references>
      </pivotArea>
    </format>
    <format dxfId="203">
      <pivotArea dataOnly="0" labelOnly="1" outline="0" fieldPosition="0">
        <references count="1">
          <reference field="4294967294" count="1">
            <x v="20"/>
          </reference>
        </references>
      </pivotArea>
    </format>
    <format dxfId="202">
      <pivotArea dataOnly="0" labelOnly="1" outline="0" fieldPosition="0">
        <references count="1">
          <reference field="4294967294" count="1">
            <x v="20"/>
          </reference>
        </references>
      </pivotArea>
    </format>
    <format dxfId="201">
      <pivotArea dataOnly="0" outline="0" fieldPosition="0">
        <references count="1">
          <reference field="4294967294" count="2">
            <x v="19"/>
            <x v="20"/>
          </reference>
        </references>
      </pivotArea>
    </format>
    <format dxfId="200">
      <pivotArea dataOnly="0" outline="0" fieldPosition="0">
        <references count="1">
          <reference field="4294967294" count="2">
            <x v="19"/>
            <x v="20"/>
          </reference>
        </references>
      </pivotArea>
    </format>
    <format dxfId="199">
      <pivotArea dataOnly="0" outline="0" fieldPosition="0">
        <references count="1">
          <reference field="4294967294" count="3">
            <x v="14"/>
            <x v="15"/>
            <x v="16"/>
          </reference>
        </references>
      </pivotArea>
    </format>
    <format dxfId="198">
      <pivotArea dataOnly="0" outline="0" fieldPosition="0">
        <references count="1">
          <reference field="4294967294" count="3">
            <x v="14"/>
            <x v="15"/>
            <x v="16"/>
          </reference>
        </references>
      </pivotArea>
    </format>
    <format dxfId="197">
      <pivotArea dataOnly="0" outline="0" fieldPosition="0">
        <references count="1">
          <reference field="4294967294" count="3">
            <x v="14"/>
            <x v="15"/>
            <x v="16"/>
          </reference>
        </references>
      </pivotArea>
    </format>
    <format dxfId="196">
      <pivotArea dataOnly="0" labelOnly="1" outline="0" fieldPosition="0">
        <references count="1">
          <reference field="4294967294" count="3">
            <x v="14"/>
            <x v="15"/>
            <x v="16"/>
          </reference>
        </references>
      </pivotArea>
    </format>
    <format dxfId="195">
      <pivotArea dataOnly="0" labelOnly="1" outline="0" fieldPosition="0">
        <references count="1">
          <reference field="4294967294" count="3">
            <x v="14"/>
            <x v="15"/>
            <x v="16"/>
          </reference>
        </references>
      </pivotArea>
    </format>
    <format dxfId="194">
      <pivotArea dataOnly="0" labelOnly="1" outline="0" fieldPosition="0">
        <references count="1">
          <reference field="4294967294" count="3">
            <x v="14"/>
            <x v="15"/>
            <x v="16"/>
          </reference>
        </references>
      </pivotArea>
    </format>
    <format dxfId="193">
      <pivotArea dataOnly="0" labelOnly="1" outline="0" fieldPosition="0">
        <references count="1">
          <reference field="4294967294" count="3">
            <x v="14"/>
            <x v="15"/>
            <x v="16"/>
          </reference>
        </references>
      </pivotArea>
    </format>
    <format dxfId="192">
      <pivotArea outline="0" fieldPosition="0">
        <references count="1">
          <reference field="4294967294" count="3" selected="0">
            <x v="14"/>
            <x v="15"/>
            <x v="16"/>
          </reference>
        </references>
      </pivotArea>
    </format>
    <format dxfId="191">
      <pivotArea dataOnly="0" outline="0" fieldPosition="0">
        <references count="1">
          <reference field="4294967294" count="3">
            <x v="11"/>
            <x v="12"/>
            <x v="13"/>
          </reference>
        </references>
      </pivotArea>
    </format>
    <format dxfId="190">
      <pivotArea dataOnly="0" outline="0" fieldPosition="0">
        <references count="1">
          <reference field="4294967294" count="3">
            <x v="11"/>
            <x v="12"/>
            <x v="13"/>
          </reference>
        </references>
      </pivotArea>
    </format>
    <format dxfId="189">
      <pivotArea dataOnly="0" labelOnly="1" outline="0" fieldPosition="0">
        <references count="1">
          <reference field="4294967294" count="3">
            <x v="11"/>
            <x v="12"/>
            <x v="13"/>
          </reference>
        </references>
      </pivotArea>
    </format>
    <format dxfId="188">
      <pivotArea dataOnly="0" labelOnly="1" outline="0" fieldPosition="0">
        <references count="1">
          <reference field="4294967294" count="3">
            <x v="11"/>
            <x v="12"/>
            <x v="13"/>
          </reference>
        </references>
      </pivotArea>
    </format>
    <format dxfId="187">
      <pivotArea dataOnly="0" labelOnly="1" outline="0" fieldPosition="0">
        <references count="1">
          <reference field="4294967294" count="3">
            <x v="11"/>
            <x v="12"/>
            <x v="13"/>
          </reference>
        </references>
      </pivotArea>
    </format>
    <format dxfId="186">
      <pivotArea dataOnly="0" labelOnly="1" outline="0" fieldPosition="0">
        <references count="1">
          <reference field="4294967294" count="3">
            <x v="11"/>
            <x v="12"/>
            <x v="13"/>
          </reference>
        </references>
      </pivotArea>
    </format>
    <format dxfId="185">
      <pivotArea outline="0" fieldPosition="0">
        <references count="1">
          <reference field="4294967294" count="3" selected="0">
            <x v="11"/>
            <x v="12"/>
            <x v="13"/>
          </reference>
        </references>
      </pivotArea>
    </format>
    <format dxfId="184">
      <pivotArea outline="0" fieldPosition="0">
        <references count="1">
          <reference field="4294967294" count="6" selected="0">
            <x v="19"/>
            <x v="20"/>
            <x v="21"/>
            <x v="22"/>
            <x v="23"/>
            <x v="24"/>
          </reference>
        </references>
      </pivotArea>
    </format>
    <format dxfId="183">
      <pivotArea dataOnly="0" labelOnly="1" outline="0" fieldPosition="0">
        <references count="1">
          <reference field="4294967294" count="7">
            <x v="11"/>
            <x v="12"/>
            <x v="13"/>
            <x v="14"/>
            <x v="15"/>
            <x v="16"/>
            <x v="17"/>
          </reference>
        </references>
      </pivotArea>
    </format>
    <format dxfId="182">
      <pivotArea dataOnly="0" labelOnly="1" outline="0" fieldPosition="0">
        <references count="1">
          <reference field="4294967294" count="6">
            <x v="19"/>
            <x v="20"/>
            <x v="21"/>
            <x v="22"/>
            <x v="23"/>
            <x v="24"/>
          </reference>
        </references>
      </pivotArea>
    </format>
    <format dxfId="181">
      <pivotArea dataOnly="0" labelOnly="1" outline="0" fieldPosition="0">
        <references count="1">
          <reference field="4294967294" count="1">
            <x v="13"/>
          </reference>
        </references>
      </pivotArea>
    </format>
    <format dxfId="180">
      <pivotArea dataOnly="0" outline="0" fieldPosition="0">
        <references count="1">
          <reference field="4294967294" count="1">
            <x v="17"/>
          </reference>
        </references>
      </pivotArea>
    </format>
    <format dxfId="179">
      <pivotArea outline="0" fieldPosition="0">
        <references count="1">
          <reference field="4294967294" count="1">
            <x v="0"/>
          </reference>
        </references>
      </pivotArea>
    </format>
    <format dxfId="178">
      <pivotArea dataOnly="0" labelOnly="1" outline="0" fieldPosition="0">
        <references count="1">
          <reference field="4294967294" count="1">
            <x v="0"/>
          </reference>
        </references>
      </pivotArea>
    </format>
    <format dxfId="177">
      <pivotArea dataOnly="0" labelOnly="1" outline="0" fieldPosition="0">
        <references count="1">
          <reference field="4294967294" count="1">
            <x v="0"/>
          </reference>
        </references>
      </pivotArea>
    </format>
    <format dxfId="176">
      <pivotArea dataOnly="0" labelOnly="1" outline="0" fieldPosition="0">
        <references count="1">
          <reference field="4294967294" count="1">
            <x v="0"/>
          </reference>
        </references>
      </pivotArea>
    </format>
    <format dxfId="175">
      <pivotArea outline="0" fieldPosition="0">
        <references count="1">
          <reference field="4294967294" count="1">
            <x v="1"/>
          </reference>
        </references>
      </pivotArea>
    </format>
    <format dxfId="174">
      <pivotArea dataOnly="0" labelOnly="1" outline="0" fieldPosition="0">
        <references count="1">
          <reference field="4294967294" count="1">
            <x v="1"/>
          </reference>
        </references>
      </pivotArea>
    </format>
    <format dxfId="173">
      <pivotArea dataOnly="0" labelOnly="1" outline="0" fieldPosition="0">
        <references count="1">
          <reference field="4294967294" count="1">
            <x v="1"/>
          </reference>
        </references>
      </pivotArea>
    </format>
    <format dxfId="172">
      <pivotArea dataOnly="0" labelOnly="1" outline="0" fieldPosition="0">
        <references count="1">
          <reference field="4294967294" count="1">
            <x v="1"/>
          </reference>
        </references>
      </pivotArea>
    </format>
    <format dxfId="171">
      <pivotArea dataOnly="0" labelOnly="1" outline="0" fieldPosition="0">
        <references count="1">
          <reference field="4294967294" count="2">
            <x v="0"/>
            <x v="1"/>
          </reference>
        </references>
      </pivotArea>
    </format>
    <format dxfId="170">
      <pivotArea dataOnly="0" labelOnly="1" outline="0" fieldPosition="0">
        <references count="1">
          <reference field="4294967294" count="2">
            <x v="0"/>
            <x v="1"/>
          </reference>
        </references>
      </pivotArea>
    </format>
    <format dxfId="169">
      <pivotArea dataOnly="0" outline="0" fieldPosition="0">
        <references count="1">
          <reference field="4294967294" count="2">
            <x v="0"/>
            <x v="1"/>
          </reference>
        </references>
      </pivotArea>
    </format>
    <format dxfId="168">
      <pivotArea dataOnly="0" labelOnly="1" outline="0" fieldPosition="0">
        <references count="1">
          <reference field="4294967294" count="6">
            <x v="19"/>
            <x v="20"/>
            <x v="21"/>
            <x v="22"/>
            <x v="23"/>
            <x v="24"/>
          </reference>
        </references>
      </pivotArea>
    </format>
    <format dxfId="167">
      <pivotArea dataOnly="0" labelOnly="1" outline="0" fieldPosition="0">
        <references count="1">
          <reference field="4294967294" count="6">
            <x v="19"/>
            <x v="20"/>
            <x v="21"/>
            <x v="22"/>
            <x v="23"/>
            <x v="24"/>
          </reference>
        </references>
      </pivotArea>
    </format>
    <format dxfId="166">
      <pivotArea dataOnly="0" outline="0" fieldPosition="0">
        <references count="1">
          <reference field="4294967294" count="15">
            <x v="0"/>
            <x v="1"/>
            <x v="11"/>
            <x v="12"/>
            <x v="13"/>
            <x v="14"/>
            <x v="15"/>
            <x v="16"/>
            <x v="17"/>
            <x v="19"/>
            <x v="20"/>
            <x v="21"/>
            <x v="22"/>
            <x v="23"/>
            <x v="24"/>
          </reference>
        </references>
      </pivotArea>
    </format>
    <format dxfId="165">
      <pivotArea dataOnly="0" outline="0" fieldPosition="0">
        <references count="1">
          <reference field="4294967294" count="3">
            <x v="14"/>
            <x v="15"/>
            <x v="16"/>
          </reference>
        </references>
      </pivotArea>
    </format>
    <format dxfId="164">
      <pivotArea dataOnly="0" outline="0" fieldPosition="0">
        <references count="1">
          <reference field="4294967294" count="1">
            <x v="11"/>
          </reference>
        </references>
      </pivotArea>
    </format>
    <format dxfId="163">
      <pivotArea dataOnly="0" outline="0" fieldPosition="0">
        <references count="1">
          <reference field="4294967294" count="15">
            <x v="0"/>
            <x v="1"/>
            <x v="11"/>
            <x v="12"/>
            <x v="13"/>
            <x v="14"/>
            <x v="15"/>
            <x v="16"/>
            <x v="17"/>
            <x v="19"/>
            <x v="20"/>
            <x v="21"/>
            <x v="22"/>
            <x v="23"/>
            <x v="24"/>
          </reference>
        </references>
      </pivotArea>
    </format>
    <format dxfId="162">
      <pivotArea dataOnly="0" labelOnly="1" outline="0" fieldPosition="0">
        <references count="1">
          <reference field="0" count="0"/>
        </references>
      </pivotArea>
    </format>
    <format dxfId="161">
      <pivotArea dataOnly="0" labelOnly="1" outline="0" fieldPosition="0">
        <references count="1">
          <reference field="0" count="0"/>
        </references>
      </pivotArea>
    </format>
    <format dxfId="160">
      <pivotArea dataOnly="0" labelOnly="1" outline="0" fieldPosition="0">
        <references count="1">
          <reference field="0" count="0"/>
        </references>
      </pivotArea>
    </format>
    <format dxfId="159">
      <pivotArea field="0" type="button" dataOnly="0" labelOnly="1" outline="0" axis="axisRow" fieldPosition="2"/>
    </format>
    <format dxfId="158">
      <pivotArea field="0" type="button" dataOnly="0" labelOnly="1" outline="0" axis="axisRow" fieldPosition="2"/>
    </format>
    <format dxfId="157">
      <pivotArea field="0" type="button" dataOnly="0" labelOnly="1" outline="0" axis="axisRow" fieldPosition="2"/>
    </format>
    <format dxfId="156">
      <pivotArea field="0" type="button" dataOnly="0" labelOnly="1" outline="0" axis="axisRow" fieldPosition="2"/>
    </format>
    <format dxfId="155">
      <pivotArea field="0" type="button" dataOnly="0" labelOnly="1" outline="0" axis="axisRow" fieldPosition="2"/>
    </format>
    <format dxfId="154">
      <pivotArea dataOnly="0" outline="0" fieldPosition="0">
        <references count="1">
          <reference field="4294967294" count="1">
            <x v="25"/>
          </reference>
        </references>
      </pivotArea>
    </format>
    <format dxfId="153">
      <pivotArea dataOnly="0" outline="0" fieldPosition="0">
        <references count="1">
          <reference field="4294967294" count="1">
            <x v="25"/>
          </reference>
        </references>
      </pivotArea>
    </format>
    <format dxfId="152">
      <pivotArea dataOnly="0" outline="0" fieldPosition="0">
        <references count="1">
          <reference field="4294967294" count="1">
            <x v="25"/>
          </reference>
        </references>
      </pivotArea>
    </format>
    <format dxfId="151">
      <pivotArea dataOnly="0" labelOnly="1" outline="0" fieldPosition="0">
        <references count="1">
          <reference field="4294967294" count="1">
            <x v="25"/>
          </reference>
        </references>
      </pivotArea>
    </format>
    <format dxfId="150">
      <pivotArea dataOnly="0" outline="0" fieldPosition="0">
        <references count="1">
          <reference field="4294967294" count="3">
            <x v="26"/>
            <x v="27"/>
            <x v="28"/>
          </reference>
        </references>
      </pivotArea>
    </format>
    <format dxfId="149">
      <pivotArea dataOnly="0" outline="0" fieldPosition="0">
        <references count="1">
          <reference field="4294967294" count="3">
            <x v="26"/>
            <x v="27"/>
            <x v="28"/>
          </reference>
        </references>
      </pivotArea>
    </format>
    <format dxfId="148">
      <pivotArea dataOnly="0" outline="0" fieldPosition="0">
        <references count="1">
          <reference field="4294967294" count="3">
            <x v="26"/>
            <x v="27"/>
            <x v="28"/>
          </reference>
        </references>
      </pivotArea>
    </format>
    <format dxfId="147">
      <pivotArea dataOnly="0" labelOnly="1" outline="0" fieldPosition="0">
        <references count="1">
          <reference field="4294967294" count="3">
            <x v="26"/>
            <x v="27"/>
            <x v="28"/>
          </reference>
        </references>
      </pivotArea>
    </format>
    <format dxfId="146">
      <pivotArea dataOnly="0" labelOnly="1" outline="0" fieldPosition="0">
        <references count="1">
          <reference field="4294967294" count="4">
            <x v="25"/>
            <x v="26"/>
            <x v="27"/>
            <x v="28"/>
          </reference>
        </references>
      </pivotArea>
    </format>
    <format dxfId="145">
      <pivotArea dataOnly="0" labelOnly="1" outline="0" fieldPosition="0">
        <references count="1">
          <reference field="4294967294" count="4">
            <x v="25"/>
            <x v="26"/>
            <x v="27"/>
            <x v="28"/>
          </reference>
        </references>
      </pivotArea>
    </format>
    <format dxfId="144">
      <pivotArea dataOnly="0" outline="0" fieldPosition="0">
        <references count="1">
          <reference field="4294967294" count="4">
            <x v="25"/>
            <x v="26"/>
            <x v="27"/>
            <x v="28"/>
          </reference>
        </references>
      </pivotArea>
    </format>
    <format dxfId="143">
      <pivotArea outline="0" fieldPosition="0">
        <references count="1">
          <reference field="4294967294" count="1" selected="0">
            <x v="10"/>
          </reference>
        </references>
      </pivotArea>
    </format>
    <format dxfId="142">
      <pivotArea dataOnly="0" labelOnly="1" outline="0" fieldPosition="0">
        <references count="1">
          <reference field="4294967294" count="1">
            <x v="10"/>
          </reference>
        </references>
      </pivotArea>
    </format>
    <format dxfId="141">
      <pivotArea outline="0" fieldPosition="0">
        <references count="1">
          <reference field="4294967294" count="1" selected="0">
            <x v="10"/>
          </reference>
        </references>
      </pivotArea>
    </format>
    <format dxfId="140">
      <pivotArea dataOnly="0" labelOnly="1" outline="0" fieldPosition="0">
        <references count="1">
          <reference field="4294967294" count="1">
            <x v="10"/>
          </reference>
        </references>
      </pivotArea>
    </format>
    <format dxfId="139">
      <pivotArea outline="0" fieldPosition="0">
        <references count="1">
          <reference field="4294967294" count="1" selected="0">
            <x v="10"/>
          </reference>
        </references>
      </pivotArea>
    </format>
    <format dxfId="138">
      <pivotArea dataOnly="0" labelOnly="1" outline="0" fieldPosition="0">
        <references count="1">
          <reference field="4294967294" count="1">
            <x v="10"/>
          </reference>
        </references>
      </pivotArea>
    </format>
    <format dxfId="137">
      <pivotArea dataOnly="0" outline="0" fieldPosition="0">
        <references count="1">
          <reference field="4294967294" count="1">
            <x v="18"/>
          </reference>
        </references>
      </pivotArea>
    </format>
    <format dxfId="136">
      <pivotArea dataOnly="0" outline="0" fieldPosition="0">
        <references count="1">
          <reference field="4294967294" count="1">
            <x v="18"/>
          </reference>
        </references>
      </pivotArea>
    </format>
    <format dxfId="135">
      <pivotArea dataOnly="0" outline="0" fieldPosition="0">
        <references count="1">
          <reference field="4294967294" count="1">
            <x v="11"/>
          </reference>
        </references>
      </pivotArea>
    </format>
    <format dxfId="134">
      <pivotArea dataOnly="0" outline="0" fieldPosition="0">
        <references count="1">
          <reference field="4294967294" count="1">
            <x v="18"/>
          </reference>
        </references>
      </pivotArea>
    </format>
    <format dxfId="133">
      <pivotArea dataOnly="0" outline="0" fieldPosition="0">
        <references count="1">
          <reference field="4294967294" count="1">
            <x v="18"/>
          </reference>
        </references>
      </pivotArea>
    </format>
    <format dxfId="132">
      <pivotArea dataOnly="0" outline="0" fieldPosition="0">
        <references count="1">
          <reference field="4294967294" count="1">
            <x v="17"/>
          </reference>
        </references>
      </pivotArea>
    </format>
    <format dxfId="131">
      <pivotArea dataOnly="0" outline="0" fieldPosition="0">
        <references count="1">
          <reference field="4294967294" count="1">
            <x v="19"/>
          </reference>
        </references>
      </pivotArea>
    </format>
    <format dxfId="130">
      <pivotArea dataOnly="0" labelOnly="1" outline="0" fieldPosition="0">
        <references count="1">
          <reference field="4294967294" count="1">
            <x v="18"/>
          </reference>
        </references>
      </pivotArea>
    </format>
    <format dxfId="129">
      <pivotArea dataOnly="0" labelOnly="1" outline="0" fieldPosition="0">
        <references count="1">
          <reference field="1" count="0"/>
        </references>
      </pivotArea>
    </format>
    <format dxfId="128">
      <pivotArea field="10" type="button" dataOnly="0" labelOnly="1" outline="0"/>
    </format>
    <format dxfId="127">
      <pivotArea dataOnly="0" labelOnly="1" outline="0" fieldPosition="0">
        <references count="1">
          <reference field="48" count="0"/>
        </references>
      </pivotArea>
    </format>
    <format dxfId="126">
      <pivotArea dataOnly="0" labelOnly="1" outline="0" fieldPosition="0">
        <references count="1">
          <reference field="48" count="0"/>
        </references>
      </pivotArea>
    </format>
    <format dxfId="125">
      <pivotArea field="48" type="button" dataOnly="0" labelOnly="1" outline="0" axis="axisRow" fieldPosition="0"/>
    </format>
    <format dxfId="124">
      <pivotArea dataOnly="0" labelOnly="1" outline="0" fieldPosition="0">
        <references count="1">
          <reference field="48" count="0"/>
        </references>
      </pivotArea>
    </format>
    <format dxfId="123">
      <pivotArea dataOnly="0" labelOnly="1" outline="0" fieldPosition="0">
        <references count="1">
          <reference field="49" count="0"/>
        </references>
      </pivotArea>
    </format>
    <format dxfId="122">
      <pivotArea field="49" type="button" dataOnly="0" labelOnly="1" outline="0" axis="axisRow" fieldPosition="1"/>
    </format>
    <format dxfId="121">
      <pivotArea dataOnly="0" labelOnly="1" outline="0" fieldPosition="0">
        <references count="1">
          <reference field="4294967294" count="1">
            <x v="3"/>
          </reference>
        </references>
      </pivotArea>
    </format>
    <format dxfId="120">
      <pivotArea dataOnly="0" outline="0" fieldPosition="0">
        <references count="1">
          <reference field="4294967294" count="1">
            <x v="3"/>
          </reference>
        </references>
      </pivotArea>
    </format>
    <format dxfId="119">
      <pivotArea outline="0" fieldPosition="0">
        <references count="1">
          <reference field="4294967294" count="1">
            <x v="3"/>
          </reference>
        </references>
      </pivotArea>
    </format>
    <format dxfId="118">
      <pivotArea outline="0" fieldPosition="0">
        <references count="1">
          <reference field="4294967294" count="1" selected="0">
            <x v="2"/>
          </reference>
        </references>
      </pivotArea>
    </format>
    <format dxfId="117">
      <pivotArea dataOnly="0" labelOnly="1" outline="0" fieldPosition="0">
        <references count="1">
          <reference field="4294967294" count="1">
            <x v="2"/>
          </reference>
        </references>
      </pivotArea>
    </format>
    <format dxfId="116">
      <pivotArea outline="0" fieldPosition="0">
        <references count="1">
          <reference field="4294967294" count="1">
            <x v="2"/>
          </reference>
        </references>
      </pivotArea>
    </format>
    <format dxfId="115">
      <pivotArea dataOnly="0" labelOnly="1" outline="0" fieldPosition="0">
        <references count="1">
          <reference field="4294967294" count="1">
            <x v="2"/>
          </reference>
        </references>
      </pivotArea>
    </format>
    <format dxfId="114">
      <pivotArea dataOnly="0" outline="0" fieldPosition="0">
        <references count="1">
          <reference field="4294967294" count="1">
            <x v="2"/>
          </reference>
        </references>
      </pivotArea>
    </format>
    <format dxfId="113">
      <pivotArea dataOnly="0" outline="0" fieldPosition="0">
        <references count="1">
          <reference field="4294967294" count="1">
            <x v="2"/>
          </reference>
        </references>
      </pivotArea>
    </format>
    <format dxfId="112">
      <pivotArea outline="0" fieldPosition="0">
        <references count="1">
          <reference field="4294967294" count="1">
            <x v="8"/>
          </reference>
        </references>
      </pivotArea>
    </format>
    <format dxfId="111">
      <pivotArea dataOnly="0" labelOnly="1" outline="0" fieldPosition="0">
        <references count="1">
          <reference field="4294967294" count="1">
            <x v="8"/>
          </reference>
        </references>
      </pivotArea>
    </format>
    <format dxfId="110">
      <pivotArea dataOnly="0" outline="0" fieldPosition="0">
        <references count="1">
          <reference field="4294967294" count="1">
            <x v="8"/>
          </reference>
        </references>
      </pivotArea>
    </format>
    <format dxfId="109">
      <pivotArea outline="0" fieldPosition="0">
        <references count="1">
          <reference field="4294967294" count="1">
            <x v="5"/>
          </reference>
        </references>
      </pivotArea>
    </format>
    <format dxfId="108">
      <pivotArea dataOnly="0" labelOnly="1" outline="0" fieldPosition="0">
        <references count="1">
          <reference field="4294967294" count="1">
            <x v="5"/>
          </reference>
        </references>
      </pivotArea>
    </format>
    <format dxfId="107">
      <pivotArea dataOnly="0" outline="0" fieldPosition="0">
        <references count="1">
          <reference field="4294967294" count="1">
            <x v="5"/>
          </reference>
        </references>
      </pivotArea>
    </format>
    <format dxfId="106">
      <pivotArea outline="0" fieldPosition="0">
        <references count="1">
          <reference field="4294967294" count="1">
            <x v="6"/>
          </reference>
        </references>
      </pivotArea>
    </format>
    <format dxfId="105">
      <pivotArea dataOnly="0" labelOnly="1" outline="0" fieldPosition="0">
        <references count="1">
          <reference field="4294967294" count="1">
            <x v="6"/>
          </reference>
        </references>
      </pivotArea>
    </format>
    <format dxfId="104">
      <pivotArea dataOnly="0" labelOnly="1" outline="0" fieldPosition="0">
        <references count="1">
          <reference field="4294967294" count="1">
            <x v="6"/>
          </reference>
        </references>
      </pivotArea>
    </format>
    <format dxfId="103">
      <pivotArea dataOnly="0" outline="0" fieldPosition="0">
        <references count="1">
          <reference field="4294967294" count="1">
            <x v="6"/>
          </reference>
        </references>
      </pivotArea>
    </format>
    <format dxfId="102">
      <pivotArea dataOnly="0" outline="0" fieldPosition="0">
        <references count="1">
          <reference field="4294967294" count="7">
            <x v="0"/>
            <x v="1"/>
            <x v="2"/>
            <x v="3"/>
            <x v="5"/>
            <x v="6"/>
            <x v="8"/>
          </reference>
        </references>
      </pivotArea>
    </format>
    <format dxfId="101">
      <pivotArea outline="0" fieldPosition="0">
        <references count="1">
          <reference field="4294967294" count="1">
            <x v="4"/>
          </reference>
        </references>
      </pivotArea>
    </format>
    <format dxfId="100">
      <pivotArea dataOnly="0" outline="0" fieldPosition="0">
        <references count="1">
          <reference field="4294967294" count="1">
            <x v="4"/>
          </reference>
        </references>
      </pivotArea>
    </format>
    <format dxfId="99">
      <pivotArea dataOnly="0" labelOnly="1" outline="0" fieldPosition="0">
        <references count="1">
          <reference field="4294967294" count="1">
            <x v="4"/>
          </reference>
        </references>
      </pivotArea>
    </format>
    <format dxfId="98">
      <pivotArea outline="0" fieldPosition="0">
        <references count="1">
          <reference field="4294967294" count="1">
            <x v="7"/>
          </reference>
        </references>
      </pivotArea>
    </format>
    <format dxfId="97">
      <pivotArea dataOnly="0" outline="0" fieldPosition="0">
        <references count="1">
          <reference field="4294967294" count="1">
            <x v="7"/>
          </reference>
        </references>
      </pivotArea>
    </format>
    <format dxfId="96">
      <pivotArea dataOnly="0" outline="0" fieldPosition="0">
        <references count="1">
          <reference field="4294967294" count="1">
            <x v="7"/>
          </reference>
        </references>
      </pivotArea>
    </format>
    <format dxfId="95">
      <pivotArea dataOnly="0" labelOnly="1" outline="0" fieldPosition="0">
        <references count="1">
          <reference field="4294967294" count="1">
            <x v="7"/>
          </reference>
        </references>
      </pivotArea>
    </format>
    <format dxfId="94">
      <pivotArea outline="0" fieldPosition="0">
        <references count="1">
          <reference field="4294967294" count="1">
            <x v="9"/>
          </reference>
        </references>
      </pivotArea>
    </format>
    <format dxfId="93">
      <pivotArea dataOnly="0" outline="0" fieldPosition="0">
        <references count="1">
          <reference field="4294967294" count="1">
            <x v="9"/>
          </reference>
        </references>
      </pivotArea>
    </format>
    <format dxfId="92">
      <pivotArea dataOnly="0" outline="0" fieldPosition="0">
        <references count="1">
          <reference field="4294967294" count="1">
            <x v="9"/>
          </reference>
        </references>
      </pivotArea>
    </format>
    <format dxfId="91">
      <pivotArea dataOnly="0" labelOnly="1" outline="0" fieldPosition="0">
        <references count="1">
          <reference field="4294967294" count="1">
            <x v="9"/>
          </reference>
        </references>
      </pivotArea>
    </format>
    <format dxfId="90">
      <pivotArea dataOnly="0" outline="0" fieldPosition="0">
        <references count="1">
          <reference field="4294967294" count="1">
            <x v="2"/>
          </reference>
        </references>
      </pivotArea>
    </format>
    <format dxfId="89">
      <pivotArea dataOnly="0" outline="0" fieldPosition="0">
        <references count="1">
          <reference field="4294967294" count="1">
            <x v="5"/>
          </reference>
        </references>
      </pivotArea>
    </format>
    <format dxfId="88">
      <pivotArea dataOnly="0" outline="0" fieldPosition="0">
        <references count="1">
          <reference field="4294967294" count="1">
            <x v="6"/>
          </reference>
        </references>
      </pivotArea>
    </format>
    <format dxfId="87">
      <pivotArea dataOnly="0" outline="0" fieldPosition="0">
        <references count="1">
          <reference field="4294967294" count="1">
            <x v="8"/>
          </reference>
        </references>
      </pivotArea>
    </format>
    <format dxfId="86">
      <pivotArea outline="0" fieldPosition="0">
        <references count="6">
          <reference field="4294967294" count="1" selected="0">
            <x v="1"/>
          </reference>
          <reference field="0" count="1" selected="0">
            <x v="3"/>
          </reference>
          <reference field="1" count="1" selected="0">
            <x v="7"/>
          </reference>
          <reference field="48" count="1" selected="0">
            <x v="1"/>
          </reference>
          <reference field="49" count="1" selected="0">
            <x v="1"/>
          </reference>
          <reference field="61" count="1" selected="0">
            <x v="1"/>
          </reference>
        </references>
      </pivotArea>
    </format>
  </formats>
  <conditionalFormats count="9">
    <conditionalFormat scope="data" priority="1">
      <pivotAreas count="1">
        <pivotArea outline="0" fieldPosition="0">
          <references count="1">
            <reference field="4294967294" count="1" selected="0">
              <x v="9"/>
            </reference>
          </references>
        </pivotArea>
      </pivotAreas>
    </conditionalFormat>
    <conditionalFormat scope="data" priority="2">
      <pivotAreas count="1">
        <pivotArea outline="0" fieldPosition="0">
          <references count="1">
            <reference field="4294967294" count="1" selected="0">
              <x v="8"/>
            </reference>
          </references>
        </pivotArea>
      </pivotAreas>
    </conditionalFormat>
    <conditionalFormat scope="data" priority="3">
      <pivotAreas count="1">
        <pivotArea outline="0" fieldPosition="0">
          <references count="1">
            <reference field="4294967294" count="1" selected="0">
              <x v="7"/>
            </reference>
          </references>
        </pivotArea>
      </pivotAreas>
    </conditionalFormat>
    <conditionalFormat scope="data" priority="4">
      <pivotAreas count="1">
        <pivotArea outline="0" fieldPosition="0">
          <references count="1">
            <reference field="4294967294" count="1" selected="0">
              <x v="6"/>
            </reference>
          </references>
        </pivotArea>
      </pivotAreas>
    </conditionalFormat>
    <conditionalFormat scope="data" priority="5">
      <pivotAreas count="1">
        <pivotArea outline="0" fieldPosition="0">
          <references count="1">
            <reference field="4294967294" count="1" selected="0">
              <x v="5"/>
            </reference>
          </references>
        </pivotArea>
      </pivotAreas>
    </conditionalFormat>
    <conditionalFormat scope="data" priority="6">
      <pivotAreas count="1">
        <pivotArea outline="0" fieldPosition="0">
          <references count="1">
            <reference field="4294967294" count="1" selected="0">
              <x v="4"/>
            </reference>
          </references>
        </pivotArea>
      </pivotAreas>
    </conditionalFormat>
    <conditionalFormat scope="data" priority="7">
      <pivotAreas count="1">
        <pivotArea outline="0" fieldPosition="0">
          <references count="1">
            <reference field="4294967294" count="1" selected="0">
              <x v="3"/>
            </reference>
          </references>
        </pivotArea>
      </pivotAreas>
    </conditionalFormat>
    <conditionalFormat scope="data" priority="8">
      <pivotAreas count="1">
        <pivotArea outline="0" fieldPosition="0">
          <references count="1">
            <reference field="4294967294" count="1" selected="0">
              <x v="2"/>
            </reference>
          </references>
        </pivotArea>
      </pivotAreas>
    </conditionalFormat>
    <conditionalFormat scope="data" priority="9">
      <pivotAreas count="1">
        <pivotArea outline="0"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HL___Available_Check" xr10:uid="{5FAE1A15-D6EF-4FD1-A974-3EC47629D9C7}" sourceName="AHL - Available Check">
  <pivotTables>
    <pivotTable tabId="10" name="PivotTable2"/>
  </pivotTables>
  <data>
    <tabular pivotCacheId="1052405059" sortOrder="descending">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chill___Eligibility_TF" xr10:uid="{A920C0E8-80DA-4A7E-B333-DF954F787B6A}" sourceName="Churchill - Eligibility_TF">
  <pivotTables>
    <pivotTable tabId="10" name="PivotTable2"/>
  </pivotTables>
  <data>
    <tabular pivotCacheId="1052405059" sortOrder="descending">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uctive____Eligible_TF" xr10:uid="{531735FF-763E-4BFC-ADA9-D90F80BABF21}" sourceName="Constructive -  Eligible_TF">
  <pivotTables>
    <pivotTable tabId="10" name="PivotTable2"/>
  </pivotTables>
  <data>
    <tabular pivotCacheId="1052405059"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HL - Available Check" xr10:uid="{DF4FA36F-13EC-44D7-9983-B227FD48D3D0}" cache="Slicer_AHL___Available_Check" caption="AHL" style="Slicer Style 1" rowHeight="257175"/>
  <slicer name="Churchill - Eligibility_TF" xr10:uid="{7AAB632B-0620-475C-923C-7EBC47F5BB02}" cache="Slicer_Churchill___Eligibility_TF" caption="Churchill" style="Slicer Style 1" rowHeight="257175"/>
  <slicer name="Constructive -  Eligible_TF" xr10:uid="{4A2BF927-8604-45F1-ABE4-03DFA5E88BE9}" cache="Slicer_Constructive____Eligible_TF" caption="Constructive"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66771B-59F9-4EE7-BDEF-6CBE248B5971}" name="Table1" displayName="Table1" ref="A1:E51" totalsRowShown="0" headerRowDxfId="391">
  <autoFilter ref="A1:E51" xr:uid="{6C66771B-59F9-4EE7-BDEF-6CBE248B5971}"/>
  <tableColumns count="5">
    <tableColumn id="1" xr3:uid="{03DF3CBA-285D-4E0C-8904-B9A5B443B958}" name="StateFULL"/>
    <tableColumn id="2" xr3:uid="{67F1E8B5-544E-4A7A-9A86-D658A649872C}" name="StateAbreviation"/>
    <tableColumn id="3" xr3:uid="{0FE3E154-5934-4733-88DD-0820C49C76EC}" name="NJD/JD"/>
    <tableColumn id="4" xr3:uid="{357D6263-25D0-47CA-AB56-A1CDA8183EFC}" name="AHL_AvailableStates"/>
    <tableColumn id="5" xr3:uid="{DDB5C48D-5E8C-48F4-84CC-97524EF4A6E8}" name="AHL_LicenseRequiredBusinessPurposeStat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D14E84-1E09-4C0A-8A39-1D0264271E17}" name="Table59" displayName="Table59" ref="A4:EF5" totalsRowShown="0">
  <autoFilter ref="A4:EF5" xr:uid="{45248BB2-A560-4DE1-82BC-F3551C4CF83F}"/>
  <tableColumns count="136">
    <tableColumn id="1" xr3:uid="{C5D0C02D-D590-4426-8C88-AB7234365EED}" name="Record ID" dataDxfId="390"/>
    <tableColumn id="21" xr3:uid="{CE519975-2ED3-4262-A349-1A3A5B8CF538}" name="Property Address"/>
    <tableColumn id="22" xr3:uid="{EC017485-01CF-4396-9870-9B7EB945333D}" name="Property City"/>
    <tableColumn id="23" xr3:uid="{F68FDE5F-927C-4F32-BF89-E86DB70DF82F}" name="Property State"/>
    <tableColumn id="24" xr3:uid="{34EC8AD9-8BC3-4E46-A7FE-7429270B2A81}" name="Property Zip"/>
    <tableColumn id="48" xr3:uid="{FB56983F-668A-41C0-B78F-15071D394013}" name="County"/>
    <tableColumn id="28" xr3:uid="{69789AFA-71E4-4C7A-BEE8-DF7249AA61A3}" name="Acquisition Date" dataDxfId="389"/>
    <tableColumn id="2" xr3:uid="{C80E7479-7B5D-46B3-8F75-FACAE2C6975D}" name="First Name"/>
    <tableColumn id="3" xr3:uid="{6172E31E-49FD-4CA9-A45E-F2FB87B13F6D}" name="Last Name"/>
    <tableColumn id="29" xr3:uid="{AA20857E-59B5-4A9B-8F41-1165FB03DDF7}" name="Borrowing Entity"/>
    <tableColumn id="4" xr3:uid="{3B31BB78-D42F-490E-8897-E305A05D2746}" name="Email"/>
    <tableColumn id="5" xr3:uid="{B03D5F85-1783-415E-82EC-8DA51A17E6E5}" name="Phone Number"/>
    <tableColumn id="6" xr3:uid="{2E9051AB-6A9B-4F53-90F3-FB9B7C2500A4}" name="Current Address"/>
    <tableColumn id="7" xr3:uid="{EE42E37D-F36A-48E1-ACB9-4DFCE3D323F1}" name="Current City"/>
    <tableColumn id="8" xr3:uid="{62B7F5A9-DDA1-424C-A6A3-E25C2C4CB9DE}" name="Current State"/>
    <tableColumn id="9" xr3:uid="{EB344A66-E5CB-4838-9A59-A5B29579F19B}" name="Current Zip Code"/>
    <tableColumn id="10" xr3:uid="{5F81ACAD-340C-419D-81A1-5D87ECF318E4}" name="Us Citizen?"/>
    <tableColumn id="11" xr3:uid="{2B2151CE-3590-4628-924F-8A5DE8C1962C}" name="Fico"/>
    <tableColumn id="12" xr3:uid="{070D2E19-51A7-4152-AD7E-08996A37B7AA}" name="Primary Residence"/>
    <tableColumn id="13" xr3:uid="{FCDBCA59-DE0F-4983-9AFA-13C361750AEE}" name="Borrower Experience - Number of Projects"/>
    <tableColumn id="14" xr3:uid="{BA2AEB25-B34F-4039-B6FF-477D339834F3}" name="Number Of Rental Properties You Own"/>
    <tableColumn id="15" xr3:uid="{906F4A99-48F5-4733-9FC3-7ADA676E113A}" name="Cash Reserves" dataDxfId="388"/>
    <tableColumn id="16" xr3:uid="{766BF682-B252-4CD5-83F9-520E1D07FFCB}" name="Retirement Accounts" dataDxfId="387"/>
    <tableColumn id="17" xr3:uid="{2A476DAE-77B3-43B6-AA91-5B089BED5ED5}" name="Broker First Name"/>
    <tableColumn id="18" xr3:uid="{0FF03855-CABD-45E6-B6AA-7A498E32D1AB}" name="Broker Last Name"/>
    <tableColumn id="19" xr3:uid="{6EABF7A5-7669-4A98-86B1-2845E1106739}" name="Broker Email Address" dataDxfId="386"/>
    <tableColumn id="20" xr3:uid="{31A5F9E9-5E0A-426A-954F-460E586056FE}" name="Broker Phone Number" dataDxfId="385"/>
    <tableColumn id="52" xr3:uid="{3577E3A9-5FEF-45EF-BC13-C8CAA8F0E6A0}" name="Product Type"/>
    <tableColumn id="51" xr3:uid="{3830D950-DD2E-4247-80D9-D038A77912F7}" name="SM Loan Type"/>
    <tableColumn id="25" xr3:uid="{CA890864-E3EA-4C27-995D-BE7C6613B823}" name="SM Property Type"/>
    <tableColumn id="26" xr3:uid="{1339B0D3-2CCE-43FF-B525-3CE248FD7D10}" name="Number of Units"/>
    <tableColumn id="27" xr3:uid="{428B69AE-9A72-4CD7-B764-84637357F2EC}" name="Target Close Date" dataDxfId="384"/>
    <tableColumn id="30" xr3:uid="{7F642866-DA32-41AF-9420-3F8E66D5B6C9}" name="Exit Strategy"/>
    <tableColumn id="31" xr3:uid="{4F717290-DA17-4826-A918-BC8F7E7CA4F1}" name="Existing Loan Amount" dataDxfId="383"/>
    <tableColumn id="32" xr3:uid="{755B1D8D-6DA6-48B8-9FF0-C443DE440804}" name="Requested Loan Amount" dataDxfId="382"/>
    <tableColumn id="33" xr3:uid="{2547A938-4B4E-4D43-BA57-3DC472FF651D}" name="Purchase Price" dataDxfId="381"/>
    <tableColumn id="49" xr3:uid="{F6A1B150-CEEC-4269-A582-229851FC0F88}" name="Cost of Improvement To Date" dataDxfId="380"/>
    <tableColumn id="34" xr3:uid="{6369C667-51B8-4220-835B-F14D94493661}" name="Improvement Budget" dataDxfId="379"/>
    <tableColumn id="35" xr3:uid="{C4CD246F-E149-4A51-96B2-F19ED2EE487C}" name="AIV" dataDxfId="378"/>
    <tableColumn id="36" xr3:uid="{3E3561A6-88D8-4168-8769-17DBCD7450AC}" name="ARV" dataDxfId="377"/>
    <tableColumn id="37" xr3:uid="{47BBB3FF-D105-4A7B-97E5-55666BCF5E6E}" name="Pre-Rehab Sq. Ft."/>
    <tableColumn id="38" xr3:uid="{68EB5D12-9151-4EC5-9B70-95094C2D0667}" name="Post-Rehab Sq. Ft."/>
    <tableColumn id="39" xr3:uid="{9ACF586F-14E2-459E-81A9-9BADBFD5DE79}" name="Property Pictures"/>
    <tableColumn id="40" xr3:uid="{94E2F711-7CC3-45D3-B330-47E6591915D2}" name="Construction Budget Document"/>
    <tableColumn id="41" xr3:uid="{F2987446-55F0-4AB1-9888-6CDD363CEB21}" name="Purchase Contract Upload"/>
    <tableColumn id="53" xr3:uid="{30346EAA-3F66-46A5-96B2-7F5136417D3C}" name="Object Create Date/Time" dataDxfId="376"/>
    <tableColumn id="43" xr3:uid="{2EA23F48-85EA-4DB4-A352-5D8F0BE6D6F8}" name="Heyflow Form"/>
    <tableColumn id="70" xr3:uid="{7E8F5788-E251-4471-9DEC-754993E04B4A}" name="Transferred From"/>
    <tableColumn id="131" xr3:uid="{26D3DD90-7C99-4F05-A036-3B6687F35FEB}" name="Contact Name" dataDxfId="375">
      <calculatedColumnFormula>IF(Table59[[#This Row],[Broker First Name]]="",_xlfn.CONCAT(Table59[[#This Row],[First Name]]," ",Table59[[#This Row],[Last Name]]),_xlfn.CONCAT(Table59[[#This Row],[Broker First Name]]," ",Table59[[#This Row],[Broker Last Name]]))</calculatedColumnFormula>
    </tableColumn>
    <tableColumn id="82" xr3:uid="{A79F4B27-B8F9-49E7-872C-B8E4F684684B}" name="Contact Email" dataDxfId="374">
      <calculatedColumnFormula>IF(Table59[[#This Row],[Broker First Name]]="",Table59[[#This Row],[Email]],Table59[[#This Row],[Broker Email Address]])</calculatedColumnFormula>
    </tableColumn>
    <tableColumn id="56" xr3:uid="{2F4B143E-3E2B-4687-9158-D6404A2F1E03}" name="Calculated AIV" dataDxfId="373">
      <calculatedColumnFormula>IF(Table59[[#This Row],[SM Loan Type]]="Purchase",MIN(Table59[[#This Row],[Purchase Price]],Table59[[#This Row],[AIV]]),IF(DATEDIF(Table59[[#This Row],[Acquisition Date]],Table59[[#This Row],[Object Create Date/Time]],"d")/30 &lt;= 6,MIN(Table59[[#This Row],[Purchase Price]],Table59[[#This Row],[AIV]]),Table59[[#This Row],[AIV]]))</calculatedColumnFormula>
    </tableColumn>
    <tableColumn id="44" xr3:uid="{274A42E5-6C07-4523-B6DC-54C5034C5A6B}" name="AHL - California Check Max Loan Amount" dataDxfId="372">
      <calculatedColumnFormula>IF(Table59[[#This Row],[Current State]]="CA",3000000,2000000)</calculatedColumnFormula>
    </tableColumn>
    <tableColumn id="45" xr3:uid="{F53F9158-80D6-4680-BF8F-33D4A0F60450}" name="AHL - MAX Renovation Budget" dataDxfId="371">
      <calculatedColumnFormula>IF(Table59[[#This Row],[Borrower Experience - Number of Projects]]=0,75000,2000000)</calculatedColumnFormula>
    </tableColumn>
    <tableColumn id="46" xr3:uid="{D3C30065-F148-4E89-A1E1-5D73C0558ABD}" name="AHL - MIN Loan Amount Check" dataDxfId="370">
      <calculatedColumnFormula>IFERROR(IF(Table59[[#This Row],[AHL - MAX Loan Amount]]&lt;75000,"FALSE","TRUE"),"FALSE")</calculatedColumnFormula>
    </tableColumn>
    <tableColumn id="50" xr3:uid="{171B3F0A-89DD-4C20-AEB7-98C362C52268}" name="AHL - Eligible borrowers" dataDxfId="369">
      <calculatedColumnFormula>_xlfn.LET(
_xlpm.CTZ,Table59[[#This Row],[Us Citizen?]],
IF(_xlpm.CTZ="U.S. Citizen","TRUE",
IF(_xlpm.CTZ="U.S. Permanent Resident","TRUE",
IF(_xlpm.CTZ="Non-permanent Resident","TRUE",
IF(_xlpm.CTZ="Foreign National","FALSE","REVIEW")))))</calculatedColumnFormula>
    </tableColumn>
    <tableColumn id="60" xr3:uid="{C5B30DEB-A0EC-46B1-AA69-1498F58E57ED}" name="AHL - Reserves" dataDxfId="368">
      <calculatedColumnFormula>IFERROR(IF(Table59[[#This Row],[Cash Reserves]]&gt;=((((Table59[[#This Row],[AHL - MAX Loan Amount]])*Table59[[#This Row],[AHL - Rate]])/12)*6),"TRUE","FALSE"),"FALSE")</calculatedColumnFormula>
    </tableColumn>
    <tableColumn id="61" xr3:uid="{37D7AC8E-6561-46E3-B905-F55440966A00}" name="AHL - Property Type Check" dataDxfId="367">
      <calculatedColumnFormula>IF(
  ISNUMBER(MATCH(TRIM(Table59[[#This Row],[SM Property Type]]),{"Single Family","Duplex","Triplex","Fourplex","Warrantable Condo","Townhome","Planned Unit Development","Mobile Home","2 - 4 Unit"},0)),
  "TRUE","FALSE"
)</calculatedColumnFormula>
    </tableColumn>
    <tableColumn id="62" xr3:uid="{E25855B2-627C-4CD7-86ED-0440EDCB6B82}" name="AHL - Minimum sqft" dataDxfId="366">
      <calculatedColumnFormula>IF(Table59[[#This Row],[Pre-Rehab Sq. Ft.]]&gt;=(_xlfn.XLOOKUP(Table59[[#This Row],[SM Property Type]],'Data Validation'!$I$3:$I$12,'Data Validation'!$J$3:$J$12,0,0,1)),"TRUE","FALSE")</calculatedColumnFormula>
    </tableColumn>
    <tableColumn id="81" xr3:uid="{D180B0F3-5FAE-4C99-A1C9-97CFF95DD2E2}" name="AHL - Minimum FICO" dataDxfId="365">
      <calculatedColumnFormula>IF(Table59[[#This Row],[Fico]]&lt;620,"FAlSE","TRUE")</calculatedColumnFormula>
    </tableColumn>
    <tableColumn id="66" xr3:uid="{3842E170-C9B8-4631-9630-EA018E5AE28F}" name="AHL - State Availablility" dataDxfId="364">
      <calculatedColumnFormula>_xlfn.LET(
_xlpm.ST,Table59[[#This Row],[Property State]],
IF(_xlpm.ST="ND","FALSE",IF(_xlpm.ST="SD","FALSE","TRUE")))</calculatedColumnFormula>
    </tableColumn>
    <tableColumn id="67" xr3:uid="{9DC368C8-4351-4E30-851A-54D4F0568950}" name="AHL - License Required Business Purpose States" dataDxfId="363">
      <calculatedColumnFormula>INDEX(Table1[],MATCH(Table59[[#This Row],[Property State]],Table1[StateFULL],0),MATCH("AHL_LicenseRequiredBusinessPurposeStates",Table1[#Headers],0))</calculatedColumnFormula>
    </tableColumn>
    <tableColumn id="47" xr3:uid="{8594FA30-B870-42DA-A3FB-BAC1740EE0A9}" name="AHL - Available Check" dataDxfId="362">
      <calculatedColumnFormula>IF(OR(Table59[[#This Row],[AHL - State Availablility]]="FALSE",Table59[[#This Row],[AHL - Minimum sqft]]="FALSE",Table59[[#This Row],[AHL - Property Type Check]]="FALSE",Table59[[#This Row],[AHL - Eligible borrowers]]="FALSE",Table59[[#This Row],[AHL - Reserves]]="FALSE",Table59[[#This Row],[AHL - Minimum FICO]]="FALSE"),"FALSE","TRUE")</calculatedColumnFormula>
    </tableColumn>
    <tableColumn id="68" xr3:uid="{9511E208-39D0-4B68-AAB6-A4A4CA16A247}" name="AHL - NJD/JD" dataDxfId="361">
      <calculatedColumnFormula>INDEX(Table1[],MATCH(Table59[[#This Row],[Property State]],Table1[StateFULL],0),MATCH("NJD/JD",Table1[#Headers],0))</calculatedColumnFormula>
    </tableColumn>
    <tableColumn id="72" xr3:uid="{074B8921-50AC-4EB5-91B2-37160344B1D8}" name="AHL - Franchise Type" dataDxfId="360">
      <calculatedColumnFormula>"No Franchise"</calculatedColumnFormula>
    </tableColumn>
    <tableColumn id="73" xr3:uid="{54E2EE2C-D5E1-45D2-B409-A3F40A39E7F3}" name="AHL - Funding Type" dataDxfId="359">
      <calculatedColumnFormula>"Lender Funded"</calculatedColumnFormula>
    </tableColumn>
    <tableColumn id="74" xr3:uid="{052C9C8B-CCB2-4A2E-BABB-721255F87577}" name="AHL - Experience Category" dataDxfId="358">
      <calculatedColumnFormula array="1">_xlfn.LET(
  _xlpm.xp, N(Table59[[#This Row],[Borrower Experience - Number of Projects]]),
  _xlfn.SWITCH(TRUE,
    _xlpm.xp&gt;=10, "&gt;= 10 Projects",
    _xlpm.xp&gt;=6,  "6-9 Projects",
    _xlpm.xp&gt;=3,  "3-5 Projects",
    _xlpm.xp=2,   "2 Projects",
    _xlpm.xp=1,   "1 Project",
           "0 Projects"
  )
)</calculatedColumnFormula>
    </tableColumn>
    <tableColumn id="75" xr3:uid="{576C91F3-8D60-40E6-A4FE-67850C77A3B3}" name="AHL - FICO Category" dataDxfId="357">
      <calculatedColumnFormula>_xlfn.LET(
  _xlpm.fico, N(Table59[[#This Row],[Fico]]),
  _xlpm.xp,   N(Table59[[#This Row],[Borrower Experience - Number of Projects]]),
IF(_xlpm.xp=0,IF(_xlpm.fico&gt;=700,"700+",IF(_xlpm.fico&gt;=660,"660-699",IF(_xlpm.fico&gt;=640,"640-659",IF(_xlpm.fico&gt;=620,"620-639","ERROR")))),IF(_xlpm.fico&gt;=660,"660+",
IF(_xlpm.fico&gt;=640,"640-659",IF(_xlpm.fico&gt;=620,"620-639","ERROR"
       )
    )
  )
))</calculatedColumnFormula>
    </tableColumn>
    <tableColumn id="76" xr3:uid="{F6743BF3-1FFA-422A-9B61-C076044E21C0}" name="AHL - LTC Estimate" dataDxfId="356">
      <calculatedColumnFormula>(Table59[[#This Row],[AHL - ARLTV]]*Table59[[#This Row],[ARV]])/(Table59[[#This Row],[Purchase Price]]+Table59[[#This Row],[Improvement Budget]])</calculatedColumnFormula>
    </tableColumn>
    <tableColumn id="77" xr3:uid="{4552AB90-4C5A-4AFE-A268-81054B3D3ABB}" name="AHL - LTC Category" dataDxfId="355">
      <calculatedColumnFormula array="1">_xlfn.LET(
  _xlpm.xp,   N(Table59[[#This Row],[Borrower Experience - Number of Projects]]),
  _xlpm.ltc,  N(Table59[[#This Row],[AHL - LTC Estimate]]),
  _xlpm.fico, N(Table59[[#This Row],[Fico]]),
       _xlfn.SWITCH(TRUE,
       _xlpm.xp&gt;=6, IF(_xlpm.ltc&gt;0.9,"93%", IF(_xlpm.ltc&gt;0.85,"90%","85%")),
       _xlpm.xp&gt;=3, IF(_xlpm.ltc&gt;0.85,"90%","85%"),
       _xlpm.xp&gt;=1, IF(_xlpm.ltc&gt;0.8,"85%","80%"),
       TRUE,  IF(_xlpm.fico&gt;=700,"85%", IF(_xlpm.fico&gt;=660,"80%","EXPERIENCE AND FICO TOO LOW"))
     )
  )</calculatedColumnFormula>
    </tableColumn>
    <tableColumn id="78" xr3:uid="{144CFD3B-7BCA-4587-8EAE-23448C0EC7F1}" name="AHL - Match Key" dataDxfId="354">
      <calculatedColumnFormula>_xlfn.CONCAT(Table59[[#This Row],[AHL - Franchise Type]],"| ",Table59[[#This Row],[AHL - Funding Type]],"| ",Table59[[#This Row],[AHL - Experience Category]],"| ",Table59[[#This Row],[AHL - FICO Category]],"| ",Table59[[#This Row],[AHL - LTC Category]])</calculatedColumnFormula>
    </tableColumn>
    <tableColumn id="79" xr3:uid="{5B43ABBE-72D1-4BDB-9595-3907E1535E18}" name="AHL - LTC" dataDxfId="353">
      <calculatedColumnFormula>INDEX(Table26[],MATCH(Table59[[#This Row],[AHL - Match Key]],Table26[Match Key],0),MATCH("LTC",Table26[#Headers],0))</calculatedColumnFormula>
    </tableColumn>
    <tableColumn id="83" xr3:uid="{192CCFE8-6061-477E-878C-034EAC1487CC}" name="AHL - ARLTV" dataDxfId="352">
      <calculatedColumnFormula>_xlfn.LET(
  _xlpm.xp,    N(Table59[[#This Row],[Borrower Experience - Number of Projects]]),
  _xlpm.fico,  N(Table59[[#This Row],[Fico]]),
  _xlpm.st,    _xlfn.XLOOKUP(Table59[[#This Row],[Property State]], State!$B:$B, State!$C:$C, "", 0),
  _xlpm.isNJD, _xlpm.st="NJD",
        IF(_xlpm.isNJD,
        IF(_xlpm.xp&gt;=3,0.75, IF(_xlpm.xp&gt;=1,0.7, IF(_xlpm.fico&gt;=700,0.85,0.8))),
        IF(_xlpm.xp&gt;=1,0.7,0.65)
     )
  )</calculatedColumnFormula>
    </tableColumn>
    <tableColumn id="71" xr3:uid="{13A2F030-36FA-4D84-A166-A991909C428D}" name="AHL - ARLTV Pivot Display" dataDxfId="351">
      <calculatedColumnFormula>IF(Table59[[#This Row],[AHL - Available Check]]="FALSE","",Table59[[#This Row],[AHL - ARLTV]])</calculatedColumnFormula>
    </tableColumn>
    <tableColumn id="84" xr3:uid="{DC28B9F0-5DE7-42EA-8421-F3339A4E821D}" name="AHL - Rate" dataDxfId="350">
      <calculatedColumnFormula>INDEX(Table26[],MATCH(Table59[[#This Row],[AHL - Match Key]],Table26[Match Key],0),MATCH("Rate",Table26[#Headers],0))</calculatedColumnFormula>
    </tableColumn>
    <tableColumn id="85" xr3:uid="{CBFD1E8E-02A7-4C9C-B458-AA73BD2867EA}" name="AHL - Points" dataDxfId="349">
      <calculatedColumnFormula>INDEX(Table26[],MATCH(Table59[[#This Row],[AHL - Match Key]],Table26[Match Key],0),MATCH("Points",Table26[#Headers],0))</calculatedColumnFormula>
    </tableColumn>
    <tableColumn id="86" xr3:uid="{D6812A24-1831-44BD-A605-DC7CDFA6E596}" name="AHL - Exit Fee" dataDxfId="348">
      <calculatedColumnFormula>INDEX(Table26[],MATCH(Table59[[#This Row],[AHL - Match Key]],Table26[Match Key],0),MATCH("Exit Fee",Table26[#Headers],0))</calculatedColumnFormula>
    </tableColumn>
    <tableColumn id="87" xr3:uid="{A789915B-167C-4D12-A802-03D914D30672}" name="AHL - Exit Fee Only" dataDxfId="347">
      <calculatedColumnFormula>INDEX(Table26[],MATCH(Table59[[#This Row],[AHL - Match Key]],Table26[Match Key],0),MATCH("Exit Fee Only",Table26[#Headers],0))</calculatedColumnFormula>
    </tableColumn>
    <tableColumn id="88" xr3:uid="{5CC70DF2-2ED5-41ED-AFE4-BD997E8C8523}" name="AHL - 0 Point Rate" dataDxfId="346">
      <calculatedColumnFormula>INDEX(Table26[],MATCH(Table59[[#This Row],[AHL - Match Key]],Table26[Match Key],0),MATCH("0 Point Rate",Table26[#Headers],0))</calculatedColumnFormula>
    </tableColumn>
    <tableColumn id="55" xr3:uid="{1A4458A9-9995-4956-A45C-2507EDB30803}" name="AHL - Financed Budget" dataDxfId="345">
      <calculatedColumnFormula>_xlfn.LET(
_xlpm.isAvail,Table59[[#This Row],[AHL - Available Check]],
_xlpm.RB,Table59[[#This Row],[Improvement Budget]],
_xlpm.MaxRB,Table59[[#This Row],[AHL - MAX Renovation Budget]],
IF(_xlpm.isAvail="FALSE","N/A",IF(Table59[[#This Row],[AHL - ARLTV Pivot Display]]="","",IF(_xlpm.RB&gt;_xlpm.MaxRB,_xlpm.MaxRB,_xlpm.RB))))</calculatedColumnFormula>
    </tableColumn>
    <tableColumn id="90" xr3:uid="{818FA7A8-80E7-429E-833E-93D9B884068B}" name="AHL - Loan Amount (ARLTV calc)" dataDxfId="344">
      <calculatedColumnFormula>_xlfn.LET(
_xlpm.ARLTV, N(Table59[[#This Row],[AHL - ARLTV]]),
_xlpm.ARV, N(Table59[[#This Row],[ARV]]),
_xlpm.CaLA, N(Table59[[#This Row],[AHL - California Check Max Loan Amount]]),
IF((_xlpm.ARLTV*_xlpm.ARV)&gt;_xlpm.CaLA,_xlpm.CaLA,(_xlpm.ARLTV*_xlpm.ARV)))</calculatedColumnFormula>
    </tableColumn>
    <tableColumn id="91" xr3:uid="{232D9933-CC87-4150-95A4-26F5B49A3B5C}" name="AHL - Loan Amount Decider" dataDxfId="343">
      <calculatedColumnFormula>_xlfn.LET(
_xlpm.ARLTV, N(Table59[[#This Row],[AHL - Loan Amount (ARLTV calc)]]),
_xlpm.ARLTV)</calculatedColumnFormula>
    </tableColumn>
    <tableColumn id="92" xr3:uid="{37AC04F4-D97C-4203-A3A5-91764EFCEE26}" name="AHL - MAX Loan Amount" dataDxfId="342">
      <calculatedColumnFormula>_xlfn.LET(
_xlpm.LAD,Table59[[#This Row],[AHL - Loan Amount Decider]],
IF(IF(AND(Table59[[#This Row],[Borrower Experience - Number of Projects]]=0,_xlpm.LAD&gt;500000),500000,_xlpm.LAD)&lt;75000,"",IF(AND(Table59[[#This Row],[Borrower Experience - Number of Projects]]=0,_xlpm.LAD&gt;500000),500000,_xlpm.LAD)))</calculatedColumnFormula>
    </tableColumn>
    <tableColumn id="89" xr3:uid="{C1B7B710-ACB5-43A8-ABAB-6CDC09A9C368}" name="Exception Check 1" dataDxfId="341">
      <calculatedColumnFormula>IF(Table59[[#This Row],[Fico]]&gt;=660,"",IF(AND(Table59[[#This Row],[Fico]]&gt;=640,Table59[[#This Row],[Borrower Experience - Number of Projects]]&gt;=2),TRUE,IF(AND(Table59[[#This Row],[Fico]]&gt;=620,Table59[[#This Row],[Borrower Experience - Number of Projects]]&gt;=3),TRUE,FALSE)))</calculatedColumnFormula>
    </tableColumn>
    <tableColumn id="94" xr3:uid="{8B6C1998-940C-4239-93F9-5A16E91416BC}" name="Exception Reserve Check" dataDxfId="340">
      <calculatedColumnFormula>_xlfn.LET(
_xlpm.CS,Table59[[#This Row],[Fico]],
_xlpm.ARLTV,Table59[[#This Row],[AHL - Loan Amount (ARLTV calc)]],
_xlpm.BE,Table59[[#This Row],[Borrower Experience - Number of Projects]],
_xlpm.IR,Table59[[#This Row],[AHL - Rate]],
_xlpm.CR,Table59[[#This Row],[Cash Reserves]],
IF(Table59[[#This Row],[Exception Check 1]]="","",
IF(Table59[[#This Row],[Exception Check 1]]=TRUE,
IF(_xlpm.CS&gt;=640,IF(_xlpm.BE&gt;=2,IF(_xlpm.CR&gt;=((((_xlpm.ARLTV)*_xlpm.IR)/12)*9),0,-0.05),"FALSE"),
IF(_xlpm.CS&gt;=620,IF(IF(_xlpm.BE&gt;=3,1,0)+IF(_xlpm.CR&gt;=((((_xlpm.ARLTV)*_xlpm.IR)/12)*6),1,0)=2,-0.1,"FALSE"),"FALSE")),"FALSE")))</calculatedColumnFormula>
    </tableColumn>
    <tableColumn id="109" xr3:uid="{0A9DCED6-4F8E-4BEE-8250-97E266D4BA7C}" name="Exception LTC %" dataDxfId="339" dataCellStyle="Percent">
      <calculatedColumnFormula>IF(Table59[[#This Row],[Exception Reserve Check]]="","",IF(Table59[[#This Row],[Exception Reserve Check]]="FALSE","FALSE",Table59[[#This Row],[AHL - LTC]]+Table59[[#This Row],[Exception Reserve Check]]))</calculatedColumnFormula>
    </tableColumn>
    <tableColumn id="110" xr3:uid="{C9088815-C1A7-47E1-801C-4E7FE9700507}" name="Exception LTC Amount" dataDxfId="338">
      <calculatedColumnFormula>IF(Table59[[#This Row],[Exception LTC %]]="","",IF(Table59[[#This Row],[Exception LTC %]]="FALSE","FALSE",(Table59[[#This Row],[Exception LTC %]]*(Table59[[#This Row],[Purchase Price]]+Table59[[#This Row],[Improvement Budget]]))))</calculatedColumnFormula>
    </tableColumn>
    <tableColumn id="111" xr3:uid="{80958BA0-CF45-4C62-BA94-7787F4BAC4AD}" name="AHL - LA w/ Exception" dataDxfId="337">
      <calculatedColumnFormula>IF(Table59[[#This Row],[Exception LTC Amount]]="",Table59[[#This Row],[AHL - MAX Loan Amount]],IF(Table59[[#This Row],[Exception LTC Amount]]="FALSE","ERROR",Table59[[#This Row],[Exception LTC Amount]]))</calculatedColumnFormula>
    </tableColumn>
    <tableColumn id="141" xr3:uid="{702D845F-4F29-48ED-9BF0-AB06194593E3}" name="AHL - Max LTC" dataDxfId="336">
      <calculatedColumnFormula>VALUE(IF(Table59[[#This Row],[Exception Reserve Check]]=-0.1,Table59[[#This Row],[Exception LTC %]],IF(Table59[[#This Row],[Exception Reserve Check]]=-0.05,Table59[[#This Row],[Exception LTC %]],Table59[[#This Row],[AHL - LTC Category]])))</calculatedColumnFormula>
    </tableColumn>
    <tableColumn id="136" xr3:uid="{440A22D7-D580-4097-AEA4-FF711A5EBD25}" name="AHL - RE LTC Category" dataDxfId="335">
      <calculatedColumnFormula array="1">_xlfn.LET(
  _xlpm.xp,   N(Table59[[#This Row],[Borrower Experience - Number of Projects]]),
  _xlpm.ltc,  N(Table59[[#This Row],[AHL - LA w/ Exception]]/(Table59[[#This Row],[Purchase Price]]+Table59[[#This Row],[Improvement Budget]])),
  _xlpm.fico, N(Table59[[#This Row],[Fico]]),
IF(Table59[[#This Row],[Exception LTC Amount]]="FALSE","ERROR",
       _xlfn.SWITCH(TRUE,
       _xlpm.xp&gt;=6, IF(_xlpm.ltc&gt;0.9,"93%", IF(_xlpm.ltc&gt;0.85,"90%","85%")),
       _xlpm.xp&gt;=3, IF(_xlpm.ltc&gt;0.85,"90%","85%"),
       _xlpm.xp&gt;=1, IF(_xlpm.ltc&gt;0.8,"85%","80%"),
       TRUE,  IF(_xlpm.fico&gt;=700,"85%", IF(_xlpm.fico&gt;=660,"80%","EXPERIENCE AND FICO TOO LOW"))
     )
  ))</calculatedColumnFormula>
    </tableColumn>
    <tableColumn id="128" xr3:uid="{ED0CA315-E566-4C55-8932-54CACDBEBB19}" name="Re Match Key" dataDxfId="334">
      <calculatedColumnFormula>_xlfn.CONCAT(Table59[[#This Row],[AHL - Franchise Type]],"| ",Table59[[#This Row],[AHL - Funding Type]],"| ",Table59[[#This Row],[AHL - Experience Category]],"| ",Table59[[#This Row],[AHL - FICO Category]],"| ",Table59[[#This Row],[AHL - RE LTC Category]])</calculatedColumnFormula>
    </tableColumn>
    <tableColumn id="142" xr3:uid="{E9AFBA63-61B5-45FC-AFF2-36B9D23B8FF3}" name="Column1" dataDxfId="333"/>
    <tableColumn id="137" xr3:uid="{3B4E9B5F-326C-4866-B300-7BC73D12BCE7}" name="AHL - Rate2" dataDxfId="332">
      <calculatedColumnFormula>INDEX(Table26[],MATCH(Table59[[#This Row],[Re Match Key]],Table26[Match Key],0),MATCH("RATE",Table26[#Headers],0))</calculatedColumnFormula>
    </tableColumn>
    <tableColumn id="138" xr3:uid="{9CD03AE6-7E51-4734-A284-64A621FE4136}" name="AHL - Points3" dataDxfId="331">
      <calculatedColumnFormula>INDEX(Table26[],MATCH(Table59[[#This Row],[Re Match Key]],Table26[Match Key],0),MATCH("Points",Table26[#Headers],0))</calculatedColumnFormula>
    </tableColumn>
    <tableColumn id="139" xr3:uid="{BB0FAEA9-EB9F-49BE-9548-2DBC14C90339}" name="AHL - Exit Fee4" dataDxfId="330">
      <calculatedColumnFormula>INDEX(Table26[],MATCH(Table59[[#This Row],[Re Match Key]],Table26[Match Key],0),MATCH("Exit Fee",Table26[#Headers],0))</calculatedColumnFormula>
    </tableColumn>
    <tableColumn id="140" xr3:uid="{4B1365E8-F1D0-4B3B-9892-0D7C5A4A186A}" name="AHL - Exit Fee Only5" dataDxfId="329">
      <calculatedColumnFormula>INDEX(Table26[],MATCH(Table59[[#This Row],[Re Match Key]],Table26[Match Key],0),MATCH("Exit Fee Only",Table26[#Headers],0))</calculatedColumnFormula>
    </tableColumn>
    <tableColumn id="129" xr3:uid="{B213881C-355B-4D61-BF22-7C23F8E9C12D}" name="AHL - 0 Point Rate6" dataDxfId="328">
      <calculatedColumnFormula>INDEX(Table26[],MATCH(Table59[[#This Row],[Re Match Key]],Table26[Match Key],0),MATCH("0 Point Rate",Table26[#Headers],0))</calculatedColumnFormula>
    </tableColumn>
    <tableColumn id="132" xr3:uid="{F65790B5-0CBB-494B-854F-FFE09D2044B1}" name="AHL - Est. LTAIV" dataDxfId="327">
      <calculatedColumnFormula>(Table59[[#This Row],[AHL - LA w/ Exception]]-Table59[[#This Row],[Improvement Budget]])/Table59[[#This Row],[AIV]]</calculatedColumnFormula>
    </tableColumn>
    <tableColumn id="133" xr3:uid="{545D5960-F053-40C3-B81F-49E576BCAF4A}" name="AHL - Est. LTARV" dataDxfId="326">
      <calculatedColumnFormula>Table59[[#This Row],[AHL - LA w/ Exception]]/Table59[[#This Row],[ARV]]</calculatedColumnFormula>
    </tableColumn>
    <tableColumn id="134" xr3:uid="{77C69D7F-480E-406C-A9E0-5556FB5C4223}" name="AHL - Est. LTC" dataDxfId="325">
      <calculatedColumnFormula>Table59[[#This Row],[AHL - LA w/ Exception]]/(Table59[[#This Row],[Purchase Price]]+Table59[[#This Row],[Improvement Budget]])</calculatedColumnFormula>
    </tableColumn>
    <tableColumn id="93" xr3:uid="{BF91C4CF-5CC2-48B1-B59B-1C590631DD7A}" name="Churchill - Experience Level" dataDxfId="324">
      <calculatedColumnFormula>_xlfn.LET(
  _xlpm.xp, N(Table59[[#This Row],[Borrower Experience - Number of Projects]]),
  IF(_xlpm.xp&lt;=2,"No Experience (0-2) ($0m)",
     IF(_xlpm.xp&lt;=9,"Experienced (3-9) ($5m)",
        "Institutional (10+) ($10m)")
  )
)</calculatedColumnFormula>
    </tableColumn>
    <tableColumn id="95" xr3:uid="{98A205E6-380A-4E7D-8A85-56B0A6219E53}" name="Churchill - Project Type" dataDxfId="323">
      <calculatedColumnFormula>_xlfn.LET(_xlpm.pt,Table59[[#This Row],[Product Type]], _xlpm.hb,Table59[[#This Row],[Improvement Budget]], _xlpm.aiv,Table59[[#This Row],[Calculated AIV]],
IF(OR(_xlpm.pt="Bridge (No Rehab)", _xlpm.hb=0),"Bridge (No Rehab)",
IF(OR(_xlpm.pt="Fix and Flip (Rehab)", _xlpm.hb&gt;0),
   IF(_xlpm.hb&lt;_xlpm.aiv/2,"Fix and Flip (Light Rehab)","Fix and Flip (Heavy Rehab)"),
"")))</calculatedColumnFormula>
    </tableColumn>
    <tableColumn id="96" xr3:uid="{72101616-060D-48B0-8639-09E2AB3612D7}" name="Churchill - Credit Score" dataDxfId="322">
      <calculatedColumnFormula>_xlfn.LET(
  _xlpm.f, N(Table59[[#This Row],[Fico]]),
  IF(_xlpm.f&lt;660,"ERROR",
     IF(_xlpm.f&lt;680,"660 - 679",
        IF(_xlpm.f&lt;700,"680 - 699","&gt;=700")
     )
  )
)</calculatedColumnFormula>
    </tableColumn>
    <tableColumn id="97" xr3:uid="{57583BA2-EA88-4744-993B-6A3CDBC5E609}" name="Churchill - Number of Units2" dataDxfId="321">
      <calculatedColumnFormula>_xlfn.LET(
  _xlpm.u, N(Table59[[#This Row],[Number of Units]]),
  IF(_xlpm.u&lt;=4,"&lt;=4 Units",
     IF(_xlpm.u&lt;20,"5-19 Units","ERROR")
  )
)</calculatedColumnFormula>
    </tableColumn>
    <tableColumn id="98" xr3:uid="{E8619EA6-944B-4560-9000-67B0FE72C834}" name="Churchill - Match Key" dataDxfId="320">
      <calculatedColumnFormula>Table59[[#This Row],[Churchill - Experience Level]] &amp; "|" &amp; Table59[[#This Row],[Churchill - Project Type]] &amp; "|" &amp; Table59[[#This Row],[SM Loan Type]] &amp; "|" &amp; Table59[[#This Row],[Churchill - Credit Score]] &amp; "|" &amp; Table59[[#This Row],[Churchill - Number of Units2]]</calculatedColumnFormula>
    </tableColumn>
    <tableColumn id="99" xr3:uid="{69BDA909-E2AE-49B5-8A3F-7BA2EB951687}" name="Churchill - propertyType_check" dataDxfId="319">
      <calculatedColumnFormula>IF(OR(Table59[[#This Row],[SM Property Type]]="Mixed Use",Table59[[#This Row],[SM Property Type]]="Mobile Home"),"ERROR","")</calculatedColumnFormula>
    </tableColumn>
    <tableColumn id="100" xr3:uid="{5162474E-4B32-49F0-8EE3-0C5AF427D9E1}" name="Churchill - msa_check" dataDxfId="318">
      <calculatedColumnFormula>IF(COUNTIFS('Data Validation'!$P$3:$P$15,Table59[[#This Row],[Property State]],'Data Validation'!$Q$3:$Q$15,Table59[[#This Row],[County]])=0,"","ERROR")</calculatedColumnFormula>
    </tableColumn>
    <tableColumn id="101" xr3:uid="{921BF63B-C2C0-4D9D-96D2-BF1F065C15B0}" name="Churchill - Eligibility_TF" dataDxfId="317">
      <calculatedColumnFormula>_xlfn.LET(
  _xlpm.key,  Table59[[#This Row],[Churchill - Match Key]]&amp;"",
  _xlpm.prop, Table59[[#This Row],[Churchill - propertyType_check]],
  _xlpm.msa,  Table59[[#This Row],[Churchill - msa_check]],
  _xlpm.rate, Table59[[#This Row],[Churchill - Adj Rate]],
  AND(
    ISERROR(SEARCH("ERROR", _xlpm.key)),
    _xlpm.prop&lt;&gt;"ERROR",
    _xlpm.msa&lt;&gt;"ERROR",
    _xlpm.rate&lt;&gt;"N/A",
    _xlpm.rate&lt;&gt;"ERROR"
  )
)</calculatedColumnFormula>
    </tableColumn>
    <tableColumn id="102" xr3:uid="{7EF8CC90-9850-4036-92C9-4733DF62F200}" name="Churchill - Max LTAIV" dataDxfId="316">
      <calculatedColumnFormula>_xlfn.XLOOKUP(Table59[[#This Row],[Churchill - Match Key]],ChurchillMatrix[Match Key],ChurchillMatrix[Max LTAIV],"ERROR",0,1)</calculatedColumnFormula>
    </tableColumn>
    <tableColumn id="103" xr3:uid="{D9284B9D-3D31-4B46-8F88-7414F863F4C3}" name="Churchill - Max LTC" dataDxfId="315">
      <calculatedColumnFormula>_xlfn.XLOOKUP(Table59[[#This Row],[Churchill - Match Key]],ChurchillMatrix[Match Key],ChurchillMatrix[Max LTC],"ERROR",0,1)</calculatedColumnFormula>
    </tableColumn>
    <tableColumn id="104" xr3:uid="{F005DF65-8E23-4803-8EB3-2D3D14FF6297}" name="Churchill - Max LTARV" dataDxfId="314">
      <calculatedColumnFormula>_xlfn.XLOOKUP(Table59[[#This Row],[Churchill - Match Key]],ChurchillMatrix[Match Key],ChurchillMatrix[Max LTARV],"ERROR",0,1)</calculatedColumnFormula>
    </tableColumn>
    <tableColumn id="65" xr3:uid="{840D17CF-84BB-4D5F-B2C0-95DB63A5BB27}" name="Churchill - Base Rate" dataDxfId="313">
      <calculatedColumnFormula>IFERROR(_xlfn.XLOOKUP(Table59[[#This Row],[Churchill - Match Key]],ChurchillMatrix[Match Key],ChurchillMatrix[Base Rate],"ERROR",0,1)/100,"ERROR")</calculatedColumnFormula>
    </tableColumn>
    <tableColumn id="105" xr3:uid="{62E3F430-5CEB-40DA-9F9D-791990817755}" name="Churchill - Adj Rate" dataDxfId="312" dataCellStyle="Percent">
      <calculatedColumnFormula>IFERROR(_xlfn.XLOOKUP(Table59[[#This Row],[Churchill - Match Key]],ChurchillMatrix[Match Key],ChurchillMatrix[Adj Rate],"ERROR",0,1)/100,"ERROR")</calculatedColumnFormula>
    </tableColumn>
    <tableColumn id="106" xr3:uid="{6856A304-595C-4CCE-83B6-5F7A1008ECE9}" name="Churchill - Max Day 1" dataDxfId="311">
      <calculatedColumnFormula>IFERROR(MAX(MIN(Table59[[#This Row],[Churchill - Max LTAIV]]*Table59[[#This Row],[Calculated AIV]],Table59[[#This Row],[Churchill - Max Loan Amount]]-Table59[[#This Row],[Churchill - Financed Budget]]),125000),"N/A")</calculatedColumnFormula>
    </tableColumn>
    <tableColumn id="54" xr3:uid="{EBA562E1-1BB0-462A-9846-2EF2A2B02063}" name="Churchill - Financed Budget" dataDxfId="310">
      <calculatedColumnFormula>IF(OR(Table59[[#This Row],[Churchill - Adj Rate]]="ERROR",Table59[[#This Row],[Churchill - Adj Rate]]="N/A"),"",Table59[[#This Row],[Improvement Budget]])</calculatedColumnFormula>
    </tableColumn>
    <tableColumn id="107" xr3:uid="{3DC57235-C431-4F80-A332-AF64B924E1BF}" name="Churchill - Max Loan Amount" dataDxfId="309">
      <calculatedColumnFormula>_xlfn.LET(
  _xlpm.ltARV, Table59[[#This Row],[Churchill - Max LTARV]],
  _xlpm.ltAIV, N(Table59[[#This Row],[Churchill - Max LTAIV]]),
  _xlpm.ltc,   N(Table59[[#This Row],[Churchill - Max LTC]]),
  _xlpm.pp,    N(Table59[[#This Row],[Purchase Price]]),
  _xlpm.ib,    N(Table59[[#This Row],[Improvement Budget]]),
  _xlpm.aiv,   N(Table59[[#This Row],[Calculated AIV]]),
  _xlpm.arv,   N(Table59[[#This Row],[ARV]]),
  _xlpm.rate,  Table59[[#This Row],[Churchill - Adj Rate]],
  _xlpm.total, _xlpm.pp+_xlpm.ib,
  _xlpm.cap,   5000000,
  _xlpm.aivCap, _xlpm.ltAIV*_xlpm.aiv + _xlpm.ib,
  _xlpm.ltcCap, _xlpm.ltc*_xlpm.total,
  _xlpm.arvCap, IF(_xlpm.ltARV="N/A", 1E+99, N(_xlpm.ltARV)*_xlpm.arv),
  IF(_xlpm.rate="ERROR","", MIN(_xlpm.aivCap, _xlpm.arvCap, _xlpm.ltcCap, _xlpm.cap))
)</calculatedColumnFormula>
    </tableColumn>
    <tableColumn id="108" xr3:uid="{C8CA4366-68B2-464D-BDF1-CA68AEC38871}" name="Churchill - Max Cash Out" dataDxfId="308">
      <calculatedColumnFormula>_xlfn.XLOOKUP(Table59[[#This Row],[Churchill - Match Key]],ChurchillMatrix[Match Key],ChurchillMatrix[Max Cash Out],"ERROR",0,1)</calculatedColumnFormula>
    </tableColumn>
    <tableColumn id="113" xr3:uid="{EBAF365F-3C23-4303-B942-9C35F9A5E906}" name="Constructive -  Experience Level" dataDxfId="307">
      <calculatedColumnFormula>_xlfn.LET(
  _xlpm.xp, N(Table59[[#This Row],[Borrower Experience - Number of Projects]]),
  IF(_xlpm.xp=0,"ERROR",
     IF(_xlpm.xp&lt;=2,"Silver (1-2)",
        IF(_xlpm.xp&lt;=4,"Gold (3-4)","Platinum (5+)")
     )
  )
)</calculatedColumnFormula>
    </tableColumn>
    <tableColumn id="114" xr3:uid="{88875F35-9C9F-47DA-8482-A451110FF29A}" name="Constructive -  Project Type" dataDxfId="306">
      <calculatedColumnFormula>IF(OR(Table59[[#This Row],[Product Type]]="Bridge (No Rehab)",Table59[[#This Row],[Improvement Budget]]=0),"Bridge (No Rehab)",
IF(OR(AND(Table59[[#This Row],[Improvement Budget]]&gt;=(MIN(Table59[[#This Row],[Purchase Price]],Table59[[#This Row],[AIV]])/2),Table59[[#This Row],[Improvement Budget]]&gt;50000),((Table59[[#This Row],[Post-Rehab Sq. Ft.]]-Table59[[#This Row],[Pre-Rehab Sq. Ft.]])/Table59[[#This Row],[Pre-Rehab Sq. Ft.]])&gt;0.2),"Fix and Flip (Heavy Rehab)",IF(OR(AND(Table59[[#This Row],[Improvement Budget]]&gt;(Table59[[#This Row],[AIV]]*0.05),Table59[[#This Row],[Improvement Budget]]&lt;50000),Table59[[#This Row],[Improvement Budget]]&lt;=MIN(Table59[[#This Row],[Purchase Price]],Table59[[#This Row],[AIV]])/2),"Fix and Flip (Light Rehab)",IF(Table59[[#This Row],[Improvement Budget]]&gt;MIN(Table59[[#This Row],[AIV]],Table59[[#This Row],[Purchase Price]]),"ERROR","NA"))))</calculatedColumnFormula>
    </tableColumn>
    <tableColumn id="115" xr3:uid="{B6E4EA1E-F95D-4805-B28D-916E546F2660}" name="Constructive -  Dwelling Type" dataDxfId="305">
      <calculatedColumnFormula>_xlfn.LET(
  _xlpm.pt, TRIM(Table59[[#This Row],[SM Property Type]]),
  _xlpm.u,  N(Table59[[#This Row],[Number of Units]]),
  IF(OR(_xlpm.pt="Single Family", _xlpm.pt="Non-Warrantable Condo"),
     _xlpm.pt,
     IF(OR(ISNUMBER(MATCH(_xlpm.pt, {"Duplex","Triplex","Fourplex","2 - 4 Unit","Townhome","Warrantable Condo"}, 0)), _xlpm.u&lt;=4),
        "Other (2-4 Unit)",
        "ERROR"
     )
  )
)</calculatedColumnFormula>
    </tableColumn>
    <tableColumn id="116" xr3:uid="{97BEED8C-8B24-46BF-B098-767F277A6006}" name="Constructive -  Credit Score" dataDxfId="304">
      <calculatedColumnFormula>IF(Table59[[#This Row],[Fico]]&lt;680,"ERROR",IF(Table59[[#This Row],[Fico]]&lt;740,"680-739","740+"))</calculatedColumnFormula>
    </tableColumn>
    <tableColumn id="117" xr3:uid="{F90D8431-CB33-4F6C-8E2D-7211C18CC847}" name="Constructive -  Match Key" dataDxfId="303">
      <calculatedColumnFormula>Table59[[#This Row],[Constructive -  Experience Level]] &amp; "|" &amp; Table59[[#This Row],[Constructive -  Project Type]] &amp; "|" &amp; Table59[[#This Row],[SM Loan Type]] &amp; "|" &amp; Table59[[#This Row],[Constructive -  Dwelling Type]] &amp; "|" &amp; Table59[[#This Row],[Constructive -  Credit Score]]</calculatedColumnFormula>
    </tableColumn>
    <tableColumn id="118" xr3:uid="{B818E3A1-6B1B-4116-9514-40FF0EC94238}" name="Constructive -  MinValuePerUnit_check" dataDxfId="302">
      <calculatedColumnFormula>_xlfn.LET(
  _xlpm.u, N(Table59[[#This Row],[Number of Units]]),
  _xlpm.pt, Table59[[#This Row],[Product Type]],
  IF(AND(_xlpm.u&gt;1,_xlpm.u&lt;=4),
     _xlfn.LET(
       _xlpm.aivpu, Table59[[#This Row],[Calculated AIV]]/_xlpm.u,
       _xlpm.arvpu, Table59[[#This Row],[ARV]]/_xlpm.u,
       IF(_xlpm.pt="Bridge (No Rehab)",
          IF(_xlpm.aivpu&lt;50000,"ERROR",""),
          IF(OR(_xlpm.aivpu&lt;30000,_xlpm.arvpu&lt;50000),"ERROR","")
       )
     ),
     ""
  )
)</calculatedColumnFormula>
    </tableColumn>
    <tableColumn id="119" xr3:uid="{40D99F92-165D-4D97-87BC-3A565D40CE77}" name="Constructive -  state_check" dataDxfId="301">
      <calculatedColumnFormula>IF(ISNUMBER(MATCH(Table59[[#This Row],[Property State]],{"Alaska","North Dakota","South Dakota","Utah","Vermont"},0)),"ERROR",
   IF(Table59[[#This Row],[Property State]]="New York","New York",""))</calculatedColumnFormula>
    </tableColumn>
    <tableColumn id="120" xr3:uid="{9489FA5B-9758-4C7D-AEA2-4272F758A419}" name="Constructive -  Eligible_TF" dataDxfId="300">
      <calculatedColumnFormula>NOT(OR(
    ISNUMBER(SEARCH("ERROR",Table59[[#This Row],[Constructive -  Match Key]])),
    Table59[[#This Row],[Constructive -  state_check]]="ERROR",
    Table59[[#This Row],[Constructive -  MinValuePerUnit_check]]="ERROR"
))</calculatedColumnFormula>
    </tableColumn>
    <tableColumn id="121" xr3:uid="{E19FF0ED-7073-4A25-9955-955E6EA27266}" name="Constructive -  Foreign_check" dataDxfId="299">
      <calculatedColumnFormula>IF(Table59[[#This Row],[Us Citizen?]]="Foreign National",TRUE,FALSE)</calculatedColumnFormula>
    </tableColumn>
    <tableColumn id="122" xr3:uid="{968E60C2-036D-4138-82D0-6BBF15D6BA2A}" name="Constructive -  Max LTV" dataDxfId="298">
      <calculatedColumnFormula>IFERROR(_xlfn.LET(
  _xlpm.base, _xlfn.XLOOKUP(Table59[[#This Row],[Constructive -  Match Key]], ConstructiveMatrix[Match Key], ConstructiveMatrix[Max Initial LTC], ""),
  _xlpm.ny, Table59[[#This Row],[Constructive -  state_check]]="New York",
  _xlpm.fr, Table59[[#This Row],[Constructive -  Foreign_check]],
  _xlpm.adj, IF(_xlpm.ny, IF(_xlpm.fr, 0.2, 0.15), IF(_xlpm.fr, 0.05, 0)),
  _xlpm.base - _xlpm.adj
),"N/A")</calculatedColumnFormula>
    </tableColumn>
    <tableColumn id="123" xr3:uid="{8FEBC047-457F-4665-8091-4968A9CBACAF}" name="Constructive -  Max Total LTC" dataDxfId="297">
      <calculatedColumnFormula>IFERROR(_xlfn.LET(
  _xlpm.base, _xlfn.XLOOKUP(Table59[[#This Row],[Constructive -  Match Key]], ConstructiveMatrix[Match Key], ConstructiveMatrix[Max Total LTC], ""),
  _xlpm.ny, Table59[[#This Row],[Constructive -  state_check]]="New York",
  _xlpm.fr, Table59[[#This Row],[Constructive -  Foreign_check]],
  _xlpm.adj, IF(_xlpm.ny, IF(_xlpm.fr, 0.2, 0.15), IF(_xlpm.fr, 0.05, 0)),
  _xlpm.base - _xlpm.adj
),"N/A")</calculatedColumnFormula>
    </tableColumn>
    <tableColumn id="124" xr3:uid="{F395C4AB-3B93-4A76-AA3E-D4F5D8B8F7B2}" name="Constructive -  Max LTARV" dataDxfId="296">
      <calculatedColumnFormula>IFERROR(_xlfn.LET(
  _xlpm.base, _xlfn.XLOOKUP(Table59[[#This Row],[Constructive -  Match Key]], ConstructiveMatrix[Match Key], ConstructiveMatrix[Max LTARV], ""),
  _xlpm.ny, Table59[[#This Row],[Constructive -  state_check]]="New York",
  _xlpm.fr, Table59[[#This Row],[Constructive -  Foreign_check]],
  _xlpm.adj, IF(_xlpm.ny, IF(_xlpm.fr, 0.2, 0.15), IF(_xlpm.fr, 0.05, 0)),
  _xlpm.base - _xlpm.adj
),"N/A")</calculatedColumnFormula>
    </tableColumn>
    <tableColumn id="125" xr3:uid="{392C3F71-74CC-4393-AAC2-AF6A970F2B9B}" name="Constructive -  Max Day 1" dataDxfId="295">
      <calculatedColumnFormula>IFERROR(MAX(MIN(Table59[[#This Row],[Constructive -  Max LTV]]*Table59[[#This Row],[Calculated AIV]],Table59[[#This Row],[Constructive -  Max Loan Amount]]-Table59[[#This Row],[Constructive -  Financed Budget]]),75000),"N/A")</calculatedColumnFormula>
    </tableColumn>
    <tableColumn id="42" xr3:uid="{BD02A057-B850-4268-A63F-A6B67CB19492}" name="Constructive -  Financed Budget" dataDxfId="294">
      <calculatedColumnFormula>IF(OR(Table59[[#This Row],[Constructive -  Max LTV]]="ERROR",Table59[[#This Row],[Constructive -  Max LTV]]="N/A"),"N/A",Table59[[#This Row],[Improvement Budget]])</calculatedColumnFormula>
    </tableColumn>
    <tableColumn id="126" xr3:uid="{B384019D-0577-49DD-BCF4-69DADA1C0E09}" name="Constructive -  Max Loan Amount" dataDxfId="293">
      <calculatedColumnFormula>_xlfn.LET(
  _xlpm.ltv,   Table59[[#This Row],[Constructive -  Max LTV]],
  _xlpm.ltarv, Table59[[#This Row],[Constructive -  Max LTARV]],
  _xlpm.ltc,   Table59[[#This Row],[Constructive -  Max Total LTC]],
  _xlpm.aiv,   Table59[[#This Row],[Calculated AIV]],
  _xlpm.pp,    Table59[[#This Row],[Purchase Price]],
  _xlpm.ib,    Table59[[#This Row],[Improvement Budget]],
  _xlpm.arv,   Table59[[#This Row],[ARV]],
  _xlpm.cap,   2000000,
  _xlpm.total, _xlpm.pp+_xlpm.ib,
  _xlpm.ltvCap, _xlpm.ltv*_xlpm.aiv + _xlpm.ib,
  _xlpm.arvCap, IF(_xlpm.ltarv="N/A", 1E+99, _xlpm.ltarv*_xlpm.arv),
  _xlpm.ltcCap, IF(_xlpm.ltc="N/A",   1E+99, _xlpm.ltc*_xlpm.total),
  IFERROR(
    IF(AND(_xlpm.ltc="N/A", _xlpm.ltarv="N/A"),
       MIN(_xlpm.ltvCap, _xlpm.cap),
       MIN(_xlpm.ltvCap, _xlpm.arvCap, _xlpm.ltcCap, _xlpm.cap)
    ),
    "N/A"
  )
)</calculatedColumnFormula>
    </tableColumn>
    <tableColumn id="127" xr3:uid="{B5DA68B4-1236-479B-BB66-8EB616290D51}" name="Constructive -  Est Loan Amount" dataDxfId="292">
      <calculatedColumnFormula>IFERROR(_xlfn.LET(
  _xlpm.aiv,Table59[[#This Row],[Calculated AIV]],
  _xlpm.iLTC,Table59[[#This Row],[Constructive -  Max LTV]],
  _xlpm.tLTC,Table59[[#This Row],[Constructive -  Max Total LTC]],
  _xlpm.arv,Table59[[#This Row],[ARV]],
  _xlpm.ltarv,Table59[[#This Row],[Constructive -  Max LTARV]],
  _xlpm.pp,Table59[[#This Row],[Purchase Price]],
  _xlpm.hb,Table59[[#This Row],[Improvement Budget]],
  _xlpm.csd,Table59[[#This Row],[Cost of Improvement To Date]],
  _xlpm.base, IF(ISNUMBER(_xlpm.tLTC),
           MIN(_xlpm.aiv*_xlpm.iLTC, (_xlpm.pp+_xlpm.hb+_xlpm.csd)*_xlpm.tLTC, _xlpm.arv*_xlpm.ltarv),
           _xlpm.aiv*_xlpm.iLTC),
  MIN(_xlpm.base, 2500000)
),"N/A")</calculatedColumnFormula>
    </tableColumn>
    <tableColumn id="69" xr3:uid="{CA4C4EB1-06FA-4A8F-A46C-C9E578B8E430}" name="Constructive - Lender Fee" dataDxfId="291">
      <calculatedColumnFormula>_xlfn.LET(
  _xlpm.maxLTV,Table59[[#This Row],[Constructive -  Max LTV]],
  _xlpm.pt,Table59[[#This Row],[SM Property Type]],
  _xlpm.units,N(Table59[[#This Row],[Number of Units]]),
  _xlpm.isOther,AND(
    NOT(OR(_xlpm.pt="Single Family",_xlpm.pt="Non-Warrantable Condo")),
    OR(_xlpm.pt="Duplex",_xlpm.pt="Triplex",_xlpm.pt="Fourplex",_xlpm.pt="2 - 4 Unit",_xlpm.pt="Townhome",_xlpm.pt="Warrantable Condo",_xlpm.units&lt;=4)
  ),
  IF(_xlpm.maxLTV="N/A","N/A",IF(_xlpm.isOther,2495,1995))
)</calculatedColumnFormula>
    </tableColumn>
    <tableColumn id="59" xr3:uid="{1930A246-E5DB-4C23-BEBE-8B5A0A825989}" name="Constructive - 0 Point Rate" dataDxfId="290">
      <calculatedColumnFormula array="1">_xlfn.LET(
  _xlpm.maxltv,Table59[[#This Row],[Constructive -  Max LTV]],
  _xlpm.loan,Table59[[#This Row],[SM Loan Type]],
  _xlpm.xp,Table59[[#This Row],[Constructive -  Experience Level]],
  IF(_xlpm.maxltv="N/A","N/A",
     _xlfn.LET(
       _xlpm.base, _xlfn.XLOOKUP(_xlpm.xp, {"Silver (1-2)","Gold (3-4)","Platinum (5+)"}, {0.1199,0.1149,0.1099}, ""),
       _xlpm.addr, _xlfn.XLOOKUP(_xlpm.loan, {"Rate and Term Refinance","Cash Out Refinance"}, {0.005,0.01}, 0),
       IF(_xlpm.base="","", _xlpm.base + _xlpm.addr)
     )
  )
)</calculatedColumnFormula>
    </tableColumn>
    <tableColumn id="64" xr3:uid="{C03994C4-C9CB-4993-84F3-1CADEE2E23EF}" name="Constructive - 0.5 Point Rate" dataDxfId="289">
      <calculatedColumnFormula array="1">_xlfn.LET(
  _xlpm.maxltv,Table59[[#This Row],[Constructive -  Max LTV]],
  _xlpm.loan,Table59[[#This Row],[SM Loan Type]],
  _xlpm.xp,Table59[[#This Row],[Constructive -  Experience Level]],
  IF(_xlpm.maxltv="N/A","N/A",
     _xlfn.LET(
       _xlpm.base, _xlfn.XLOOKUP(_xlpm.xp, {"Silver (1-2)","Gold (3-4)","Platinum (5+)"}, {0.1099,0.1049,0.0999}, ""),
       _xlpm.addr, _xlfn.XLOOKUP(_xlpm.loan, {"Rate and Term Refinance","Cash Out Refinance"}, {0.005,0.01}, 0),
       IF(_xlpm.base="","", _xlpm.base + _xlpm.addr)
     )
  )
)</calculatedColumnFormula>
    </tableColumn>
    <tableColumn id="63" xr3:uid="{7F4E993B-6761-43B7-A6D4-5ABB69B29822}" name="Constructive - 1 Point Rate" dataDxfId="288">
      <calculatedColumnFormula array="1">_xlfn.LET(
  _xlpm.maxltv,Table59[[#This Row],[Constructive -  Max LTV]],
  _xlpm.loan,Table59[[#This Row],[SM Loan Type]],
  _xlpm.xp,Table59[[#This Row],[Constructive -  Experience Level]],
  IF(_xlpm.maxltv="N/A","N/A",
     _xlfn.LET(
       _xlpm.base, _xlfn.XLOOKUP(_xlpm.xp,{"Silver (1-2)","Gold (3-4)","Platinum (5+)"},{0.0999,0.0949,0.0875},""),
       _xlpm.addl, _xlfn.XLOOKUP(_xlpm.loan,{"Rate and Term Refinance","Cash Out Refinance"},{0.005,0.01},0),
       IF(_xlpm.base="","",_xlpm.base+_xlpm.addl)
     )
  )
)</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1BCA3E-F19D-4194-A6AB-63B56CDD9E60}" name="ChurchillMatrix" displayName="ChurchillMatrix" ref="A1:O163" totalsRowShown="0" headerRowDxfId="287" dataDxfId="286" tableBorderDxfId="285">
  <autoFilter ref="A1:O163" xr:uid="{391BCA3E-F19D-4194-A6AB-63B56CDD9E60}"/>
  <tableColumns count="15">
    <tableColumn id="1" xr3:uid="{CDD847DC-230F-4C24-90B4-F33765EF7249}" name="Experience Level" dataDxfId="284"/>
    <tableColumn id="2" xr3:uid="{D95B3874-3034-45C4-A4D6-93A95721697E}" name="Project Type" dataDxfId="283"/>
    <tableColumn id="3" xr3:uid="{C8D477F9-F6C2-43AA-A8A4-CF68CC184A53}" name="Loan Type" dataDxfId="282"/>
    <tableColumn id="4" xr3:uid="{0289B907-7469-4846-8DD8-D414129E4152}" name="FICO" dataDxfId="281"/>
    <tableColumn id="5" xr3:uid="{E94791DB-239E-4DFB-BACC-5A8576C5F7F4}" name="Number of Units" dataDxfId="280"/>
    <tableColumn id="6" xr3:uid="{C38D6E87-F044-4AC1-9370-53E3039EBB99}" name="Max LTAIV" dataDxfId="279" dataCellStyle="Percent"/>
    <tableColumn id="7" xr3:uid="{D58735FD-21C5-493A-B40B-7EB76D8A4D45}" name="Max LTC" dataDxfId="278" dataCellStyle="Percent"/>
    <tableColumn id="8" xr3:uid="{EC20EF01-D524-43D5-A467-433F4AF6151E}" name="Max LTARV" dataDxfId="277" dataCellStyle="Percent"/>
    <tableColumn id="9" xr3:uid="{9911FB55-3D1F-46F8-B7B5-EC4F4E6038B5}" name="Base Rate" dataDxfId="276"/>
    <tableColumn id="10" xr3:uid="{6578F5B3-E9C1-480A-930B-740AB7CB885D}" name="Loan Level Adj" dataDxfId="275"/>
    <tableColumn id="11" xr3:uid="{7330737B-940F-4150-9B59-125F13B0F010}" name="Adj Rate" dataDxfId="274"/>
    <tableColumn id="12" xr3:uid="{377CA709-C488-4247-A0DF-6B41D4FAC325}" name="Min Loan Amount" dataDxfId="273"/>
    <tableColumn id="13" xr3:uid="{28C06FAF-19F7-4063-862A-19F407DD1C34}" name="Max Loan Amount" dataDxfId="272"/>
    <tableColumn id="14" xr3:uid="{6B735DF7-D471-4933-B589-D337A39C65EC}" name="Max Cash Out" dataDxfId="271"/>
    <tableColumn id="15" xr3:uid="{7196B43B-02B2-4060-8F7B-33ADC5ADDF70}" name="Match Key" dataDxfId="270">
      <calculatedColumnFormula>ChurchillMatrix[[#This Row],[Experience Level]] &amp; "|" &amp; ChurchillMatrix[[#This Row],[Project Type]] &amp; "|" &amp; ChurchillMatrix[[#This Row],[Loan Type]] &amp; "|" &amp; ChurchillMatrix[[#This Row],[FICO]] &amp; "|" &amp; ChurchillMatrix[[#This Row],[Number of Units]]</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43386D-56AD-423B-B1C5-C7A3AFC39571}" name="ConstructiveMatrix" displayName="ConstructiveMatrix" ref="R1:AD163" totalsRowShown="0" headerRowDxfId="269" dataDxfId="268" tableBorderDxfId="267">
  <autoFilter ref="R1:AD163" xr:uid="{9043386D-56AD-423B-B1C5-C7A3AFC39571}"/>
  <tableColumns count="13">
    <tableColumn id="1" xr3:uid="{8FBC54C3-98AB-4DFB-AB48-C5DB02FC5A20}" name="Borrower Experience" dataDxfId="266"/>
    <tableColumn id="2" xr3:uid="{222D95EE-9FFB-47D6-80CF-1ACC74BBBE4F}" name="Project Type" dataDxfId="265"/>
    <tableColumn id="3" xr3:uid="{E4B27552-52FF-470E-BAC6-1853A5C3C308}" name="Loan Type" dataDxfId="264"/>
    <tableColumn id="4" xr3:uid="{28A2B62D-8BBE-42B8-AA80-5DFBF2E79774}" name="Dwelling Type" dataDxfId="263"/>
    <tableColumn id="5" xr3:uid="{199EAEFF-6C59-4627-A3E6-22DA014494B0}" name="FICO" dataDxfId="262"/>
    <tableColumn id="6" xr3:uid="{C08ECE21-FCFA-4ECF-B856-84A3AF4BF747}" name="Max Initial LTC" dataDxfId="261" dataCellStyle="Percent"/>
    <tableColumn id="7" xr3:uid="{0015DB8C-97DB-466B-8D4B-1500FE086478}" name="Max Total LTC" dataDxfId="260" dataCellStyle="Percent"/>
    <tableColumn id="8" xr3:uid="{7A568A6A-C0D3-42DC-A068-17FF8A61B08E}" name="Max LTARV" dataDxfId="259" dataCellStyle="Percent"/>
    <tableColumn id="9" xr3:uid="{463ADCE9-D480-4BCF-9415-60FC730055F5}" name="Min Loan Amount" dataDxfId="258" dataCellStyle="Percent"/>
    <tableColumn id="10" xr3:uid="{412899DB-63A7-474C-8A42-11930EAC03EA}" name="Max Loan Amount" dataDxfId="257" dataCellStyle="Percent"/>
    <tableColumn id="11" xr3:uid="{D3F3C5C4-59CC-421D-A956-F21CB8468252}" name="Min As-Is Value per Unit (2-4)" dataDxfId="256" dataCellStyle="Percent"/>
    <tableColumn id="12" xr3:uid="{A1E21956-FC50-4458-B064-ADBBAA2AF3BD}" name="Min After Repair Value per Unit (2-4)" dataDxfId="255" dataCellStyle="Percent"/>
    <tableColumn id="13" xr3:uid="{1CF0F405-31B6-46E8-85FD-3D61A37AF2BA}" name="Match Key" dataDxfId="254">
      <calculatedColumnFormula>ConstructiveMatrix[[#This Row],[Borrower Experience]] &amp; "|" &amp; ConstructiveMatrix[[#This Row],[Project Type]] &amp; "|" &amp; ConstructiveMatrix[[#This Row],[Loan Type]] &amp; "|" &amp; ConstructiveMatrix[[#This Row],[Dwelling Type]] &amp; "|" &amp; ConstructiveMatrix[[#This Row],[FICO]]</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A85408-2F23-4B6F-876F-8B5036047FF8}" name="Table26" displayName="Table26" ref="AG1:BC41" totalsRowShown="0" tableBorderDxfId="253">
  <autoFilter ref="AG1:BC41" xr:uid="{6DA85408-2F23-4B6F-876F-8B5036047FF8}"/>
  <tableColumns count="23">
    <tableColumn id="1" xr3:uid="{9D9AA729-8DA5-46DC-B00B-27EE61625437}" name="Franchise Type" dataDxfId="252"/>
    <tableColumn id="2" xr3:uid="{2A1AECBE-8B1E-4BA0-B53A-A3D85782E687}" name="Funding Type" dataDxfId="251"/>
    <tableColumn id="3" xr3:uid="{7492B81B-D517-4FD2-A962-663F1F06BCB0}" name="Experience" dataDxfId="250"/>
    <tableColumn id="4" xr3:uid="{92CAD146-6FE9-4BF4-8A69-667B6206C8D4}" name="FICO" dataDxfId="249"/>
    <tableColumn id="5" xr3:uid="{38FF0A39-1C72-418F-A7E4-1B8A2B7ECDFF}" name="Match Key" dataDxfId="248">
      <calculatedColumnFormula>_xlfn.CONCAT(AG2,"| ",AH2,"| ",AI2,"| ",AJ2,"| ",IFERROR(AL2*100,"N/A"),"%")</calculatedColumnFormula>
    </tableColumn>
    <tableColumn id="6" xr3:uid="{7D9E92A6-F7BD-4901-8E50-E4760FAC4C7C}" name="LTC" dataDxfId="247"/>
    <tableColumn id="7" xr3:uid="{769081B6-6F30-409D-80BF-F0671F4FDBBE}" name="ARLTV-NJD" dataDxfId="246"/>
    <tableColumn id="8" xr3:uid="{23D05C34-E3B3-46CA-97AE-3AF8FA90AB6D}" name="ARLTV-JD" dataDxfId="245"/>
    <tableColumn id="9" xr3:uid="{4883815B-3B83-4A88-B84B-77BC9AD1B68E}" name="Rate" dataDxfId="244"/>
    <tableColumn id="10" xr3:uid="{64FAFEAD-ED62-4324-8884-E064EC1C9155}" name="Points" dataDxfId="243"/>
    <tableColumn id="11" xr3:uid="{B68D0E22-3E57-43EA-9234-FAECC3C78B4A}" name="Exit Fee" dataDxfId="242"/>
    <tableColumn id="12" xr3:uid="{DD8CD108-5BC0-4BC3-B2D1-F9852996E9CE}" name="Exit Fee Only" dataDxfId="241"/>
    <tableColumn id="13" xr3:uid="{67D68B22-020D-49AD-9627-684AB04CDA4A}" name="0 Point Rate" dataDxfId="240"/>
    <tableColumn id="14" xr3:uid="{EB63413D-98AD-4662-86A5-08E1A5D41A45}" name="Max Renovation Budget" dataDxfId="239"/>
    <tableColumn id="15" xr3:uid="{570F521A-A083-4552-B716-1AD9A76A44C8}" name="Min Loan Amount" dataDxfId="238"/>
    <tableColumn id="16" xr3:uid="{605C4015-6651-46C8-A1CE-1712B0CFAEA4}" name="Max Loan Amount" dataDxfId="237"/>
    <tableColumn id="17" xr3:uid="{C34D8B86-B8DE-4324-B16C-D2E761C53793}" name="Default Rate" dataDxfId="236"/>
    <tableColumn id="18" xr3:uid="{4BCF1A36-E8A8-4C79-8A9F-C136F3950FFD}" name="Max Cashout" dataDxfId="235"/>
    <tableColumn id="19" xr3:uid="{80A453EE-5C3A-48A6-8C03-494962861FA3}" name="UW Fee" dataDxfId="234"/>
    <tableColumn id="20" xr3:uid="{0BF6B717-5272-403E-B08B-86446BA5ED67}" name="Processing Fee" dataDxfId="233"/>
    <tableColumn id="21" xr3:uid="{3B3C51DB-8460-4925-826C-0C3E03C82826}" name="Desk Review Fee" dataDxfId="232"/>
    <tableColumn id="22" xr3:uid="{11AEA0D4-5D93-4310-BDE0-1E736B59F48F}" name="Texas Legal Doc Review (If applicable)" dataDxfId="231"/>
    <tableColumn id="23" xr3:uid="{87D0C32F-A01C-4478-BDB3-B6F37C08ECF7}" name="Entity Review (If applicable)" dataDxfId="23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16AF0-3973-466D-A60F-CF8150D8DE32}">
  <dimension ref="A1:E51"/>
  <sheetViews>
    <sheetView workbookViewId="0">
      <selection activeCell="J8" sqref="J8"/>
    </sheetView>
  </sheetViews>
  <sheetFormatPr defaultRowHeight="14.4" x14ac:dyDescent="0.3"/>
  <cols>
    <col min="1" max="1" width="15.109375" bestFit="1" customWidth="1"/>
    <col min="2" max="2" width="18.44140625" bestFit="1" customWidth="1"/>
    <col min="3" max="3" width="9.6640625" bestFit="1" customWidth="1"/>
    <col min="4" max="4" width="21.88671875" bestFit="1" customWidth="1"/>
    <col min="5" max="5" width="45.44140625" bestFit="1" customWidth="1"/>
  </cols>
  <sheetData>
    <row r="1" spans="1:5" x14ac:dyDescent="0.3">
      <c r="A1" s="2" t="s">
        <v>0</v>
      </c>
      <c r="B1" s="2" t="s">
        <v>1</v>
      </c>
      <c r="C1" s="2" t="s">
        <v>2</v>
      </c>
      <c r="D1" s="2" t="s">
        <v>3</v>
      </c>
      <c r="E1" s="2" t="s">
        <v>4</v>
      </c>
    </row>
    <row r="2" spans="1:5" x14ac:dyDescent="0.3">
      <c r="A2" t="s">
        <v>5</v>
      </c>
      <c r="B2" t="s">
        <v>6</v>
      </c>
      <c r="C2" t="s">
        <v>7</v>
      </c>
      <c r="D2" t="b">
        <v>1</v>
      </c>
      <c r="E2" t="b">
        <v>0</v>
      </c>
    </row>
    <row r="3" spans="1:5" x14ac:dyDescent="0.3">
      <c r="A3" t="s">
        <v>8</v>
      </c>
      <c r="B3" t="s">
        <v>9</v>
      </c>
      <c r="C3" t="s">
        <v>7</v>
      </c>
      <c r="D3" t="b">
        <v>1</v>
      </c>
      <c r="E3" t="b">
        <v>0</v>
      </c>
    </row>
    <row r="4" spans="1:5" x14ac:dyDescent="0.3">
      <c r="A4" t="s">
        <v>10</v>
      </c>
      <c r="B4" t="s">
        <v>11</v>
      </c>
      <c r="C4" t="s">
        <v>7</v>
      </c>
      <c r="D4" t="b">
        <v>1</v>
      </c>
      <c r="E4" t="b">
        <v>1</v>
      </c>
    </row>
    <row r="5" spans="1:5" x14ac:dyDescent="0.3">
      <c r="A5" t="s">
        <v>12</v>
      </c>
      <c r="B5" t="s">
        <v>13</v>
      </c>
      <c r="C5" t="s">
        <v>7</v>
      </c>
      <c r="D5" t="b">
        <v>1</v>
      </c>
      <c r="E5" t="b">
        <v>0</v>
      </c>
    </row>
    <row r="6" spans="1:5" x14ac:dyDescent="0.3">
      <c r="A6" t="s">
        <v>14</v>
      </c>
      <c r="B6" t="s">
        <v>15</v>
      </c>
      <c r="C6" t="s">
        <v>7</v>
      </c>
      <c r="D6" t="b">
        <v>1</v>
      </c>
      <c r="E6" t="b">
        <v>1</v>
      </c>
    </row>
    <row r="7" spans="1:5" x14ac:dyDescent="0.3">
      <c r="A7" t="s">
        <v>16</v>
      </c>
      <c r="B7" t="s">
        <v>17</v>
      </c>
      <c r="C7" t="s">
        <v>7</v>
      </c>
      <c r="D7" t="b">
        <v>1</v>
      </c>
      <c r="E7" t="b">
        <v>0</v>
      </c>
    </row>
    <row r="8" spans="1:5" x14ac:dyDescent="0.3">
      <c r="A8" t="s">
        <v>18</v>
      </c>
      <c r="B8" t="s">
        <v>19</v>
      </c>
      <c r="C8" t="s">
        <v>20</v>
      </c>
      <c r="D8" t="b">
        <v>1</v>
      </c>
      <c r="E8" t="b">
        <v>0</v>
      </c>
    </row>
    <row r="9" spans="1:5" x14ac:dyDescent="0.3">
      <c r="A9" t="s">
        <v>21</v>
      </c>
      <c r="B9" t="s">
        <v>22</v>
      </c>
      <c r="C9" t="s">
        <v>20</v>
      </c>
      <c r="D9" t="b">
        <v>1</v>
      </c>
      <c r="E9" t="b">
        <v>0</v>
      </c>
    </row>
    <row r="10" spans="1:5" x14ac:dyDescent="0.3">
      <c r="A10" t="s">
        <v>23</v>
      </c>
      <c r="B10" t="s">
        <v>24</v>
      </c>
      <c r="C10" t="s">
        <v>20</v>
      </c>
      <c r="D10" t="b">
        <v>1</v>
      </c>
      <c r="E10" t="b">
        <v>0</v>
      </c>
    </row>
    <row r="11" spans="1:5" x14ac:dyDescent="0.3">
      <c r="A11" t="s">
        <v>25</v>
      </c>
      <c r="B11" t="s">
        <v>26</v>
      </c>
      <c r="C11" t="s">
        <v>7</v>
      </c>
      <c r="D11" t="b">
        <v>1</v>
      </c>
      <c r="E11" t="b">
        <v>0</v>
      </c>
    </row>
    <row r="12" spans="1:5" x14ac:dyDescent="0.3">
      <c r="A12" t="s">
        <v>27</v>
      </c>
      <c r="B12" t="s">
        <v>28</v>
      </c>
      <c r="C12" t="s">
        <v>20</v>
      </c>
      <c r="D12" t="b">
        <v>1</v>
      </c>
      <c r="E12" t="b">
        <v>0</v>
      </c>
    </row>
    <row r="13" spans="1:5" x14ac:dyDescent="0.3">
      <c r="A13" t="s">
        <v>29</v>
      </c>
      <c r="B13" t="s">
        <v>30</v>
      </c>
      <c r="C13" t="s">
        <v>7</v>
      </c>
      <c r="D13" t="b">
        <v>1</v>
      </c>
      <c r="E13" t="b">
        <v>1</v>
      </c>
    </row>
    <row r="14" spans="1:5" x14ac:dyDescent="0.3">
      <c r="A14" t="s">
        <v>31</v>
      </c>
      <c r="B14" t="s">
        <v>32</v>
      </c>
      <c r="C14" t="s">
        <v>20</v>
      </c>
      <c r="D14" t="b">
        <v>1</v>
      </c>
      <c r="E14" t="b">
        <v>0</v>
      </c>
    </row>
    <row r="15" spans="1:5" x14ac:dyDescent="0.3">
      <c r="A15" t="s">
        <v>33</v>
      </c>
      <c r="B15" t="s">
        <v>34</v>
      </c>
      <c r="C15" t="s">
        <v>20</v>
      </c>
      <c r="D15" t="b">
        <v>1</v>
      </c>
      <c r="E15" t="b">
        <v>0</v>
      </c>
    </row>
    <row r="16" spans="1:5" x14ac:dyDescent="0.3">
      <c r="A16" t="s">
        <v>35</v>
      </c>
      <c r="B16" t="s">
        <v>36</v>
      </c>
      <c r="C16" t="s">
        <v>20</v>
      </c>
      <c r="D16" t="b">
        <v>1</v>
      </c>
      <c r="E16" t="b">
        <v>0</v>
      </c>
    </row>
    <row r="17" spans="1:5" x14ac:dyDescent="0.3">
      <c r="A17" t="s">
        <v>37</v>
      </c>
      <c r="B17" t="s">
        <v>38</v>
      </c>
      <c r="C17" t="s">
        <v>20</v>
      </c>
      <c r="D17" t="b">
        <v>1</v>
      </c>
      <c r="E17" t="b">
        <v>0</v>
      </c>
    </row>
    <row r="18" spans="1:5" x14ac:dyDescent="0.3">
      <c r="A18" t="s">
        <v>39</v>
      </c>
      <c r="B18" t="s">
        <v>40</v>
      </c>
      <c r="C18" t="s">
        <v>20</v>
      </c>
      <c r="D18" t="b">
        <v>1</v>
      </c>
      <c r="E18" t="b">
        <v>0</v>
      </c>
    </row>
    <row r="19" spans="1:5" x14ac:dyDescent="0.3">
      <c r="A19" t="s">
        <v>41</v>
      </c>
      <c r="B19" t="s">
        <v>42</v>
      </c>
      <c r="C19" t="s">
        <v>20</v>
      </c>
      <c r="D19" t="b">
        <v>1</v>
      </c>
      <c r="E19" t="b">
        <v>0</v>
      </c>
    </row>
    <row r="20" spans="1:5" x14ac:dyDescent="0.3">
      <c r="A20" t="s">
        <v>43</v>
      </c>
      <c r="B20" t="s">
        <v>44</v>
      </c>
      <c r="C20" t="s">
        <v>20</v>
      </c>
      <c r="D20" t="b">
        <v>1</v>
      </c>
      <c r="E20" t="b">
        <v>0</v>
      </c>
    </row>
    <row r="21" spans="1:5" x14ac:dyDescent="0.3">
      <c r="A21" t="s">
        <v>45</v>
      </c>
      <c r="B21" t="s">
        <v>46</v>
      </c>
      <c r="C21" t="s">
        <v>7</v>
      </c>
      <c r="D21" t="b">
        <v>1</v>
      </c>
      <c r="E21" t="b">
        <v>0</v>
      </c>
    </row>
    <row r="22" spans="1:5" x14ac:dyDescent="0.3">
      <c r="A22" t="s">
        <v>47</v>
      </c>
      <c r="B22" t="s">
        <v>48</v>
      </c>
      <c r="C22" t="s">
        <v>7</v>
      </c>
      <c r="D22" t="b">
        <v>1</v>
      </c>
      <c r="E22" t="b">
        <v>0</v>
      </c>
    </row>
    <row r="23" spans="1:5" x14ac:dyDescent="0.3">
      <c r="A23" t="s">
        <v>49</v>
      </c>
      <c r="B23" t="s">
        <v>50</v>
      </c>
      <c r="C23" t="s">
        <v>7</v>
      </c>
      <c r="D23" t="b">
        <v>1</v>
      </c>
      <c r="E23" t="b">
        <v>0</v>
      </c>
    </row>
    <row r="24" spans="1:5" x14ac:dyDescent="0.3">
      <c r="A24" t="s">
        <v>51</v>
      </c>
      <c r="B24" t="s">
        <v>52</v>
      </c>
      <c r="C24" t="s">
        <v>7</v>
      </c>
      <c r="D24" t="b">
        <v>1</v>
      </c>
      <c r="E24" t="b">
        <v>1</v>
      </c>
    </row>
    <row r="25" spans="1:5" x14ac:dyDescent="0.3">
      <c r="A25" t="s">
        <v>53</v>
      </c>
      <c r="B25" t="s">
        <v>54</v>
      </c>
      <c r="C25" t="s">
        <v>7</v>
      </c>
      <c r="D25" t="b">
        <v>1</v>
      </c>
      <c r="E25" t="b">
        <v>0</v>
      </c>
    </row>
    <row r="26" spans="1:5" x14ac:dyDescent="0.3">
      <c r="A26" t="s">
        <v>55</v>
      </c>
      <c r="B26" t="s">
        <v>56</v>
      </c>
      <c r="C26" t="s">
        <v>7</v>
      </c>
      <c r="D26" t="b">
        <v>1</v>
      </c>
      <c r="E26" t="b">
        <v>0</v>
      </c>
    </row>
    <row r="27" spans="1:5" x14ac:dyDescent="0.3">
      <c r="A27" t="s">
        <v>57</v>
      </c>
      <c r="B27" t="s">
        <v>58</v>
      </c>
      <c r="C27" t="s">
        <v>7</v>
      </c>
      <c r="D27" t="b">
        <v>1</v>
      </c>
      <c r="E27" t="b">
        <v>0</v>
      </c>
    </row>
    <row r="28" spans="1:5" x14ac:dyDescent="0.3">
      <c r="A28" t="s">
        <v>59</v>
      </c>
      <c r="B28" t="s">
        <v>60</v>
      </c>
      <c r="C28" t="s">
        <v>7</v>
      </c>
      <c r="D28" t="b">
        <v>1</v>
      </c>
      <c r="E28" t="b">
        <v>0</v>
      </c>
    </row>
    <row r="29" spans="1:5" x14ac:dyDescent="0.3">
      <c r="A29" t="s">
        <v>61</v>
      </c>
      <c r="B29" t="s">
        <v>62</v>
      </c>
      <c r="C29" t="s">
        <v>7</v>
      </c>
      <c r="D29" t="b">
        <v>1</v>
      </c>
      <c r="E29" t="b">
        <v>1</v>
      </c>
    </row>
    <row r="30" spans="1:5" x14ac:dyDescent="0.3">
      <c r="A30" t="s">
        <v>63</v>
      </c>
      <c r="B30" t="s">
        <v>64</v>
      </c>
      <c r="C30" t="s">
        <v>7</v>
      </c>
      <c r="D30" t="b">
        <v>1</v>
      </c>
      <c r="E30" t="b">
        <v>0</v>
      </c>
    </row>
    <row r="31" spans="1:5" x14ac:dyDescent="0.3">
      <c r="A31" t="s">
        <v>65</v>
      </c>
      <c r="B31" t="s">
        <v>66</v>
      </c>
      <c r="C31" t="s">
        <v>20</v>
      </c>
      <c r="D31" t="b">
        <v>1</v>
      </c>
      <c r="E31" t="b">
        <v>0</v>
      </c>
    </row>
    <row r="32" spans="1:5" x14ac:dyDescent="0.3">
      <c r="A32" t="s">
        <v>67</v>
      </c>
      <c r="B32" t="s">
        <v>68</v>
      </c>
      <c r="C32" t="s">
        <v>20</v>
      </c>
      <c r="D32" t="b">
        <v>1</v>
      </c>
      <c r="E32" t="b">
        <v>0</v>
      </c>
    </row>
    <row r="33" spans="1:5" x14ac:dyDescent="0.3">
      <c r="A33" t="s">
        <v>69</v>
      </c>
      <c r="B33" t="s">
        <v>70</v>
      </c>
      <c r="C33" t="s">
        <v>20</v>
      </c>
      <c r="D33" t="b">
        <v>1</v>
      </c>
      <c r="E33" t="b">
        <v>0</v>
      </c>
    </row>
    <row r="34" spans="1:5" x14ac:dyDescent="0.3">
      <c r="A34" t="s">
        <v>71</v>
      </c>
      <c r="B34" t="s">
        <v>72</v>
      </c>
      <c r="C34" t="s">
        <v>7</v>
      </c>
      <c r="D34" t="b">
        <v>1</v>
      </c>
      <c r="E34" t="b">
        <v>0</v>
      </c>
    </row>
    <row r="35" spans="1:5" x14ac:dyDescent="0.3">
      <c r="A35" t="s">
        <v>73</v>
      </c>
      <c r="B35" t="s">
        <v>74</v>
      </c>
      <c r="C35" t="s">
        <v>20</v>
      </c>
      <c r="D35" t="b">
        <v>0</v>
      </c>
      <c r="E35" t="b">
        <v>1</v>
      </c>
    </row>
    <row r="36" spans="1:5" x14ac:dyDescent="0.3">
      <c r="A36" t="s">
        <v>75</v>
      </c>
      <c r="B36" t="s">
        <v>76</v>
      </c>
      <c r="C36" t="s">
        <v>20</v>
      </c>
      <c r="D36" t="b">
        <v>1</v>
      </c>
      <c r="E36" t="b">
        <v>0</v>
      </c>
    </row>
    <row r="37" spans="1:5" x14ac:dyDescent="0.3">
      <c r="A37" t="s">
        <v>77</v>
      </c>
      <c r="B37" t="s">
        <v>78</v>
      </c>
      <c r="C37" t="s">
        <v>20</v>
      </c>
      <c r="D37" t="b">
        <v>1</v>
      </c>
      <c r="E37" t="b">
        <v>0</v>
      </c>
    </row>
    <row r="38" spans="1:5" x14ac:dyDescent="0.3">
      <c r="A38" t="s">
        <v>79</v>
      </c>
      <c r="B38" t="s">
        <v>80</v>
      </c>
      <c r="C38" t="s">
        <v>7</v>
      </c>
      <c r="D38" t="b">
        <v>1</v>
      </c>
      <c r="E38" t="b">
        <v>1</v>
      </c>
    </row>
    <row r="39" spans="1:5" x14ac:dyDescent="0.3">
      <c r="A39" t="s">
        <v>81</v>
      </c>
      <c r="B39" t="s">
        <v>82</v>
      </c>
      <c r="C39" t="s">
        <v>20</v>
      </c>
      <c r="D39" t="b">
        <v>1</v>
      </c>
      <c r="E39" t="b">
        <v>0</v>
      </c>
    </row>
    <row r="40" spans="1:5" x14ac:dyDescent="0.3">
      <c r="A40" t="s">
        <v>83</v>
      </c>
      <c r="B40" t="s">
        <v>84</v>
      </c>
      <c r="C40" t="s">
        <v>7</v>
      </c>
      <c r="D40" t="b">
        <v>1</v>
      </c>
      <c r="E40" t="b">
        <v>0</v>
      </c>
    </row>
    <row r="41" spans="1:5" x14ac:dyDescent="0.3">
      <c r="A41" t="s">
        <v>85</v>
      </c>
      <c r="B41" t="s">
        <v>86</v>
      </c>
      <c r="C41" t="s">
        <v>20</v>
      </c>
      <c r="D41" t="b">
        <v>1</v>
      </c>
      <c r="E41" t="b">
        <v>0</v>
      </c>
    </row>
    <row r="42" spans="1:5" x14ac:dyDescent="0.3">
      <c r="A42" t="s">
        <v>87</v>
      </c>
      <c r="B42" t="s">
        <v>88</v>
      </c>
      <c r="C42" t="s">
        <v>7</v>
      </c>
      <c r="D42" t="b">
        <v>0</v>
      </c>
      <c r="E42" t="b">
        <v>1</v>
      </c>
    </row>
    <row r="43" spans="1:5" x14ac:dyDescent="0.3">
      <c r="A43" t="s">
        <v>89</v>
      </c>
      <c r="B43" t="s">
        <v>90</v>
      </c>
      <c r="C43" t="s">
        <v>7</v>
      </c>
      <c r="D43" t="b">
        <v>1</v>
      </c>
      <c r="E43" t="b">
        <v>0</v>
      </c>
    </row>
    <row r="44" spans="1:5" x14ac:dyDescent="0.3">
      <c r="A44" t="s">
        <v>91</v>
      </c>
      <c r="B44" t="s">
        <v>92</v>
      </c>
      <c r="C44" t="s">
        <v>7</v>
      </c>
      <c r="D44" t="b">
        <v>1</v>
      </c>
      <c r="E44" t="b">
        <v>0</v>
      </c>
    </row>
    <row r="45" spans="1:5" x14ac:dyDescent="0.3">
      <c r="A45" t="s">
        <v>93</v>
      </c>
      <c r="B45" t="s">
        <v>94</v>
      </c>
      <c r="C45" t="s">
        <v>7</v>
      </c>
      <c r="D45" t="b">
        <v>1</v>
      </c>
      <c r="E45" t="b">
        <v>1</v>
      </c>
    </row>
    <row r="46" spans="1:5" x14ac:dyDescent="0.3">
      <c r="A46" t="s">
        <v>95</v>
      </c>
      <c r="B46" t="s">
        <v>96</v>
      </c>
      <c r="C46" t="s">
        <v>20</v>
      </c>
      <c r="D46" t="b">
        <v>1</v>
      </c>
      <c r="E46" t="b">
        <v>1</v>
      </c>
    </row>
    <row r="47" spans="1:5" x14ac:dyDescent="0.3">
      <c r="A47" t="s">
        <v>97</v>
      </c>
      <c r="B47" t="s">
        <v>98</v>
      </c>
      <c r="C47" t="s">
        <v>7</v>
      </c>
      <c r="D47" t="b">
        <v>1</v>
      </c>
      <c r="E47" t="b">
        <v>0</v>
      </c>
    </row>
    <row r="48" spans="1:5" x14ac:dyDescent="0.3">
      <c r="A48" t="s">
        <v>99</v>
      </c>
      <c r="B48" t="s">
        <v>100</v>
      </c>
      <c r="C48" t="s">
        <v>7</v>
      </c>
      <c r="D48" t="b">
        <v>1</v>
      </c>
      <c r="E48" t="b">
        <v>0</v>
      </c>
    </row>
    <row r="49" spans="1:5" x14ac:dyDescent="0.3">
      <c r="A49" t="s">
        <v>101</v>
      </c>
      <c r="B49" t="s">
        <v>102</v>
      </c>
      <c r="C49" t="s">
        <v>7</v>
      </c>
      <c r="D49" t="b">
        <v>1</v>
      </c>
      <c r="E49" t="b">
        <v>0</v>
      </c>
    </row>
    <row r="50" spans="1:5" x14ac:dyDescent="0.3">
      <c r="A50" t="s">
        <v>103</v>
      </c>
      <c r="B50" t="s">
        <v>104</v>
      </c>
      <c r="C50" t="s">
        <v>20</v>
      </c>
      <c r="D50" t="b">
        <v>1</v>
      </c>
      <c r="E50" t="b">
        <v>0</v>
      </c>
    </row>
    <row r="51" spans="1:5" x14ac:dyDescent="0.3">
      <c r="A51" t="s">
        <v>105</v>
      </c>
      <c r="B51" t="s">
        <v>106</v>
      </c>
      <c r="C51" t="s">
        <v>7</v>
      </c>
      <c r="D51" t="b">
        <v>1</v>
      </c>
      <c r="E51"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31FF-FAFC-4035-A7FC-F7C6034FD2DF}">
  <dimension ref="A1:EF17"/>
  <sheetViews>
    <sheetView tabSelected="1" workbookViewId="0">
      <selection activeCell="A6" sqref="A6:AV10"/>
    </sheetView>
  </sheetViews>
  <sheetFormatPr defaultColWidth="9.109375" defaultRowHeight="14.4" x14ac:dyDescent="0.3"/>
  <cols>
    <col min="1" max="1" width="21.44140625" bestFit="1" customWidth="1"/>
    <col min="2" max="2" width="36" bestFit="1" customWidth="1"/>
    <col min="3" max="3" width="12.6640625" bestFit="1" customWidth="1"/>
    <col min="4" max="4" width="14.109375" bestFit="1" customWidth="1"/>
    <col min="5" max="5" width="14.109375" customWidth="1"/>
    <col min="6" max="6" width="18.33203125" bestFit="1" customWidth="1"/>
    <col min="7" max="7" width="16.88671875" bestFit="1" customWidth="1"/>
    <col min="8" max="8" width="18.5546875" bestFit="1" customWidth="1"/>
    <col min="9" max="9" width="14.44140625" bestFit="1" customWidth="1"/>
    <col min="10" max="10" width="18.109375" bestFit="1" customWidth="1"/>
    <col min="11" max="11" width="15.5546875" bestFit="1" customWidth="1"/>
    <col min="12" max="12" width="18.88671875" bestFit="1" customWidth="1"/>
    <col min="13" max="13" width="15.88671875" bestFit="1" customWidth="1"/>
    <col min="14" max="14" width="14.44140625" bestFit="1" customWidth="1"/>
    <col min="15" max="15" width="20.44140625" bestFit="1" customWidth="1"/>
    <col min="16" max="16" width="18.88671875" bestFit="1" customWidth="1"/>
    <col min="17" max="17" width="38.44140625" bestFit="1" customWidth="1"/>
    <col min="18" max="18" width="7" bestFit="1" customWidth="1"/>
    <col min="19" max="19" width="22.5546875" bestFit="1" customWidth="1"/>
    <col min="20" max="20" width="19.5546875" bestFit="1" customWidth="1"/>
    <col min="21" max="21" width="19.109375" bestFit="1" customWidth="1"/>
    <col min="22" max="22" width="32.33203125" style="149" customWidth="1"/>
    <col min="23" max="23" width="23.33203125" style="149" customWidth="1"/>
    <col min="24" max="24" width="21.44140625" customWidth="1"/>
    <col min="25" max="25" width="15.109375" customWidth="1"/>
    <col min="26" max="26" width="16.33203125" customWidth="1"/>
    <col min="27" max="29" width="14.109375" customWidth="1"/>
    <col min="30" max="30" width="19" customWidth="1"/>
    <col min="31" max="31" width="18.109375" customWidth="1"/>
    <col min="32" max="32" width="19.5546875" customWidth="1"/>
    <col min="33" max="33" width="14.5546875" customWidth="1"/>
    <col min="34" max="34" width="22.88671875" style="149" customWidth="1"/>
    <col min="35" max="35" width="25.88671875" style="149" customWidth="1"/>
    <col min="36" max="36" width="16.88671875" style="149" customWidth="1"/>
    <col min="37" max="37" width="16.6640625" style="149" customWidth="1"/>
    <col min="38" max="38" width="22.5546875" style="149" customWidth="1"/>
    <col min="39" max="40" width="11.44140625" style="149" bestFit="1" customWidth="1"/>
    <col min="41" max="41" width="18.88671875" customWidth="1"/>
    <col min="42" max="42" width="20" customWidth="1"/>
    <col min="43" max="43" width="19" customWidth="1"/>
    <col min="44" max="44" width="32.44140625" customWidth="1"/>
    <col min="45" max="45" width="25.6640625" customWidth="1"/>
    <col min="46" max="46" width="26.109375" customWidth="1"/>
    <col min="47" max="49" width="22.109375" customWidth="1"/>
    <col min="50" max="50" width="32.33203125" customWidth="1"/>
    <col min="51" max="51" width="22.109375" customWidth="1"/>
    <col min="52" max="52" width="39.33203125" style="149" customWidth="1"/>
    <col min="53" max="53" width="28.6640625" style="149" customWidth="1"/>
    <col min="54" max="54" width="28.5546875" customWidth="1"/>
    <col min="55" max="55" width="22.109375" customWidth="1"/>
    <col min="56" max="56" width="20.44140625" customWidth="1"/>
    <col min="57" max="57" width="25" customWidth="1"/>
    <col min="58" max="59" width="16.88671875" customWidth="1"/>
    <col min="60" max="60" width="20.6640625" customWidth="1"/>
    <col min="61" max="61" width="48.6640625" customWidth="1"/>
    <col min="62" max="63" width="10.88671875" customWidth="1"/>
    <col min="64" max="64" width="25.33203125" customWidth="1"/>
    <col min="65" max="65" width="19" customWidth="1"/>
    <col min="66" max="66" width="17.33203125" customWidth="1"/>
    <col min="67" max="67" width="25" customWidth="1"/>
    <col min="68" max="68" width="18.33203125" customWidth="1"/>
    <col min="69" max="69" width="17" style="153" customWidth="1"/>
    <col min="70" max="70" width="50.5546875" customWidth="1"/>
    <col min="71" max="71" width="13.5546875" customWidth="1"/>
    <col min="72" max="73" width="19.88671875" style="153" customWidth="1"/>
    <col min="74" max="74" width="16.33203125" style="153" customWidth="1"/>
    <col min="75" max="75" width="14" style="153" customWidth="1"/>
    <col min="76" max="76" width="15.88671875" style="153" customWidth="1"/>
    <col min="77" max="77" width="17.6640625" style="153" customWidth="1"/>
    <col min="78" max="79" width="23" style="153" customWidth="1"/>
    <col min="80" max="80" width="34" style="149" customWidth="1"/>
    <col min="81" max="81" width="36.6640625" style="149" customWidth="1"/>
    <col min="82" max="96" width="31.5546875" style="149" customWidth="1"/>
    <col min="97" max="97" width="28.109375" style="149" customWidth="1"/>
    <col min="98" max="100" width="28.109375" style="153" customWidth="1"/>
    <col min="101" max="101" width="29.109375" customWidth="1"/>
    <col min="102" max="102" width="24.6640625" customWidth="1"/>
    <col min="103" max="103" width="14.5546875" customWidth="1"/>
    <col min="104" max="104" width="73" customWidth="1"/>
    <col min="105" max="105" width="32" customWidth="1"/>
    <col min="106" max="106" width="21.6640625" customWidth="1"/>
    <col min="107" max="107" width="13.109375" customWidth="1"/>
    <col min="108" max="108" width="24.88671875" customWidth="1"/>
    <col min="109" max="109" width="22.33203125" style="153" customWidth="1"/>
    <col min="110" max="111" width="20.88671875" style="153" customWidth="1"/>
    <col min="112" max="112" width="23" style="153" customWidth="1"/>
    <col min="113" max="114" width="20.88671875" customWidth="1"/>
    <col min="115" max="115" width="29.109375" style="149" customWidth="1"/>
    <col min="116" max="116" width="29.44140625" style="149" customWidth="1"/>
    <col min="117" max="117" width="18.88671875" style="153" customWidth="1"/>
    <col min="118" max="118" width="33.109375" customWidth="1"/>
    <col min="119" max="119" width="28.6640625" customWidth="1"/>
    <col min="120" max="120" width="30.109375" customWidth="1"/>
    <col min="121" max="121" width="64.6640625" customWidth="1"/>
    <col min="122" max="122" width="26.5546875" customWidth="1"/>
    <col min="123" max="123" width="39" customWidth="1"/>
    <col min="124" max="124" width="28.33203125" customWidth="1"/>
    <col min="125" max="125" width="27" customWidth="1"/>
    <col min="126" max="126" width="30.44140625" customWidth="1"/>
    <col min="127" max="127" width="30.5546875" style="153" customWidth="1"/>
    <col min="128" max="128" width="29.88671875" style="153" customWidth="1"/>
    <col min="129" max="130" width="27" style="153" customWidth="1"/>
    <col min="131" max="131" width="33.109375" style="149" customWidth="1"/>
    <col min="132" max="132" width="33.44140625" style="149" customWidth="1"/>
    <col min="133" max="133" width="29.109375" style="153" customWidth="1"/>
    <col min="134" max="135" width="26.33203125" style="153" customWidth="1"/>
    <col min="136" max="136" width="27.88671875" customWidth="1"/>
  </cols>
  <sheetData>
    <row r="1" spans="1:136" x14ac:dyDescent="0.3">
      <c r="A1" s="288" t="s">
        <v>107</v>
      </c>
      <c r="B1" s="289"/>
      <c r="C1" s="289"/>
      <c r="D1" s="289"/>
      <c r="E1" s="289"/>
      <c r="F1" s="289"/>
      <c r="G1" s="289"/>
      <c r="H1" s="289"/>
      <c r="I1" s="290"/>
    </row>
    <row r="2" spans="1:136" ht="15" thickBot="1" x14ac:dyDescent="0.35">
      <c r="A2" s="291"/>
      <c r="B2" s="292"/>
      <c r="C2" s="292"/>
      <c r="D2" s="292"/>
      <c r="E2" s="292"/>
      <c r="F2" s="292"/>
      <c r="G2" s="292"/>
      <c r="H2" s="292"/>
      <c r="I2" s="293"/>
    </row>
    <row r="3" spans="1:136" x14ac:dyDescent="0.3">
      <c r="A3" s="235"/>
      <c r="B3" s="235"/>
      <c r="C3" s="235"/>
      <c r="D3" s="235"/>
      <c r="E3" s="235"/>
      <c r="F3" s="235"/>
      <c r="G3" s="235"/>
      <c r="H3" s="235"/>
      <c r="I3" s="235"/>
    </row>
    <row r="4" spans="1:136" x14ac:dyDescent="0.3">
      <c r="A4" t="s">
        <v>108</v>
      </c>
      <c r="B4" t="s">
        <v>109</v>
      </c>
      <c r="C4" t="s">
        <v>110</v>
      </c>
      <c r="D4" t="s">
        <v>111</v>
      </c>
      <c r="E4" t="s">
        <v>112</v>
      </c>
      <c r="F4" t="s">
        <v>113</v>
      </c>
      <c r="G4" t="s">
        <v>114</v>
      </c>
      <c r="H4" t="s">
        <v>115</v>
      </c>
      <c r="I4" t="s">
        <v>116</v>
      </c>
      <c r="J4" t="s">
        <v>117</v>
      </c>
      <c r="K4" t="s">
        <v>118</v>
      </c>
      <c r="L4" t="s">
        <v>119</v>
      </c>
      <c r="M4" t="s">
        <v>120</v>
      </c>
      <c r="N4" t="s">
        <v>121</v>
      </c>
      <c r="O4" t="s">
        <v>122</v>
      </c>
      <c r="P4" t="s">
        <v>123</v>
      </c>
      <c r="Q4" t="s">
        <v>124</v>
      </c>
      <c r="R4" t="s">
        <v>125</v>
      </c>
      <c r="S4" t="s">
        <v>126</v>
      </c>
      <c r="T4" t="s">
        <v>127</v>
      </c>
      <c r="U4" t="s">
        <v>128</v>
      </c>
      <c r="V4" s="149" t="s">
        <v>129</v>
      </c>
      <c r="W4" s="149" t="s">
        <v>130</v>
      </c>
      <c r="X4" t="s">
        <v>131</v>
      </c>
      <c r="Y4" t="s">
        <v>132</v>
      </c>
      <c r="Z4" t="s">
        <v>133</v>
      </c>
      <c r="AA4" t="s">
        <v>134</v>
      </c>
      <c r="AB4" t="s">
        <v>135</v>
      </c>
      <c r="AC4" t="s">
        <v>136</v>
      </c>
      <c r="AD4" t="s">
        <v>137</v>
      </c>
      <c r="AE4" t="s">
        <v>138</v>
      </c>
      <c r="AF4" t="s">
        <v>139</v>
      </c>
      <c r="AG4" t="s">
        <v>140</v>
      </c>
      <c r="AH4" s="149" t="s">
        <v>141</v>
      </c>
      <c r="AI4" s="149" t="s">
        <v>142</v>
      </c>
      <c r="AJ4" s="149" t="s">
        <v>143</v>
      </c>
      <c r="AK4" s="149" t="s">
        <v>144</v>
      </c>
      <c r="AL4" s="149" t="s">
        <v>145</v>
      </c>
      <c r="AM4" s="149" t="s">
        <v>146</v>
      </c>
      <c r="AN4" s="149" t="s">
        <v>147</v>
      </c>
      <c r="AO4" t="s">
        <v>148</v>
      </c>
      <c r="AP4" t="s">
        <v>149</v>
      </c>
      <c r="AQ4" t="s">
        <v>150</v>
      </c>
      <c r="AR4" t="s">
        <v>151</v>
      </c>
      <c r="AS4" t="s">
        <v>152</v>
      </c>
      <c r="AT4" t="s">
        <v>153</v>
      </c>
      <c r="AU4" t="s">
        <v>154</v>
      </c>
      <c r="AV4" t="s">
        <v>155</v>
      </c>
      <c r="AW4" s="151" t="s">
        <v>156</v>
      </c>
      <c r="AX4" s="151" t="s">
        <v>157</v>
      </c>
      <c r="AY4" s="151" t="s">
        <v>158</v>
      </c>
      <c r="AZ4" s="147" t="s">
        <v>159</v>
      </c>
      <c r="BA4" s="147" t="s">
        <v>160</v>
      </c>
      <c r="BB4" s="147" t="s">
        <v>161</v>
      </c>
      <c r="BC4" s="148" t="s">
        <v>162</v>
      </c>
      <c r="BD4" s="148" t="s">
        <v>163</v>
      </c>
      <c r="BE4" s="148" t="s">
        <v>164</v>
      </c>
      <c r="BF4" s="148" t="s">
        <v>165</v>
      </c>
      <c r="BG4" s="148" t="s">
        <v>166</v>
      </c>
      <c r="BH4" s="148" t="s">
        <v>167</v>
      </c>
      <c r="BI4" s="148" t="s">
        <v>168</v>
      </c>
      <c r="BJ4" s="148" t="s">
        <v>169</v>
      </c>
      <c r="BK4" s="148" t="s">
        <v>170</v>
      </c>
      <c r="BL4" s="148" t="s">
        <v>171</v>
      </c>
      <c r="BM4" s="148" t="s">
        <v>172</v>
      </c>
      <c r="BN4" s="148" t="s">
        <v>173</v>
      </c>
      <c r="BO4" s="148" t="s">
        <v>174</v>
      </c>
      <c r="BP4" s="168" t="s">
        <v>175</v>
      </c>
      <c r="BQ4" s="148" t="s">
        <v>176</v>
      </c>
      <c r="BR4" s="148" t="s">
        <v>177</v>
      </c>
      <c r="BS4" s="168" t="s">
        <v>178</v>
      </c>
      <c r="BT4" s="168" t="s">
        <v>179</v>
      </c>
      <c r="BU4" s="168" t="s">
        <v>180</v>
      </c>
      <c r="BV4" s="168" t="s">
        <v>181</v>
      </c>
      <c r="BW4" s="168" t="s">
        <v>182</v>
      </c>
      <c r="BX4" s="168" t="s">
        <v>183</v>
      </c>
      <c r="BY4" s="168" t="s">
        <v>184</v>
      </c>
      <c r="BZ4" s="168" t="s">
        <v>185</v>
      </c>
      <c r="CA4" s="168" t="s">
        <v>186</v>
      </c>
      <c r="CB4" s="147" t="s">
        <v>187</v>
      </c>
      <c r="CC4" s="147" t="s">
        <v>188</v>
      </c>
      <c r="CD4" s="147" t="s">
        <v>189</v>
      </c>
      <c r="CE4" s="147" t="s">
        <v>190</v>
      </c>
      <c r="CF4" s="147" t="s">
        <v>191</v>
      </c>
      <c r="CG4" s="147" t="s">
        <v>192</v>
      </c>
      <c r="CH4" s="147" t="s">
        <v>193</v>
      </c>
      <c r="CI4" s="147" t="s">
        <v>194</v>
      </c>
      <c r="CJ4" s="147" t="s">
        <v>195</v>
      </c>
      <c r="CK4" s="147" t="s">
        <v>196</v>
      </c>
      <c r="CL4" s="147" t="s">
        <v>197</v>
      </c>
      <c r="CM4" s="147" t="s">
        <v>198</v>
      </c>
      <c r="CN4" s="168" t="s">
        <v>199</v>
      </c>
      <c r="CO4" s="168" t="s">
        <v>200</v>
      </c>
      <c r="CP4" s="168" t="s">
        <v>201</v>
      </c>
      <c r="CQ4" s="168" t="s">
        <v>202</v>
      </c>
      <c r="CR4" s="168" t="s">
        <v>203</v>
      </c>
      <c r="CS4" s="168" t="s">
        <v>204</v>
      </c>
      <c r="CT4" s="168" t="s">
        <v>205</v>
      </c>
      <c r="CU4" s="168" t="s">
        <v>206</v>
      </c>
      <c r="CV4" s="150" t="s">
        <v>207</v>
      </c>
      <c r="CW4" s="150" t="s">
        <v>208</v>
      </c>
      <c r="CX4" s="150" t="s">
        <v>209</v>
      </c>
      <c r="CY4" s="150" t="s">
        <v>210</v>
      </c>
      <c r="CZ4" s="150" t="s">
        <v>211</v>
      </c>
      <c r="DA4" s="150" t="s">
        <v>212</v>
      </c>
      <c r="DB4" s="150" t="s">
        <v>213</v>
      </c>
      <c r="DC4" s="150" t="s">
        <v>214</v>
      </c>
      <c r="DD4" s="170" t="s">
        <v>215</v>
      </c>
      <c r="DE4" s="170" t="s">
        <v>216</v>
      </c>
      <c r="DF4" s="170" t="s">
        <v>217</v>
      </c>
      <c r="DG4" s="170" t="s">
        <v>218</v>
      </c>
      <c r="DH4" s="150" t="s">
        <v>219</v>
      </c>
      <c r="DI4" s="169" t="s">
        <v>220</v>
      </c>
      <c r="DJ4" s="169" t="s">
        <v>221</v>
      </c>
      <c r="DK4" s="169" t="s">
        <v>222</v>
      </c>
      <c r="DL4" s="150" t="s">
        <v>223</v>
      </c>
      <c r="DM4" s="152" t="s">
        <v>224</v>
      </c>
      <c r="DN4" s="152" t="s">
        <v>225</v>
      </c>
      <c r="DO4" s="152" t="s">
        <v>226</v>
      </c>
      <c r="DP4" s="152" t="s">
        <v>227</v>
      </c>
      <c r="DQ4" s="152" t="s">
        <v>228</v>
      </c>
      <c r="DR4" s="152" t="s">
        <v>229</v>
      </c>
      <c r="DS4" s="152" t="s">
        <v>230</v>
      </c>
      <c r="DT4" s="152" t="s">
        <v>231</v>
      </c>
      <c r="DU4" s="152" t="s">
        <v>232</v>
      </c>
      <c r="DV4" s="172" t="s">
        <v>233</v>
      </c>
      <c r="DW4" s="172" t="s">
        <v>234</v>
      </c>
      <c r="DX4" s="172" t="s">
        <v>235</v>
      </c>
      <c r="DY4" s="171" t="s">
        <v>236</v>
      </c>
      <c r="DZ4" s="171" t="s">
        <v>237</v>
      </c>
      <c r="EA4" s="171" t="s">
        <v>238</v>
      </c>
      <c r="EB4" s="171" t="s">
        <v>239</v>
      </c>
      <c r="EC4" s="172" t="s">
        <v>240</v>
      </c>
      <c r="ED4" s="190" t="s">
        <v>241</v>
      </c>
      <c r="EE4" s="190" t="s">
        <v>242</v>
      </c>
      <c r="EF4" s="190" t="s">
        <v>243</v>
      </c>
    </row>
    <row r="5" spans="1:136" x14ac:dyDescent="0.3">
      <c r="G5" s="1"/>
      <c r="AF5" s="1"/>
      <c r="AT5" s="1"/>
      <c r="AW5" t="str">
        <f>IF(Table59[[#This Row],[Broker First Name]]="",_xlfn.CONCAT(Table59[[#This Row],[First Name]]," ",Table59[[#This Row],[Last Name]]),_xlfn.CONCAT(Table59[[#This Row],[Broker First Name]]," ",Table59[[#This Row],[Broker Last Name]]))</f>
        <v xml:space="preserve"> </v>
      </c>
      <c r="AX5">
        <f>IF(Table59[[#This Row],[Broker First Name]]="",Table59[[#This Row],[Email]],Table59[[#This Row],[Broker Email Address]])</f>
        <v>0</v>
      </c>
      <c r="AY5">
        <f>IF(Table59[[#This Row],[SM Loan Type]]="Purchase",MIN(Table59[[#This Row],[Purchase Price]],Table59[[#This Row],[AIV]]),IF(DATEDIF(Table59[[#This Row],[Acquisition Date]],Table59[[#This Row],[Object Create Date/Time]],"d")/30 &lt;= 6,MIN(Table59[[#This Row],[Purchase Price]],Table59[[#This Row],[AIV]]),Table59[[#This Row],[AIV]]))</f>
        <v>0</v>
      </c>
      <c r="AZ5" s="149">
        <f>IF(Table59[[#This Row],[Current State]]="CA",3000000,2000000)</f>
        <v>2000000</v>
      </c>
      <c r="BA5" s="149">
        <f>IF(Table59[[#This Row],[Borrower Experience - Number of Projects]]=0,75000,2000000)</f>
        <v>75000</v>
      </c>
      <c r="BB5" t="str">
        <f>IFERROR(IF(Table59[[#This Row],[AHL - MAX Loan Amount]]&lt;75000,"FALSE","TRUE"),"FALSE")</f>
        <v>TRUE</v>
      </c>
      <c r="BC5" t="str">
        <f>_xlfn.LET(
_xlpm.CTZ,Table59[[#This Row],[Us Citizen?]],
IF(_xlpm.CTZ="U.S. Citizen","TRUE",
IF(_xlpm.CTZ="U.S. Permanent Resident","TRUE",
IF(_xlpm.CTZ="Non-permanent Resident","TRUE",
IF(_xlpm.CTZ="Foreign National","FALSE","REVIEW")))))</f>
        <v>REVIEW</v>
      </c>
      <c r="BD5" t="str">
        <f>IFERROR(IF(Table59[[#This Row],[Cash Reserves]]&gt;=((((Table59[[#This Row],[AHL - MAX Loan Amount]])*Table59[[#This Row],[AHL - Rate]])/12)*6),"TRUE","FALSE"),"FALSE")</f>
        <v>FALSE</v>
      </c>
      <c r="BE5" t="str">
        <f>IF(
  ISNUMBER(MATCH(TRIM(Table59[[#This Row],[SM Property Type]]),{"Single Family","Duplex","Triplex","Fourplex","Warrantable Condo","Townhome","Planned Unit Development","Mobile Home","2 - 4 Unit"},0)),
  "TRUE","FALSE"
)</f>
        <v>FALSE</v>
      </c>
      <c r="BF5" t="str">
        <f>IF(Table59[[#This Row],[Pre-Rehab Sq. Ft.]]&gt;=(_xlfn.XLOOKUP(Table59[[#This Row],[SM Property Type]],'Data Validation'!$I$3:$I$12,'Data Validation'!$J$3:$J$12,0,0,1)),"TRUE","FALSE")</f>
        <v>TRUE</v>
      </c>
      <c r="BG5" t="str">
        <f>IF(Table59[[#This Row],[Fico]]&lt;620,"FAlSE","TRUE")</f>
        <v>FAlSE</v>
      </c>
      <c r="BH5" t="str">
        <f>_xlfn.LET(
_xlpm.ST,Table59[[#This Row],[Property State]],
IF(_xlpm.ST="ND","FALSE",IF(_xlpm.ST="SD","FALSE","TRUE")))</f>
        <v>TRUE</v>
      </c>
      <c r="BI5" t="e">
        <f>INDEX(Table1[],MATCH(Table59[[#This Row],[Property State]],Table1[StateFULL],0),MATCH("AHL_LicenseRequiredBusinessPurposeStates",Table1[#Headers],0))</f>
        <v>#N/A</v>
      </c>
      <c r="BJ5" t="str">
        <f>IF(OR(Table59[[#This Row],[AHL - State Availablility]]="FALSE",Table59[[#This Row],[AHL - Minimum sqft]]="FALSE",Table59[[#This Row],[AHL - Property Type Check]]="FALSE",Table59[[#This Row],[AHL - Eligible borrowers]]="FALSE",Table59[[#This Row],[AHL - Reserves]]="FALSE",Table59[[#This Row],[AHL - Minimum FICO]]="FALSE"),"FALSE","TRUE")</f>
        <v>FALSE</v>
      </c>
      <c r="BK5" t="e">
        <f>INDEX(Table1[],MATCH(Table59[[#This Row],[Property State]],Table1[StateFULL],0),MATCH("NJD/JD",Table1[#Headers],0))</f>
        <v>#N/A</v>
      </c>
      <c r="BL5" t="str">
        <f t="shared" ref="BL5" si="0">"No Franchise"</f>
        <v>No Franchise</v>
      </c>
      <c r="BM5" t="str">
        <f t="shared" ref="BM5" si="1">"Lender Funded"</f>
        <v>Lender Funded</v>
      </c>
      <c r="BN5" t="str" cm="1">
        <f t="array" ref="BN5">_xlfn.LET(
  _xlpm.xp, N(Table59[[#This Row],[Borrower Experience - Number of Projects]]),
  _xlfn.SWITCH(TRUE,
    _xlpm.xp&gt;=10, "&gt;= 10 Projects",
    _xlpm.xp&gt;=6,  "6-9 Projects",
    _xlpm.xp&gt;=3,  "3-5 Projects",
    _xlpm.xp=2,   "2 Projects",
    _xlpm.xp=1,   "1 Project",
           "0 Projects"
  )
)</f>
        <v>0 Projects</v>
      </c>
      <c r="BO5" t="str">
        <f>_xlfn.LET(
  _xlpm.fico, N(Table59[[#This Row],[Fico]]),
  _xlpm.xp,   N(Table59[[#This Row],[Borrower Experience - Number of Projects]]),
IF(_xlpm.xp=0,IF(_xlpm.fico&gt;=700,"700+",IF(_xlpm.fico&gt;=660,"660-699",IF(_xlpm.fico&gt;=640,"640-659",IF(_xlpm.fico&gt;=620,"620-639","ERROR")))),IF(_xlpm.fico&gt;=660,"660+",
IF(_xlpm.fico&gt;=640,"640-659",IF(_xlpm.fico&gt;=620,"620-639","ERROR"
       )
    )
  )
))</f>
        <v>ERROR</v>
      </c>
      <c r="BP5" s="153" t="e">
        <f>(Table59[[#This Row],[AHL - ARLTV]]*Table59[[#This Row],[ARV]])/(Table59[[#This Row],[Purchase Price]]+Table59[[#This Row],[Improvement Budget]])</f>
        <v>#DIV/0!</v>
      </c>
      <c r="BQ5" t="str" cm="1">
        <f t="array" ref="BQ5">_xlfn.LET(
  _xlpm.xp,   N(Table59[[#This Row],[Borrower Experience - Number of Projects]]),
  _xlpm.ltc,  N(Table59[[#This Row],[AHL - LTC Estimate]]),
  _xlpm.fico, N(Table59[[#This Row],[Fico]]),
       _xlfn.SWITCH(TRUE,
       _xlpm.xp&gt;=6, IF(_xlpm.ltc&gt;0.9,"93%", IF(_xlpm.ltc&gt;0.85,"90%","85%")),
       _xlpm.xp&gt;=3, IF(_xlpm.ltc&gt;0.85,"90%","85%"),
       _xlpm.xp&gt;=1, IF(_xlpm.ltc&gt;0.8,"85%","80%"),
       TRUE,  IF(_xlpm.fico&gt;=700,"85%", IF(_xlpm.fico&gt;=660,"80%","EXPERIENCE AND FICO TOO LOW"))
     )
  )</f>
        <v>EXPERIENCE AND FICO TOO LOW</v>
      </c>
      <c r="BR5" t="str">
        <f>_xlfn.CONCAT(Table59[[#This Row],[AHL - Franchise Type]],"| ",Table59[[#This Row],[AHL - Funding Type]],"| ",Table59[[#This Row],[AHL - Experience Category]],"| ",Table59[[#This Row],[AHL - FICO Category]],"| ",Table59[[#This Row],[AHL - LTC Category]])</f>
        <v>No Franchise| Lender Funded| 0 Projects| ERROR| EXPERIENCE AND FICO TOO LOW</v>
      </c>
      <c r="BS5" s="153" t="e">
        <f>INDEX(Table26[],MATCH(Table59[[#This Row],[AHL - Match Key]],Table26[Match Key],0),MATCH("LTC",Table26[#Headers],0))</f>
        <v>#N/A</v>
      </c>
      <c r="BT5" s="153">
        <f>_xlfn.LET(
  _xlpm.xp,    N(Table59[[#This Row],[Borrower Experience - Number of Projects]]),
  _xlpm.fico,  N(Table59[[#This Row],[Fico]]),
  _xlpm.st,    _xlfn.XLOOKUP(Table59[[#This Row],[Property State]], State!$B:$B, State!$C:$C, "", 0),
  _xlpm.isNJD, _xlpm.st="NJD",
        IF(_xlpm.isNJD,
        IF(_xlpm.xp&gt;=3,0.75, IF(_xlpm.xp&gt;=1,0.7, IF(_xlpm.fico&gt;=700,0.85,0.8))),
        IF(_xlpm.xp&gt;=1,0.7,0.65)
     )
  )</f>
        <v>0.65</v>
      </c>
      <c r="BU5" s="153" t="str">
        <f>IF(Table59[[#This Row],[AHL - Available Check]]="FALSE","",Table59[[#This Row],[AHL - ARLTV]])</f>
        <v/>
      </c>
      <c r="BV5" s="153" t="e">
        <f>INDEX(Table26[],MATCH(Table59[[#This Row],[AHL - Match Key]],Table26[Match Key],0),MATCH("Rate",Table26[#Headers],0))</f>
        <v>#N/A</v>
      </c>
      <c r="BW5" s="153" t="e">
        <f>INDEX(Table26[],MATCH(Table59[[#This Row],[AHL - Match Key]],Table26[Match Key],0),MATCH("Points",Table26[#Headers],0))</f>
        <v>#N/A</v>
      </c>
      <c r="BX5" s="153" t="e">
        <f>INDEX(Table26[],MATCH(Table59[[#This Row],[AHL - Match Key]],Table26[Match Key],0),MATCH("Exit Fee",Table26[#Headers],0))</f>
        <v>#N/A</v>
      </c>
      <c r="BY5" s="153" t="e">
        <f>INDEX(Table26[],MATCH(Table59[[#This Row],[AHL - Match Key]],Table26[Match Key],0),MATCH("Exit Fee Only",Table26[#Headers],0))</f>
        <v>#N/A</v>
      </c>
      <c r="BZ5" s="153" t="e">
        <f>INDEX(Table26[],MATCH(Table59[[#This Row],[AHL - Match Key]],Table26[Match Key],0),MATCH("0 Point Rate",Table26[#Headers],0))</f>
        <v>#N/A</v>
      </c>
      <c r="CA5" s="149" t="str">
        <f>_xlfn.LET(
_xlpm.isAvail,Table59[[#This Row],[AHL - Available Check]],
_xlpm.RB,Table59[[#This Row],[Improvement Budget]],
_xlpm.MaxRB,Table59[[#This Row],[AHL - MAX Renovation Budget]],
IF(_xlpm.isAvail="FALSE","N/A",IF(Table59[[#This Row],[AHL - ARLTV Pivot Display]]="","",IF(_xlpm.RB&gt;_xlpm.MaxRB,_xlpm.MaxRB,_xlpm.RB))))</f>
        <v>N/A</v>
      </c>
      <c r="CB5" s="149">
        <f>_xlfn.LET(
_xlpm.ARLTV, N(Table59[[#This Row],[AHL - ARLTV]]),
_xlpm.ARV, N(Table59[[#This Row],[ARV]]),
_xlpm.CaLA, N(Table59[[#This Row],[AHL - California Check Max Loan Amount]]),
IF((_xlpm.ARLTV*_xlpm.ARV)&gt;_xlpm.CaLA,_xlpm.CaLA,(_xlpm.ARLTV*_xlpm.ARV)))</f>
        <v>0</v>
      </c>
      <c r="CC5" s="149">
        <f>_xlfn.LET(
_xlpm.ARLTV, N(Table59[[#This Row],[AHL - Loan Amount (ARLTV calc)]]),
_xlpm.ARLTV)</f>
        <v>0</v>
      </c>
      <c r="CD5" s="149" t="str">
        <f>_xlfn.LET(
_xlpm.LAD,Table59[[#This Row],[AHL - Loan Amount Decider]],
IF(IF(AND(Table59[[#This Row],[Borrower Experience - Number of Projects]]=0,_xlpm.LAD&gt;500000),500000,_xlpm.LAD)&lt;75000,"",IF(AND(Table59[[#This Row],[Borrower Experience - Number of Projects]]=0,_xlpm.LAD&gt;500000),500000,_xlpm.LAD)))</f>
        <v/>
      </c>
      <c r="CE5" s="149" t="b">
        <f>IF(Table59[[#This Row],[Fico]]&gt;=660,"",IF(AND(Table59[[#This Row],[Fico]]&gt;=640,Table59[[#This Row],[Borrower Experience - Number of Projects]]&gt;=2),TRUE,IF(AND(Table59[[#This Row],[Fico]]&gt;=620,Table59[[#This Row],[Borrower Experience - Number of Projects]]&gt;=3),TRUE,FALSE)))</f>
        <v>0</v>
      </c>
      <c r="CF5" s="149" t="str">
        <f>_xlfn.LET(
_xlpm.CS,Table59[[#This Row],[Fico]],
_xlpm.ARLTV,Table59[[#This Row],[AHL - Loan Amount (ARLTV calc)]],
_xlpm.BE,Table59[[#This Row],[Borrower Experience - Number of Projects]],
_xlpm.IR,Table59[[#This Row],[AHL - Rate]],
_xlpm.CR,Table59[[#This Row],[Cash Reserves]],
IF(Table59[[#This Row],[Exception Check 1]]="","",
IF(Table59[[#This Row],[Exception Check 1]]=TRUE,
IF(_xlpm.CS&gt;=640,IF(_xlpm.BE&gt;=2,IF(_xlpm.CR&gt;=((((_xlpm.ARLTV)*_xlpm.IR)/12)*9),0,-0.05),"FALSE"),
IF(_xlpm.CS&gt;=620,IF(IF(_xlpm.BE&gt;=3,1,0)+IF(_xlpm.CR&gt;=((((_xlpm.ARLTV)*_xlpm.IR)/12)*6),1,0)=2,-0.1,"FALSE"),"FALSE")),"FALSE")))</f>
        <v>FALSE</v>
      </c>
      <c r="CG5" s="175" t="str">
        <f>IF(Table59[[#This Row],[Exception Reserve Check]]="","",IF(Table59[[#This Row],[Exception Reserve Check]]="FALSE","FALSE",Table59[[#This Row],[AHL - LTC]]+Table59[[#This Row],[Exception Reserve Check]]))</f>
        <v>FALSE</v>
      </c>
      <c r="CH5" s="149" t="str">
        <f>IF(Table59[[#This Row],[Exception LTC %]]="","",IF(Table59[[#This Row],[Exception LTC %]]="FALSE","FALSE",(Table59[[#This Row],[Exception LTC %]]*(Table59[[#This Row],[Purchase Price]]+Table59[[#This Row],[Improvement Budget]]))))</f>
        <v>FALSE</v>
      </c>
      <c r="CI5" s="149" t="str">
        <f>IF(Table59[[#This Row],[Exception LTC Amount]]="",Table59[[#This Row],[AHL - MAX Loan Amount]],IF(Table59[[#This Row],[Exception LTC Amount]]="FALSE","ERROR",Table59[[#This Row],[Exception LTC Amount]]))</f>
        <v>ERROR</v>
      </c>
      <c r="CJ5" s="153" t="e">
        <f>VALUE(IF(Table59[[#This Row],[Exception Reserve Check]]=-0.1,Table59[[#This Row],[Exception LTC %]],IF(Table59[[#This Row],[Exception Reserve Check]]=-0.05,Table59[[#This Row],[Exception LTC %]],Table59[[#This Row],[AHL - LTC Category]])))</f>
        <v>#VALUE!</v>
      </c>
      <c r="CK5" s="149" t="str" cm="1">
        <f t="array" ref="CK5">_xlfn.LET(
  _xlpm.xp,   N(Table59[[#This Row],[Borrower Experience - Number of Projects]]),
  _xlpm.ltc,  N(Table59[[#This Row],[AHL - LA w/ Exception]]/(Table59[[#This Row],[Purchase Price]]+Table59[[#This Row],[Improvement Budget]])),
  _xlpm.fico, N(Table59[[#This Row],[Fico]]),
IF(Table59[[#This Row],[Exception LTC Amount]]="FALSE","ERROR",
       _xlfn.SWITCH(TRUE,
       _xlpm.xp&gt;=6, IF(_xlpm.ltc&gt;0.9,"93%", IF(_xlpm.ltc&gt;0.85,"90%","85%")),
       _xlpm.xp&gt;=3, IF(_xlpm.ltc&gt;0.85,"90%","85%"),
       _xlpm.xp&gt;=1, IF(_xlpm.ltc&gt;0.8,"85%","80%"),
       TRUE,  IF(_xlpm.fico&gt;=700,"85%", IF(_xlpm.fico&gt;=660,"80%","EXPERIENCE AND FICO TOO LOW"))
     )
  ))</f>
        <v>ERROR</v>
      </c>
      <c r="CL5" s="153" t="str">
        <f>_xlfn.CONCAT(Table59[[#This Row],[AHL - Franchise Type]],"| ",Table59[[#This Row],[AHL - Funding Type]],"| ",Table59[[#This Row],[AHL - Experience Category]],"| ",Table59[[#This Row],[AHL - FICO Category]],"| ",Table59[[#This Row],[AHL - RE LTC Category]])</f>
        <v>No Franchise| Lender Funded| 0 Projects| ERROR| ERROR</v>
      </c>
      <c r="CM5" s="153"/>
      <c r="CN5" s="153" t="e">
        <f>INDEX(Table26[],MATCH(Table59[[#This Row],[Re Match Key]],Table26[Match Key],0),MATCH("RATE",Table26[#Headers],0))</f>
        <v>#N/A</v>
      </c>
      <c r="CO5" s="153" t="e">
        <f>INDEX(Table26[],MATCH(Table59[[#This Row],[Re Match Key]],Table26[Match Key],0),MATCH("Points",Table26[#Headers],0))</f>
        <v>#N/A</v>
      </c>
      <c r="CP5" s="153" t="e">
        <f>INDEX(Table26[],MATCH(Table59[[#This Row],[Re Match Key]],Table26[Match Key],0),MATCH("Exit Fee",Table26[#Headers],0))</f>
        <v>#N/A</v>
      </c>
      <c r="CQ5" s="153" t="e">
        <f>INDEX(Table26[],MATCH(Table59[[#This Row],[Re Match Key]],Table26[Match Key],0),MATCH("Exit Fee Only",Table26[#Headers],0))</f>
        <v>#N/A</v>
      </c>
      <c r="CR5" s="153" t="e">
        <f>INDEX(Table26[],MATCH(Table59[[#This Row],[Re Match Key]],Table26[Match Key],0),MATCH("0 Point Rate",Table26[#Headers],0))</f>
        <v>#N/A</v>
      </c>
      <c r="CS5" s="153" t="e">
        <f>(Table59[[#This Row],[AHL - LA w/ Exception]]-Table59[[#This Row],[Improvement Budget]])/Table59[[#This Row],[AIV]]</f>
        <v>#VALUE!</v>
      </c>
      <c r="CT5" s="153" t="e">
        <f>Table59[[#This Row],[AHL - LA w/ Exception]]/Table59[[#This Row],[ARV]]</f>
        <v>#VALUE!</v>
      </c>
      <c r="CU5" s="153" t="e">
        <f>Table59[[#This Row],[AHL - LA w/ Exception]]/(Table59[[#This Row],[Purchase Price]]+Table59[[#This Row],[Improvement Budget]])</f>
        <v>#VALUE!</v>
      </c>
      <c r="CV5" t="str">
        <f>_xlfn.LET(
  _xlpm.xp, N(Table59[[#This Row],[Borrower Experience - Number of Projects]]),
  IF(_xlpm.xp&lt;=2,"No Experience (0-2) ($0m)",
     IF(_xlpm.xp&lt;=9,"Experienced (3-9) ($5m)",
        "Institutional (10+) ($10m)")
  )
)</f>
        <v>No Experience (0-2) ($0m)</v>
      </c>
      <c r="CW5" t="str">
        <f>_xlfn.LET(_xlpm.pt,Table59[[#This Row],[Product Type]], _xlpm.hb,Table59[[#This Row],[Improvement Budget]], _xlpm.aiv,Table59[[#This Row],[Calculated AIV]],
IF(OR(_xlpm.pt="Bridge (No Rehab)", _xlpm.hb=0),"Bridge (No Rehab)",
IF(OR(_xlpm.pt="Fix and Flip (Rehab)", _xlpm.hb&gt;0),
   IF(_xlpm.hb&lt;_xlpm.aiv/2,"Fix and Flip (Light Rehab)","Fix and Flip (Heavy Rehab)"),
"")))</f>
        <v>Bridge (No Rehab)</v>
      </c>
      <c r="CX5" t="str">
        <f>_xlfn.LET(
  _xlpm.f, N(Table59[[#This Row],[Fico]]),
  IF(_xlpm.f&lt;660,"ERROR",
     IF(_xlpm.f&lt;680,"660 - 679",
        IF(_xlpm.f&lt;700,"680 - 699","&gt;=700")
     )
  )
)</f>
        <v>ERROR</v>
      </c>
      <c r="CY5" t="str">
        <f>_xlfn.LET(
  _xlpm.u, N(Table59[[#This Row],[Number of Units]]),
  IF(_xlpm.u&lt;=4,"&lt;=4 Units",
     IF(_xlpm.u&lt;20,"5-19 Units","ERROR")
  )
)</f>
        <v>&lt;=4 Units</v>
      </c>
      <c r="CZ5" t="str">
        <f>Table59[[#This Row],[Churchill - Experience Level]] &amp; "|" &amp; Table59[[#This Row],[Churchill - Project Type]] &amp; "|" &amp; Table59[[#This Row],[SM Loan Type]] &amp; "|" &amp; Table59[[#This Row],[Churchill - Credit Score]] &amp; "|" &amp; Table59[[#This Row],[Churchill - Number of Units2]]</f>
        <v>No Experience (0-2) ($0m)|Bridge (No Rehab)||ERROR|&lt;=4 Units</v>
      </c>
      <c r="DA5" t="str">
        <f>IF(OR(Table59[[#This Row],[SM Property Type]]="Mixed Use",Table59[[#This Row],[SM Property Type]]="Mobile Home"),"ERROR","")</f>
        <v/>
      </c>
      <c r="DB5" t="str">
        <f>IF(COUNTIFS('Data Validation'!$P$3:$P$15,Table59[[#This Row],[Property State]],'Data Validation'!$Q$3:$Q$15,Table59[[#This Row],[County]])=0,"","ERROR")</f>
        <v/>
      </c>
      <c r="DC5" t="b">
        <f>_xlfn.LET(
  _xlpm.key,  Table59[[#This Row],[Churchill - Match Key]]&amp;"",
  _xlpm.prop, Table59[[#This Row],[Churchill - propertyType_check]],
  _xlpm.msa,  Table59[[#This Row],[Churchill - msa_check]],
  _xlpm.rate, Table59[[#This Row],[Churchill - Adj Rate]],
  AND(
    ISERROR(SEARCH("ERROR", _xlpm.key)),
    _xlpm.prop&lt;&gt;"ERROR",
    _xlpm.msa&lt;&gt;"ERROR",
    _xlpm.rate&lt;&gt;"N/A",
    _xlpm.rate&lt;&gt;"ERROR"
  )
)</f>
        <v>0</v>
      </c>
      <c r="DD5" s="153" t="str">
        <f>_xlfn.XLOOKUP(Table59[[#This Row],[Churchill - Match Key]],ChurchillMatrix[Match Key],ChurchillMatrix[Max LTAIV],"ERROR",0,1)</f>
        <v>ERROR</v>
      </c>
      <c r="DE5" s="153" t="str">
        <f>_xlfn.XLOOKUP(Table59[[#This Row],[Churchill - Match Key]],ChurchillMatrix[Match Key],ChurchillMatrix[Max LTC],"ERROR",0,1)</f>
        <v>ERROR</v>
      </c>
      <c r="DF5" s="153" t="str">
        <f>_xlfn.XLOOKUP(Table59[[#This Row],[Churchill - Match Key]],ChurchillMatrix[Match Key],ChurchillMatrix[Max LTARV],"ERROR",0,1)</f>
        <v>ERROR</v>
      </c>
      <c r="DG5" s="153" t="str">
        <f>IFERROR(_xlfn.XLOOKUP(Table59[[#This Row],[Churchill - Match Key]],ChurchillMatrix[Match Key],ChurchillMatrix[Base Rate],"ERROR",0,1)/100,"ERROR")</f>
        <v>ERROR</v>
      </c>
      <c r="DH5" s="175" t="str">
        <f>IFERROR(_xlfn.XLOOKUP(Table59[[#This Row],[Churchill - Match Key]],ChurchillMatrix[Match Key],ChurchillMatrix[Adj Rate],"ERROR",0,1)/100,"ERROR")</f>
        <v>ERROR</v>
      </c>
      <c r="DI5" s="149" t="str">
        <f>IFERROR(MAX(MIN(Table59[[#This Row],[Churchill - Max LTAIV]]*Table59[[#This Row],[Calculated AIV]],Table59[[#This Row],[Churchill - Max Loan Amount]]-Table59[[#This Row],[Churchill - Financed Budget]]),125000),"N/A")</f>
        <v>N/A</v>
      </c>
      <c r="DJ5" s="149" t="str">
        <f>IF(OR(Table59[[#This Row],[Churchill - Adj Rate]]="ERROR",Table59[[#This Row],[Churchill - Adj Rate]]="N/A"),"",Table59[[#This Row],[Improvement Budget]])</f>
        <v/>
      </c>
      <c r="DK5" s="149" t="str">
        <f>_xlfn.LET(
  _xlpm.ltARV, Table59[[#This Row],[Churchill - Max LTARV]],
  _xlpm.ltAIV, N(Table59[[#This Row],[Churchill - Max LTAIV]]),
  _xlpm.ltc,   N(Table59[[#This Row],[Churchill - Max LTC]]),
  _xlpm.pp,    N(Table59[[#This Row],[Purchase Price]]),
  _xlpm.ib,    N(Table59[[#This Row],[Improvement Budget]]),
  _xlpm.aiv,   N(Table59[[#This Row],[Calculated AIV]]),
  _xlpm.arv,   N(Table59[[#This Row],[ARV]]),
  _xlpm.rate,  Table59[[#This Row],[Churchill - Adj Rate]],
  _xlpm.total, _xlpm.pp+_xlpm.ib,
  _xlpm.cap,   5000000,
  _xlpm.aivCap, _xlpm.ltAIV*_xlpm.aiv + _xlpm.ib,
  _xlpm.ltcCap, _xlpm.ltc*_xlpm.total,
  _xlpm.arvCap, IF(_xlpm.ltARV="N/A", 1E+99, N(_xlpm.ltARV)*_xlpm.arv),
  IF(_xlpm.rate="ERROR","", MIN(_xlpm.aivCap, _xlpm.arvCap, _xlpm.ltcCap, _xlpm.cap))
)</f>
        <v/>
      </c>
      <c r="DL5" t="str">
        <f>_xlfn.XLOOKUP(Table59[[#This Row],[Churchill - Match Key]],ChurchillMatrix[Match Key],ChurchillMatrix[Max Cash Out],"ERROR",0,1)</f>
        <v>ERROR</v>
      </c>
      <c r="DM5" t="str">
        <f>_xlfn.LET(
  _xlpm.xp, N(Table59[[#This Row],[Borrower Experience - Number of Projects]]),
  IF(_xlpm.xp=0,"ERROR",
     IF(_xlpm.xp&lt;=2,"Silver (1-2)",
        IF(_xlpm.xp&lt;=4,"Gold (3-4)","Platinum (5+)")
     )
  )
)</f>
        <v>ERROR</v>
      </c>
      <c r="DN5" t="str">
        <f>IF(OR(Table59[[#This Row],[Product Type]]="Bridge (No Rehab)",Table59[[#This Row],[Improvement Budget]]=0),"Bridge (No Rehab)",
IF(OR(AND(Table59[[#This Row],[Improvement Budget]]&gt;=(MIN(Table59[[#This Row],[Purchase Price]],Table59[[#This Row],[AIV]])/2),Table59[[#This Row],[Improvement Budget]]&gt;50000),((Table59[[#This Row],[Post-Rehab Sq. Ft.]]-Table59[[#This Row],[Pre-Rehab Sq. Ft.]])/Table59[[#This Row],[Pre-Rehab Sq. Ft.]])&gt;0.2),"Fix and Flip (Heavy Rehab)",IF(OR(AND(Table59[[#This Row],[Improvement Budget]]&gt;(Table59[[#This Row],[AIV]]*0.05),Table59[[#This Row],[Improvement Budget]]&lt;50000),Table59[[#This Row],[Improvement Budget]]&lt;=MIN(Table59[[#This Row],[Purchase Price]],Table59[[#This Row],[AIV]])/2),"Fix and Flip (Light Rehab)",IF(Table59[[#This Row],[Improvement Budget]]&gt;MIN(Table59[[#This Row],[AIV]],Table59[[#This Row],[Purchase Price]]),"ERROR","NA"))))</f>
        <v>Bridge (No Rehab)</v>
      </c>
      <c r="DO5" t="str">
        <f>_xlfn.LET(
  _xlpm.pt, TRIM(Table59[[#This Row],[SM Property Type]]),
  _xlpm.u,  N(Table59[[#This Row],[Number of Units]]),
  IF(OR(_xlpm.pt="Single Family", _xlpm.pt="Non-Warrantable Condo"),
     _xlpm.pt,
     IF(OR(ISNUMBER(MATCH(_xlpm.pt, {"Duplex","Triplex","Fourplex","2 - 4 Unit","Townhome","Warrantable Condo"}, 0)), _xlpm.u&lt;=4),
        "Other (2-4 Unit)",
        "ERROR"
     )
  )
)</f>
        <v>Other (2-4 Unit)</v>
      </c>
      <c r="DP5" t="str">
        <f>IF(Table59[[#This Row],[Fico]]&lt;680,"ERROR",IF(Table59[[#This Row],[Fico]]&lt;740,"680-739","740+"))</f>
        <v>ERROR</v>
      </c>
      <c r="DQ5" t="str">
        <f>Table59[[#This Row],[Constructive -  Experience Level]] &amp; "|" &amp; Table59[[#This Row],[Constructive -  Project Type]] &amp; "|" &amp; Table59[[#This Row],[SM Loan Type]] &amp; "|" &amp; Table59[[#This Row],[Constructive -  Dwelling Type]] &amp; "|" &amp; Table59[[#This Row],[Constructive -  Credit Score]]</f>
        <v>ERROR|Bridge (No Rehab)||Other (2-4 Unit)|ERROR</v>
      </c>
      <c r="DR5" t="str">
        <f>_xlfn.LET(
  _xlpm.u, N(Table59[[#This Row],[Number of Units]]),
  _xlpm.pt, Table59[[#This Row],[Product Type]],
  IF(AND(_xlpm.u&gt;1,_xlpm.u&lt;=4),
     _xlfn.LET(
       _xlpm.aivpu, Table59[[#This Row],[Calculated AIV]]/_xlpm.u,
       _xlpm.arvpu, Table59[[#This Row],[ARV]]/_xlpm.u,
       IF(_xlpm.pt="Bridge (No Rehab)",
          IF(_xlpm.aivpu&lt;50000,"ERROR",""),
          IF(OR(_xlpm.aivpu&lt;30000,_xlpm.arvpu&lt;50000),"ERROR","")
       )
     ),
     ""
  )
)</f>
        <v/>
      </c>
      <c r="DS5" t="str">
        <f>IF(ISNUMBER(MATCH(Table59[[#This Row],[Property State]],{"Alaska","North Dakota","South Dakota","Utah","Vermont"},0)),"ERROR",
   IF(Table59[[#This Row],[Property State]]="New York","New York",""))</f>
        <v/>
      </c>
      <c r="DT5" t="b">
        <f>NOT(OR(
    ISNUMBER(SEARCH("ERROR",Table59[[#This Row],[Constructive -  Match Key]])),
    Table59[[#This Row],[Constructive -  state_check]]="ERROR",
    Table59[[#This Row],[Constructive -  MinValuePerUnit_check]]="ERROR"
))</f>
        <v>0</v>
      </c>
      <c r="DU5" t="b">
        <f>IF(Table59[[#This Row],[Us Citizen?]]="Foreign National",TRUE,FALSE)</f>
        <v>0</v>
      </c>
      <c r="DV5" s="153" t="str">
        <f>IFERROR(_xlfn.LET(
  _xlpm.base, _xlfn.XLOOKUP(Table59[[#This Row],[Constructive -  Match Key]], ConstructiveMatrix[Match Key], ConstructiveMatrix[Max Initial LTC], ""),
  _xlpm.ny, Table59[[#This Row],[Constructive -  state_check]]="New York",
  _xlpm.fr, Table59[[#This Row],[Constructive -  Foreign_check]],
  _xlpm.adj, IF(_xlpm.ny, IF(_xlpm.fr, 0.2, 0.15), IF(_xlpm.fr, 0.05, 0)),
  _xlpm.base - _xlpm.adj
),"N/A")</f>
        <v>N/A</v>
      </c>
      <c r="DW5" s="153" t="str">
        <f>IFERROR(_xlfn.LET(
  _xlpm.base, _xlfn.XLOOKUP(Table59[[#This Row],[Constructive -  Match Key]], ConstructiveMatrix[Match Key], ConstructiveMatrix[Max Total LTC], ""),
  _xlpm.ny, Table59[[#This Row],[Constructive -  state_check]]="New York",
  _xlpm.fr, Table59[[#This Row],[Constructive -  Foreign_check]],
  _xlpm.adj, IF(_xlpm.ny, IF(_xlpm.fr, 0.2, 0.15), IF(_xlpm.fr, 0.05, 0)),
  _xlpm.base - _xlpm.adj
),"N/A")</f>
        <v>N/A</v>
      </c>
      <c r="DX5" s="153" t="str">
        <f>IFERROR(_xlfn.LET(
  _xlpm.base, _xlfn.XLOOKUP(Table59[[#This Row],[Constructive -  Match Key]], ConstructiveMatrix[Match Key], ConstructiveMatrix[Max LTARV], ""),
  _xlpm.ny, Table59[[#This Row],[Constructive -  state_check]]="New York",
  _xlpm.fr, Table59[[#This Row],[Constructive -  Foreign_check]],
  _xlpm.adj, IF(_xlpm.ny, IF(_xlpm.fr, 0.2, 0.15), IF(_xlpm.fr, 0.05, 0)),
  _xlpm.base - _xlpm.adj
),"N/A")</f>
        <v>N/A</v>
      </c>
      <c r="DY5" s="149" t="str">
        <f>IFERROR(MAX(MIN(Table59[[#This Row],[Constructive -  Max LTV]]*Table59[[#This Row],[Calculated AIV]],Table59[[#This Row],[Constructive -  Max Loan Amount]]-Table59[[#This Row],[Constructive -  Financed Budget]]),75000),"N/A")</f>
        <v>N/A</v>
      </c>
      <c r="DZ5" s="149" t="str">
        <f>IF(OR(Table59[[#This Row],[Constructive -  Max LTV]]="ERROR",Table59[[#This Row],[Constructive -  Max LTV]]="N/A"),"N/A",Table59[[#This Row],[Improvement Budget]])</f>
        <v>N/A</v>
      </c>
      <c r="EA5" s="149" t="str">
        <f>_xlfn.LET(
  _xlpm.ltv,   Table59[[#This Row],[Constructive -  Max LTV]],
  _xlpm.ltarv, Table59[[#This Row],[Constructive -  Max LTARV]],
  _xlpm.ltc,   Table59[[#This Row],[Constructive -  Max Total LTC]],
  _xlpm.aiv,   Table59[[#This Row],[Calculated AIV]],
  _xlpm.pp,    Table59[[#This Row],[Purchase Price]],
  _xlpm.ib,    Table59[[#This Row],[Improvement Budget]],
  _xlpm.arv,   Table59[[#This Row],[ARV]],
  _xlpm.cap,   2000000,
  _xlpm.total, _xlpm.pp+_xlpm.ib,
  _xlpm.ltvCap, _xlpm.ltv*_xlpm.aiv + _xlpm.ib,
  _xlpm.arvCap, IF(_xlpm.ltarv="N/A", 1E+99, _xlpm.ltarv*_xlpm.arv),
  _xlpm.ltcCap, IF(_xlpm.ltc="N/A",   1E+99, _xlpm.ltc*_xlpm.total),
  IFERROR(
    IF(AND(_xlpm.ltc="N/A", _xlpm.ltarv="N/A"),
       MIN(_xlpm.ltvCap, _xlpm.cap),
       MIN(_xlpm.ltvCap, _xlpm.arvCap, _xlpm.ltcCap, _xlpm.cap)
    ),
    "N/A"
  )
)</f>
        <v>N/A</v>
      </c>
      <c r="EB5" s="149" t="str">
        <f>IFERROR(_xlfn.LET(
  _xlpm.aiv,Table59[[#This Row],[Calculated AIV]],
  _xlpm.iLTC,Table59[[#This Row],[Constructive -  Max LTV]],
  _xlpm.tLTC,Table59[[#This Row],[Constructive -  Max Total LTC]],
  _xlpm.arv,Table59[[#This Row],[ARV]],
  _xlpm.ltarv,Table59[[#This Row],[Constructive -  Max LTARV]],
  _xlpm.pp,Table59[[#This Row],[Purchase Price]],
  _xlpm.hb,Table59[[#This Row],[Improvement Budget]],
  _xlpm.csd,Table59[[#This Row],[Cost of Improvement To Date]],
  _xlpm.base, IF(ISNUMBER(_xlpm.tLTC),
           MIN(_xlpm.aiv*_xlpm.iLTC, (_xlpm.pp+_xlpm.hb+_xlpm.csd)*_xlpm.tLTC, _xlpm.arv*_xlpm.ltarv),
           _xlpm.aiv*_xlpm.iLTC),
  MIN(_xlpm.base, 2500000)
),"N/A")</f>
        <v>N/A</v>
      </c>
      <c r="EC5" s="149" t="str">
        <f>_xlfn.LET(
  _xlpm.maxLTV,Table59[[#This Row],[Constructive -  Max LTV]],
  _xlpm.pt,Table59[[#This Row],[SM Property Type]],
  _xlpm.units,N(Table59[[#This Row],[Number of Units]]),
  _xlpm.isOther,AND(
    NOT(OR(_xlpm.pt="Single Family",_xlpm.pt="Non-Warrantable Condo")),
    OR(_xlpm.pt="Duplex",_xlpm.pt="Triplex",_xlpm.pt="Fourplex",_xlpm.pt="2 - 4 Unit",_xlpm.pt="Townhome",_xlpm.pt="Warrantable Condo",_xlpm.units&lt;=4)
  ),
  IF(_xlpm.maxLTV="N/A","N/A",IF(_xlpm.isOther,2495,1995))
)</f>
        <v>N/A</v>
      </c>
      <c r="ED5" s="153" t="str" cm="1">
        <f t="array" ref="ED5">_xlfn.LET(
  _xlpm.maxltv,Table59[[#This Row],[Constructive -  Max LTV]],
  _xlpm.loan,Table59[[#This Row],[SM Loan Type]],
  _xlpm.xp,Table59[[#This Row],[Constructive -  Experience Level]],
  IF(_xlpm.maxltv="N/A","N/A",
     _xlfn.LET(
       _xlpm.base, _xlfn.XLOOKUP(_xlpm.xp, {"Silver (1-2)","Gold (3-4)","Platinum (5+)"}, {0.1199,0.1149,0.1099}, ""),
       _xlpm.addr, _xlfn.XLOOKUP(_xlpm.loan, {"Rate and Term Refinance","Cash Out Refinance"}, {0.005,0.01}, 0),
       IF(_xlpm.base="","", _xlpm.base + _xlpm.addr)
     )
  )
)</f>
        <v>N/A</v>
      </c>
      <c r="EE5" s="153" t="str" cm="1">
        <f t="array" ref="EE5">_xlfn.LET(
  _xlpm.maxltv,Table59[[#This Row],[Constructive -  Max LTV]],
  _xlpm.loan,Table59[[#This Row],[SM Loan Type]],
  _xlpm.xp,Table59[[#This Row],[Constructive -  Experience Level]],
  IF(_xlpm.maxltv="N/A","N/A",
     _xlfn.LET(
       _xlpm.base, _xlfn.XLOOKUP(_xlpm.xp, {"Silver (1-2)","Gold (3-4)","Platinum (5+)"}, {0.1099,0.1049,0.0999}, ""),
       _xlpm.addr, _xlfn.XLOOKUP(_xlpm.loan, {"Rate and Term Refinance","Cash Out Refinance"}, {0.005,0.01}, 0),
       IF(_xlpm.base="","", _xlpm.base + _xlpm.addr)
     )
  )
)</f>
        <v>N/A</v>
      </c>
      <c r="EF5" s="153" t="str" cm="1">
        <f t="array" ref="EF5">_xlfn.LET(
  _xlpm.maxltv,Table59[[#This Row],[Constructive -  Max LTV]],
  _xlpm.loan,Table59[[#This Row],[SM Loan Type]],
  _xlpm.xp,Table59[[#This Row],[Constructive -  Experience Level]],
  IF(_xlpm.maxltv="N/A","N/A",
     _xlfn.LET(
       _xlpm.base, _xlfn.XLOOKUP(_xlpm.xp,{"Silver (1-2)","Gold (3-4)","Platinum (5+)"},{0.0999,0.0949,0.0875},""),
       _xlpm.addl, _xlfn.XLOOKUP(_xlpm.loan,{"Rate and Term Refinance","Cash Out Refinance"},{0.005,0.01},0),
       IF(_xlpm.base="","",_xlpm.base+_xlpm.addl)
     )
  )
)</f>
        <v>N/A</v>
      </c>
    </row>
    <row r="10" spans="1:136" x14ac:dyDescent="0.3">
      <c r="BS10" s="153"/>
      <c r="BW10" s="149"/>
      <c r="BX10" s="149"/>
      <c r="BY10" s="149"/>
      <c r="BZ10" s="149"/>
      <c r="CB10" s="153"/>
      <c r="CC10"/>
      <c r="CD10"/>
      <c r="CE10"/>
      <c r="CF10"/>
      <c r="CG10"/>
      <c r="CH10"/>
      <c r="CI10"/>
      <c r="CJ10"/>
      <c r="CK10"/>
      <c r="CL10"/>
      <c r="CM10"/>
      <c r="CN10"/>
      <c r="CO10"/>
      <c r="CP10"/>
      <c r="CQ10"/>
      <c r="CR10"/>
      <c r="CS10"/>
      <c r="CT10"/>
      <c r="CU10"/>
      <c r="CV10"/>
      <c r="CY10" s="153"/>
      <c r="CZ10" s="153"/>
      <c r="DA10" s="153"/>
      <c r="DB10" s="153"/>
      <c r="DE10" s="149"/>
      <c r="DF10" s="149"/>
      <c r="DG10"/>
      <c r="DH10" s="149"/>
      <c r="DI10" s="153"/>
      <c r="DJ10" s="153"/>
      <c r="DK10" s="153"/>
      <c r="DL10"/>
      <c r="DM10"/>
      <c r="DQ10" s="153"/>
      <c r="DR10" s="153"/>
      <c r="DS10" s="153"/>
      <c r="DT10" s="153"/>
      <c r="DU10" s="149"/>
      <c r="DV10" s="149"/>
      <c r="DW10" s="149"/>
      <c r="EA10" s="153"/>
      <c r="EB10" s="153"/>
      <c r="EC10"/>
      <c r="ED10"/>
      <c r="EE10"/>
    </row>
    <row r="11" spans="1:136" x14ac:dyDescent="0.3">
      <c r="BS11" s="153"/>
      <c r="BW11" s="149"/>
      <c r="BX11" s="149"/>
      <c r="BY11" s="149"/>
      <c r="BZ11" s="149"/>
      <c r="CB11" s="153"/>
      <c r="CC11"/>
      <c r="CD11"/>
      <c r="CE11"/>
      <c r="CF11"/>
      <c r="CG11"/>
      <c r="CH11"/>
      <c r="CI11"/>
      <c r="CJ11"/>
      <c r="CK11"/>
      <c r="CL11"/>
      <c r="CM11"/>
      <c r="CN11"/>
      <c r="CO11"/>
      <c r="CP11"/>
      <c r="CQ11"/>
      <c r="CR11"/>
      <c r="CS11"/>
      <c r="CT11"/>
      <c r="CU11"/>
      <c r="CV11"/>
      <c r="CY11" s="153"/>
      <c r="CZ11" s="153"/>
      <c r="DA11" s="153"/>
      <c r="DB11" s="153"/>
      <c r="DE11" s="149"/>
      <c r="DF11" s="149"/>
      <c r="DG11"/>
      <c r="DH11" s="149"/>
      <c r="DI11" s="153"/>
      <c r="DJ11" s="153"/>
      <c r="DK11" s="153"/>
      <c r="DL11"/>
      <c r="DM11"/>
      <c r="DQ11" s="153"/>
      <c r="DR11" s="153"/>
      <c r="DS11" s="153"/>
      <c r="DT11" s="153"/>
      <c r="DU11" s="149"/>
      <c r="DV11" s="149"/>
      <c r="DW11" s="149"/>
      <c r="EA11" s="153"/>
      <c r="EB11" s="153"/>
      <c r="EC11"/>
      <c r="ED11"/>
      <c r="EE11"/>
    </row>
    <row r="12" spans="1:136" x14ac:dyDescent="0.3">
      <c r="BS12" s="153"/>
      <c r="BW12" s="149"/>
      <c r="BX12" s="149"/>
      <c r="BY12" s="149"/>
      <c r="BZ12" s="149"/>
      <c r="CB12" s="153"/>
      <c r="CC12"/>
      <c r="CD12"/>
      <c r="CE12"/>
      <c r="CF12"/>
      <c r="CG12"/>
      <c r="CH12"/>
      <c r="CI12"/>
      <c r="CJ12"/>
      <c r="CK12"/>
      <c r="CL12"/>
      <c r="CM12"/>
      <c r="CN12"/>
      <c r="CO12"/>
      <c r="CP12"/>
      <c r="CQ12"/>
      <c r="CR12"/>
      <c r="CS12"/>
      <c r="CT12"/>
      <c r="CU12"/>
      <c r="CV12"/>
      <c r="CY12" s="153"/>
      <c r="CZ12" s="153"/>
      <c r="DA12" s="153"/>
      <c r="DB12" s="153"/>
      <c r="DE12" s="149"/>
      <c r="DF12" s="149"/>
      <c r="DG12"/>
      <c r="DH12" s="149"/>
      <c r="DI12" s="153"/>
      <c r="DJ12" s="153"/>
      <c r="DK12" s="153"/>
      <c r="DL12"/>
      <c r="DM12"/>
      <c r="DQ12" s="153"/>
      <c r="DR12" s="153"/>
      <c r="DS12" s="153"/>
      <c r="DT12" s="153"/>
      <c r="DU12" s="149"/>
      <c r="DV12" s="149"/>
      <c r="DW12" s="149"/>
      <c r="EA12" s="153"/>
      <c r="EB12" s="153"/>
      <c r="EC12"/>
      <c r="ED12"/>
      <c r="EE12"/>
    </row>
    <row r="13" spans="1:136" x14ac:dyDescent="0.3">
      <c r="BS13" s="153"/>
      <c r="BW13" s="149"/>
      <c r="BX13" s="149"/>
      <c r="BY13" s="149"/>
      <c r="BZ13" s="149"/>
      <c r="CB13" s="153"/>
      <c r="CC13"/>
      <c r="CD13"/>
      <c r="CE13"/>
      <c r="CF13"/>
      <c r="CG13"/>
      <c r="CH13"/>
      <c r="CI13"/>
      <c r="CJ13"/>
      <c r="CK13"/>
      <c r="CL13"/>
      <c r="CM13"/>
      <c r="CN13"/>
      <c r="CO13"/>
      <c r="CP13"/>
      <c r="CQ13"/>
      <c r="CR13"/>
      <c r="CS13"/>
      <c r="CT13"/>
      <c r="CU13"/>
      <c r="CV13"/>
      <c r="CY13" s="153"/>
      <c r="CZ13" s="153"/>
      <c r="DA13" s="153"/>
      <c r="DB13" s="153"/>
      <c r="DE13" s="149"/>
      <c r="DF13" s="149"/>
      <c r="DG13"/>
      <c r="DH13" s="149"/>
      <c r="DI13" s="153"/>
      <c r="DJ13" s="153"/>
      <c r="DK13" s="153"/>
      <c r="DL13"/>
      <c r="DM13"/>
      <c r="DQ13" s="153"/>
      <c r="DR13" s="153"/>
      <c r="DS13" s="153"/>
      <c r="DT13" s="153"/>
      <c r="DU13" s="149"/>
      <c r="DV13" s="149"/>
      <c r="DW13" s="149"/>
      <c r="EA13" s="153"/>
      <c r="EB13" s="153"/>
      <c r="EC13"/>
      <c r="ED13"/>
      <c r="EE13"/>
    </row>
    <row r="14" spans="1:136" x14ac:dyDescent="0.3">
      <c r="BS14" s="153"/>
      <c r="BW14" s="149"/>
      <c r="BX14" s="149"/>
      <c r="BY14" s="149"/>
      <c r="BZ14" s="149"/>
      <c r="CB14" s="153"/>
      <c r="CC14"/>
      <c r="CD14"/>
      <c r="CE14"/>
      <c r="CF14"/>
      <c r="CG14"/>
      <c r="CH14"/>
      <c r="CI14"/>
      <c r="CJ14"/>
      <c r="CK14"/>
      <c r="CL14"/>
      <c r="CM14"/>
      <c r="CN14"/>
      <c r="CO14"/>
      <c r="CP14"/>
      <c r="CQ14"/>
      <c r="CR14"/>
      <c r="CS14"/>
      <c r="CT14"/>
      <c r="CU14"/>
      <c r="CV14"/>
      <c r="CY14" s="153"/>
      <c r="CZ14" s="153"/>
      <c r="DA14" s="153"/>
      <c r="DB14" s="153"/>
      <c r="DE14" s="149"/>
      <c r="DF14" s="149"/>
      <c r="DG14"/>
      <c r="DH14" s="149"/>
      <c r="DI14" s="153"/>
      <c r="DJ14" s="153"/>
      <c r="DK14" s="153"/>
      <c r="DL14"/>
      <c r="DM14"/>
      <c r="DQ14" s="153"/>
      <c r="DR14" s="153"/>
      <c r="DS14" s="153"/>
      <c r="DT14" s="153"/>
      <c r="DU14" s="149"/>
      <c r="DV14" s="149"/>
      <c r="DW14" s="149"/>
      <c r="EA14" s="153"/>
      <c r="EB14" s="153"/>
      <c r="EC14"/>
      <c r="ED14"/>
      <c r="EE14"/>
    </row>
    <row r="15" spans="1:136" x14ac:dyDescent="0.3">
      <c r="BS15" s="153"/>
      <c r="BW15" s="149"/>
      <c r="BX15" s="149"/>
      <c r="BY15" s="149"/>
      <c r="BZ15" s="149"/>
      <c r="CB15" s="153"/>
      <c r="CC15"/>
      <c r="CD15"/>
      <c r="CE15"/>
      <c r="CF15"/>
      <c r="CG15"/>
      <c r="CH15"/>
      <c r="CI15"/>
      <c r="CJ15"/>
      <c r="CK15"/>
      <c r="CL15"/>
      <c r="CM15"/>
      <c r="CN15"/>
      <c r="CO15"/>
      <c r="CP15"/>
      <c r="CQ15"/>
      <c r="CR15"/>
      <c r="CS15"/>
      <c r="CT15"/>
      <c r="CU15"/>
      <c r="CV15"/>
      <c r="CY15" s="153"/>
      <c r="CZ15" s="153"/>
      <c r="DA15" s="153"/>
      <c r="DB15" s="153"/>
      <c r="DE15" s="149"/>
      <c r="DF15" s="149"/>
      <c r="DG15"/>
      <c r="DH15" s="149"/>
      <c r="DI15" s="153"/>
      <c r="DJ15" s="153"/>
      <c r="DK15" s="153"/>
      <c r="DL15"/>
      <c r="DM15"/>
      <c r="DQ15" s="153"/>
      <c r="DR15" s="153"/>
      <c r="DS15" s="153"/>
      <c r="DT15" s="153"/>
      <c r="DU15" s="149"/>
      <c r="DV15" s="149"/>
      <c r="DW15" s="149"/>
      <c r="EA15" s="153"/>
      <c r="EB15" s="153"/>
      <c r="EC15"/>
      <c r="ED15"/>
      <c r="EE15"/>
    </row>
    <row r="16" spans="1:136" x14ac:dyDescent="0.3">
      <c r="BS16" s="153"/>
      <c r="BW16" s="149"/>
      <c r="BX16" s="149"/>
      <c r="BY16" s="149"/>
      <c r="BZ16" s="149"/>
      <c r="CB16" s="153"/>
      <c r="CC16"/>
      <c r="CD16"/>
      <c r="CE16"/>
      <c r="CF16"/>
      <c r="CG16"/>
      <c r="CH16"/>
      <c r="CI16"/>
      <c r="CJ16"/>
      <c r="CK16"/>
      <c r="CL16"/>
      <c r="CM16"/>
      <c r="CN16"/>
      <c r="CO16"/>
      <c r="CP16"/>
      <c r="CQ16"/>
      <c r="CR16"/>
      <c r="CS16"/>
      <c r="CT16"/>
      <c r="CU16"/>
      <c r="CV16"/>
      <c r="CY16" s="153"/>
      <c r="CZ16" s="153"/>
      <c r="DA16" s="153"/>
      <c r="DB16" s="153"/>
      <c r="DE16" s="149"/>
      <c r="DF16" s="149"/>
      <c r="DG16"/>
      <c r="DH16" s="149"/>
      <c r="DI16" s="153"/>
      <c r="DJ16" s="153"/>
      <c r="DK16" s="153"/>
      <c r="DL16"/>
      <c r="DM16"/>
      <c r="DQ16" s="153"/>
      <c r="DR16" s="153"/>
      <c r="DS16" s="153"/>
      <c r="DT16" s="153"/>
      <c r="DU16" s="149"/>
      <c r="DV16" s="149"/>
      <c r="DW16" s="149"/>
      <c r="EA16" s="153"/>
      <c r="EB16" s="153"/>
      <c r="EC16"/>
      <c r="ED16"/>
      <c r="EE16"/>
    </row>
    <row r="17" spans="71:135" x14ac:dyDescent="0.3">
      <c r="BS17" s="153"/>
      <c r="BW17" s="149"/>
      <c r="BX17" s="149"/>
      <c r="BY17" s="149"/>
      <c r="BZ17" s="149"/>
      <c r="CB17" s="153"/>
      <c r="CC17"/>
      <c r="CD17"/>
      <c r="CE17"/>
      <c r="CF17"/>
      <c r="CG17"/>
      <c r="CH17"/>
      <c r="CI17"/>
      <c r="CJ17"/>
      <c r="CK17"/>
      <c r="CL17"/>
      <c r="CM17"/>
      <c r="CN17"/>
      <c r="CO17"/>
      <c r="CP17"/>
      <c r="CQ17"/>
      <c r="CR17"/>
      <c r="CS17"/>
      <c r="CT17"/>
      <c r="CU17"/>
      <c r="CV17"/>
      <c r="CY17" s="153"/>
      <c r="CZ17" s="153"/>
      <c r="DA17" s="153"/>
      <c r="DB17" s="153"/>
      <c r="DE17" s="149"/>
      <c r="DF17" s="149"/>
      <c r="DG17"/>
      <c r="DH17" s="149"/>
      <c r="DI17" s="153"/>
      <c r="DJ17" s="153"/>
      <c r="DK17" s="153"/>
      <c r="DL17"/>
      <c r="DM17"/>
      <c r="DQ17" s="153"/>
      <c r="DR17" s="153"/>
      <c r="DS17" s="153"/>
      <c r="DT17" s="153"/>
      <c r="DU17" s="149"/>
      <c r="DV17" s="149"/>
      <c r="DW17" s="149"/>
      <c r="EA17" s="153"/>
      <c r="EB17" s="153"/>
      <c r="EC17"/>
      <c r="ED17"/>
      <c r="EE17"/>
    </row>
  </sheetData>
  <mergeCells count="1">
    <mergeCell ref="A1:I2"/>
  </mergeCells>
  <phoneticPr fontId="20"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13C6-1B28-45D8-9BBC-EE2B162B957F}">
  <dimension ref="A1:BC163"/>
  <sheetViews>
    <sheetView topLeftCell="AD1" workbookViewId="0">
      <pane ySplit="1" topLeftCell="A2" activePane="bottomLeft" state="frozen"/>
      <selection activeCell="O1" sqref="O1"/>
      <selection pane="bottomLeft" activeCell="AO1" sqref="AO1"/>
    </sheetView>
  </sheetViews>
  <sheetFormatPr defaultRowHeight="14.4" x14ac:dyDescent="0.3"/>
  <cols>
    <col min="1" max="1" width="23.5546875" bestFit="1" customWidth="1"/>
    <col min="2" max="2" width="22.33203125" bestFit="1" customWidth="1"/>
    <col min="3" max="3" width="18.6640625" bestFit="1" customWidth="1"/>
    <col min="4" max="4" width="11.44140625" bestFit="1" customWidth="1"/>
    <col min="5" max="5" width="16.33203125" bestFit="1" customWidth="1"/>
    <col min="6" max="6" width="15.88671875" bestFit="1" customWidth="1"/>
    <col min="7" max="7" width="10.5546875" customWidth="1"/>
    <col min="8" max="8" width="12.6640625" customWidth="1"/>
    <col min="9" max="9" width="12" customWidth="1"/>
    <col min="10" max="10" width="16" customWidth="1"/>
    <col min="11" max="11" width="10.5546875" customWidth="1"/>
    <col min="12" max="12" width="18.5546875" customWidth="1"/>
    <col min="13" max="13" width="18.88671875" customWidth="1"/>
    <col min="14" max="14" width="15.44140625" customWidth="1"/>
    <col min="15" max="15" width="90.109375" style="140" bestFit="1" customWidth="1"/>
    <col min="18" max="18" width="25.33203125" bestFit="1" customWidth="1"/>
    <col min="19" max="19" width="24.44140625" bestFit="1" customWidth="1"/>
    <col min="20" max="20" width="23.109375" bestFit="1" customWidth="1"/>
    <col min="21" max="21" width="23" bestFit="1" customWidth="1"/>
    <col min="22" max="22" width="11.44140625" bestFit="1" customWidth="1"/>
    <col min="23" max="23" width="15.88671875" bestFit="1" customWidth="1"/>
    <col min="24" max="24" width="15.109375" bestFit="1" customWidth="1"/>
    <col min="25" max="25" width="16.5546875" bestFit="1" customWidth="1"/>
    <col min="26" max="26" width="14.88671875" bestFit="1" customWidth="1"/>
    <col min="27" max="28" width="15.109375" bestFit="1" customWidth="1"/>
    <col min="29" max="29" width="18.44140625" bestFit="1" customWidth="1"/>
    <col min="30" max="30" width="83.44140625" bestFit="1" customWidth="1"/>
    <col min="33" max="33" width="16.88671875" bestFit="1" customWidth="1"/>
    <col min="34" max="34" width="15.109375" bestFit="1" customWidth="1"/>
    <col min="35" max="35" width="15.6640625" bestFit="1" customWidth="1"/>
    <col min="36" max="36" width="10" bestFit="1" customWidth="1"/>
    <col min="37" max="37" width="55.109375" bestFit="1" customWidth="1"/>
    <col min="38" max="38" width="9" bestFit="1" customWidth="1"/>
    <col min="39" max="39" width="15.44140625" bestFit="1" customWidth="1"/>
    <col min="40" max="40" width="14" bestFit="1" customWidth="1"/>
    <col min="41" max="41" width="9.6640625" bestFit="1" customWidth="1"/>
    <col min="42" max="42" width="11.33203125" bestFit="1" customWidth="1"/>
    <col min="43" max="43" width="12.6640625" bestFit="1" customWidth="1"/>
    <col min="44" max="44" width="17.33203125" bestFit="1" customWidth="1"/>
    <col min="45" max="45" width="16.33203125" bestFit="1" customWidth="1"/>
    <col min="46" max="46" width="27" bestFit="1" customWidth="1"/>
    <col min="47" max="47" width="21.109375" bestFit="1" customWidth="1"/>
    <col min="48" max="48" width="21.44140625" bestFit="1" customWidth="1"/>
    <col min="49" max="49" width="16.88671875" bestFit="1" customWidth="1"/>
    <col min="50" max="50" width="17.109375" bestFit="1" customWidth="1"/>
    <col min="51" max="51" width="12.44140625" bestFit="1" customWidth="1"/>
    <col min="52" max="52" width="19.33203125" bestFit="1" customWidth="1"/>
    <col min="53" max="53" width="21" bestFit="1" customWidth="1"/>
    <col min="54" max="54" width="40.5546875" bestFit="1" customWidth="1"/>
    <col min="55" max="55" width="31.33203125" bestFit="1" customWidth="1"/>
  </cols>
  <sheetData>
    <row r="1" spans="1:55" s="13" customFormat="1" ht="29.4" thickBot="1" x14ac:dyDescent="0.35">
      <c r="A1" s="3" t="s">
        <v>260</v>
      </c>
      <c r="B1" s="4" t="s">
        <v>261</v>
      </c>
      <c r="C1" s="5" t="s">
        <v>262</v>
      </c>
      <c r="D1" s="6" t="s">
        <v>263</v>
      </c>
      <c r="E1" s="7" t="s">
        <v>138</v>
      </c>
      <c r="F1" s="8" t="s">
        <v>264</v>
      </c>
      <c r="G1" s="8" t="s">
        <v>265</v>
      </c>
      <c r="H1" s="8" t="s">
        <v>266</v>
      </c>
      <c r="I1" s="9" t="s">
        <v>267</v>
      </c>
      <c r="J1" s="9" t="s">
        <v>268</v>
      </c>
      <c r="K1" s="9" t="s">
        <v>269</v>
      </c>
      <c r="L1" s="10" t="s">
        <v>270</v>
      </c>
      <c r="M1" s="11" t="s">
        <v>271</v>
      </c>
      <c r="N1" s="10" t="s">
        <v>272</v>
      </c>
      <c r="O1" s="12" t="s">
        <v>273</v>
      </c>
      <c r="R1" s="10" t="s">
        <v>274</v>
      </c>
      <c r="S1" s="10" t="s">
        <v>261</v>
      </c>
      <c r="T1" s="10" t="s">
        <v>262</v>
      </c>
      <c r="U1" s="10" t="s">
        <v>275</v>
      </c>
      <c r="V1" s="10" t="s">
        <v>263</v>
      </c>
      <c r="W1" s="8" t="s">
        <v>276</v>
      </c>
      <c r="X1" s="8" t="s">
        <v>277</v>
      </c>
      <c r="Y1" s="8" t="s">
        <v>266</v>
      </c>
      <c r="Z1" s="14" t="s">
        <v>270</v>
      </c>
      <c r="AA1" s="15" t="s">
        <v>271</v>
      </c>
      <c r="AB1" s="14" t="s">
        <v>278</v>
      </c>
      <c r="AC1" s="16" t="s">
        <v>279</v>
      </c>
      <c r="AD1" s="17" t="s">
        <v>273</v>
      </c>
      <c r="AG1" s="18" t="s">
        <v>280</v>
      </c>
      <c r="AH1" s="19" t="s">
        <v>281</v>
      </c>
      <c r="AI1" s="20" t="s">
        <v>282</v>
      </c>
      <c r="AJ1" s="20" t="s">
        <v>263</v>
      </c>
      <c r="AK1" s="21" t="s">
        <v>273</v>
      </c>
      <c r="AL1" s="20" t="s">
        <v>283</v>
      </c>
      <c r="AM1" s="20" t="s">
        <v>284</v>
      </c>
      <c r="AN1" s="20" t="s">
        <v>285</v>
      </c>
      <c r="AO1" s="20" t="s">
        <v>286</v>
      </c>
      <c r="AP1" s="22" t="s">
        <v>287</v>
      </c>
      <c r="AQ1" s="22" t="s">
        <v>288</v>
      </c>
      <c r="AR1" s="22" t="s">
        <v>289</v>
      </c>
      <c r="AS1" s="22" t="s">
        <v>290</v>
      </c>
      <c r="AT1" s="23" t="s">
        <v>291</v>
      </c>
      <c r="AU1" s="23" t="s">
        <v>270</v>
      </c>
      <c r="AV1" s="23" t="s">
        <v>271</v>
      </c>
      <c r="AW1" s="23" t="s">
        <v>292</v>
      </c>
      <c r="AX1" s="23" t="s">
        <v>293</v>
      </c>
      <c r="AY1" s="23" t="s">
        <v>294</v>
      </c>
      <c r="AZ1" s="24" t="s">
        <v>295</v>
      </c>
      <c r="BA1" s="22" t="s">
        <v>296</v>
      </c>
      <c r="BB1" s="22" t="s">
        <v>297</v>
      </c>
      <c r="BC1" s="24" t="s">
        <v>298</v>
      </c>
    </row>
    <row r="2" spans="1:55" x14ac:dyDescent="0.3">
      <c r="A2" s="25" t="s">
        <v>299</v>
      </c>
      <c r="B2" s="26" t="s">
        <v>300</v>
      </c>
      <c r="C2" s="27" t="s">
        <v>251</v>
      </c>
      <c r="D2" s="28" t="s">
        <v>301</v>
      </c>
      <c r="E2" s="29" t="s">
        <v>302</v>
      </c>
      <c r="F2" s="30">
        <v>0.9</v>
      </c>
      <c r="G2" s="30">
        <v>0.95</v>
      </c>
      <c r="H2" s="31">
        <v>0.75</v>
      </c>
      <c r="I2" s="32">
        <v>8.75</v>
      </c>
      <c r="J2" s="32">
        <v>0.25</v>
      </c>
      <c r="K2" s="32">
        <f>I2+J2</f>
        <v>9</v>
      </c>
      <c r="L2" s="33">
        <v>125000</v>
      </c>
      <c r="M2" s="34">
        <v>5000000</v>
      </c>
      <c r="N2" s="33" t="s">
        <v>303</v>
      </c>
      <c r="O2" s="35" t="str">
        <f>ChurchillMatrix[[#This Row],[Experience Level]] &amp; "|" &amp; ChurchillMatrix[[#This Row],[Project Type]] &amp; "|" &amp; ChurchillMatrix[[#This Row],[Loan Type]] &amp; "|" &amp; ChurchillMatrix[[#This Row],[FICO]] &amp; "|" &amp; ChurchillMatrix[[#This Row],[Number of Units]]</f>
        <v>Institutional (10+) ($10m)|Fix and Flip (Light Rehab)|Purchase|660 - 679|&lt;=4 Units</v>
      </c>
      <c r="R2" s="36" t="s">
        <v>304</v>
      </c>
      <c r="S2" s="26" t="s">
        <v>255</v>
      </c>
      <c r="T2" s="27" t="s">
        <v>251</v>
      </c>
      <c r="U2" s="37" t="s">
        <v>250</v>
      </c>
      <c r="V2" s="38" t="s">
        <v>305</v>
      </c>
      <c r="W2" s="39">
        <v>0.75</v>
      </c>
      <c r="X2" s="39" t="s">
        <v>303</v>
      </c>
      <c r="Y2" s="39" t="s">
        <v>303</v>
      </c>
      <c r="Z2" s="40">
        <v>100000</v>
      </c>
      <c r="AA2" s="41">
        <v>2500000</v>
      </c>
      <c r="AB2" s="40">
        <v>50000</v>
      </c>
      <c r="AC2" s="42" t="s">
        <v>303</v>
      </c>
      <c r="AD2" s="43" t="str">
        <f>ConstructiveMatrix[[#This Row],[Borrower Experience]] &amp; "|" &amp; ConstructiveMatrix[[#This Row],[Project Type]] &amp; "|" &amp; ConstructiveMatrix[[#This Row],[Loan Type]] &amp; "|" &amp; ConstructiveMatrix[[#This Row],[Dwelling Type]] &amp; "|" &amp; ConstructiveMatrix[[#This Row],[FICO]]</f>
        <v>Platinum (5+)|Bridge (No Rehab)|Purchase|Single Family|680-739</v>
      </c>
      <c r="AG2" s="44" t="s">
        <v>306</v>
      </c>
      <c r="AH2" s="45" t="s">
        <v>307</v>
      </c>
      <c r="AI2" s="45" t="s">
        <v>308</v>
      </c>
      <c r="AJ2" s="46" t="s">
        <v>309</v>
      </c>
      <c r="AK2" s="46" t="str">
        <f t="shared" ref="AK2:AK41" si="0">_xlfn.CONCAT(AG2,"| ",AH2,"| ",AI2,"| ",AJ2,"| ",IFERROR(AL2*100,"N/A"),"%")</f>
        <v>No Franchise| Lender Funded| &gt;= 10 Projects| 660+| 93%</v>
      </c>
      <c r="AL2" s="47">
        <v>0.93</v>
      </c>
      <c r="AM2" s="47">
        <v>0.75</v>
      </c>
      <c r="AN2" s="47">
        <v>0.7</v>
      </c>
      <c r="AO2" s="48">
        <v>0.105</v>
      </c>
      <c r="AP2" s="48">
        <v>7.4999999999999997E-3</v>
      </c>
      <c r="AQ2" s="48">
        <v>7.4999999999999997E-3</v>
      </c>
      <c r="AR2" s="48">
        <v>0.02</v>
      </c>
      <c r="AS2" s="48">
        <v>0.13</v>
      </c>
      <c r="AT2" s="49">
        <v>2000000</v>
      </c>
      <c r="AU2" s="49">
        <v>75000</v>
      </c>
      <c r="AV2" s="49">
        <v>2000000</v>
      </c>
      <c r="AW2" s="48">
        <v>0.18</v>
      </c>
      <c r="AX2" s="49">
        <v>500000</v>
      </c>
      <c r="AY2" s="49">
        <v>995</v>
      </c>
      <c r="AZ2" s="50">
        <v>695</v>
      </c>
      <c r="BA2" s="49">
        <v>150</v>
      </c>
      <c r="BB2" s="49">
        <v>250</v>
      </c>
      <c r="BC2" s="50">
        <v>250</v>
      </c>
    </row>
    <row r="3" spans="1:55" x14ac:dyDescent="0.3">
      <c r="A3" s="25" t="s">
        <v>299</v>
      </c>
      <c r="B3" s="51" t="s">
        <v>300</v>
      </c>
      <c r="C3" s="52" t="s">
        <v>251</v>
      </c>
      <c r="D3" s="53" t="s">
        <v>301</v>
      </c>
      <c r="E3" s="54" t="s">
        <v>310</v>
      </c>
      <c r="F3" s="55">
        <v>0.8</v>
      </c>
      <c r="G3" s="55">
        <v>0.8</v>
      </c>
      <c r="H3" s="55">
        <v>0.75</v>
      </c>
      <c r="I3" s="56">
        <v>8.75</v>
      </c>
      <c r="J3" s="56">
        <v>1.25</v>
      </c>
      <c r="K3" s="56">
        <f t="shared" ref="K3:K7" si="1">I3+J3</f>
        <v>10</v>
      </c>
      <c r="L3" s="57">
        <v>125000</v>
      </c>
      <c r="M3" s="58">
        <v>5000000</v>
      </c>
      <c r="N3" s="57" t="s">
        <v>303</v>
      </c>
      <c r="O3" s="59" t="str">
        <f>ChurchillMatrix[[#This Row],[Experience Level]] &amp; "|" &amp; ChurchillMatrix[[#This Row],[Project Type]] &amp; "|" &amp; ChurchillMatrix[[#This Row],[Loan Type]] &amp; "|" &amp; ChurchillMatrix[[#This Row],[FICO]] &amp; "|" &amp; ChurchillMatrix[[#This Row],[Number of Units]]</f>
        <v>Institutional (10+) ($10m)|Fix and Flip (Light Rehab)|Purchase|660 - 679|5-19 Units</v>
      </c>
      <c r="R3" s="60" t="s">
        <v>304</v>
      </c>
      <c r="S3" s="51" t="s">
        <v>255</v>
      </c>
      <c r="T3" s="52" t="s">
        <v>251</v>
      </c>
      <c r="U3" s="61" t="s">
        <v>250</v>
      </c>
      <c r="V3" s="62" t="s">
        <v>311</v>
      </c>
      <c r="W3" s="63">
        <v>0.75</v>
      </c>
      <c r="X3" s="63" t="s">
        <v>303</v>
      </c>
      <c r="Y3" s="63" t="s">
        <v>303</v>
      </c>
      <c r="Z3" s="64">
        <v>100000</v>
      </c>
      <c r="AA3" s="65">
        <v>2500000</v>
      </c>
      <c r="AB3" s="64">
        <v>50000</v>
      </c>
      <c r="AC3" s="66" t="s">
        <v>303</v>
      </c>
      <c r="AD3" s="67" t="str">
        <f>ConstructiveMatrix[[#This Row],[Borrower Experience]] &amp; "|" &amp; ConstructiveMatrix[[#This Row],[Project Type]] &amp; "|" &amp; ConstructiveMatrix[[#This Row],[Loan Type]] &amp; "|" &amp; ConstructiveMatrix[[#This Row],[Dwelling Type]] &amp; "|" &amp; ConstructiveMatrix[[#This Row],[FICO]]</f>
        <v>Platinum (5+)|Bridge (No Rehab)|Purchase|Single Family|740+</v>
      </c>
      <c r="AG3" s="44" t="s">
        <v>306</v>
      </c>
      <c r="AH3" s="45" t="s">
        <v>307</v>
      </c>
      <c r="AI3" s="45" t="s">
        <v>308</v>
      </c>
      <c r="AJ3" s="46" t="s">
        <v>312</v>
      </c>
      <c r="AK3" s="46" t="str">
        <f t="shared" si="0"/>
        <v>No Franchise| Lender Funded| &gt;= 10 Projects| 640-659| 93%</v>
      </c>
      <c r="AL3" s="47">
        <v>0.93</v>
      </c>
      <c r="AM3" s="47">
        <v>0.75</v>
      </c>
      <c r="AN3" s="47">
        <v>0.7</v>
      </c>
      <c r="AO3" s="48">
        <v>0.105</v>
      </c>
      <c r="AP3" s="48">
        <v>7.4999999999999997E-3</v>
      </c>
      <c r="AQ3" s="48">
        <v>7.4999999999999997E-3</v>
      </c>
      <c r="AR3" s="48">
        <v>0.02</v>
      </c>
      <c r="AS3" s="48">
        <v>0.13</v>
      </c>
      <c r="AT3" s="49">
        <v>2000000</v>
      </c>
      <c r="AU3" s="49">
        <v>75000</v>
      </c>
      <c r="AV3" s="49">
        <v>2000000</v>
      </c>
      <c r="AW3" s="48">
        <v>0.18</v>
      </c>
      <c r="AX3" s="49">
        <v>500000</v>
      </c>
      <c r="AY3" s="49">
        <v>995</v>
      </c>
      <c r="AZ3" s="50">
        <v>695</v>
      </c>
      <c r="BA3" s="49">
        <v>150</v>
      </c>
      <c r="BB3" s="49">
        <v>250</v>
      </c>
      <c r="BC3" s="50">
        <v>250</v>
      </c>
    </row>
    <row r="4" spans="1:55" x14ac:dyDescent="0.3">
      <c r="A4" s="25" t="s">
        <v>299</v>
      </c>
      <c r="B4" s="51" t="s">
        <v>300</v>
      </c>
      <c r="C4" s="52" t="s">
        <v>251</v>
      </c>
      <c r="D4" s="68" t="s">
        <v>313</v>
      </c>
      <c r="E4" s="69" t="s">
        <v>302</v>
      </c>
      <c r="F4" s="70">
        <v>0.9</v>
      </c>
      <c r="G4" s="70">
        <v>0.95</v>
      </c>
      <c r="H4" s="71">
        <v>0.75</v>
      </c>
      <c r="I4" s="72">
        <v>8.75</v>
      </c>
      <c r="J4" s="72">
        <v>0.25</v>
      </c>
      <c r="K4" s="72">
        <f t="shared" si="1"/>
        <v>9</v>
      </c>
      <c r="L4" s="73">
        <v>125000</v>
      </c>
      <c r="M4" s="74">
        <v>5000000</v>
      </c>
      <c r="N4" s="73" t="s">
        <v>303</v>
      </c>
      <c r="O4" s="75" t="str">
        <f>ChurchillMatrix[[#This Row],[Experience Level]] &amp; "|" &amp; ChurchillMatrix[[#This Row],[Project Type]] &amp; "|" &amp; ChurchillMatrix[[#This Row],[Loan Type]] &amp; "|" &amp; ChurchillMatrix[[#This Row],[FICO]] &amp; "|" &amp; ChurchillMatrix[[#This Row],[Number of Units]]</f>
        <v>Institutional (10+) ($10m)|Fix and Flip (Light Rehab)|Purchase|680 - 699|&lt;=4 Units</v>
      </c>
      <c r="R4" s="60" t="s">
        <v>304</v>
      </c>
      <c r="S4" s="51" t="s">
        <v>255</v>
      </c>
      <c r="T4" s="52" t="s">
        <v>251</v>
      </c>
      <c r="U4" s="76" t="s">
        <v>259</v>
      </c>
      <c r="V4" s="77" t="s">
        <v>305</v>
      </c>
      <c r="W4" s="78">
        <v>0.65</v>
      </c>
      <c r="X4" s="78" t="s">
        <v>303</v>
      </c>
      <c r="Y4" s="78" t="s">
        <v>303</v>
      </c>
      <c r="Z4" s="79">
        <v>100000</v>
      </c>
      <c r="AA4" s="80">
        <v>2500000</v>
      </c>
      <c r="AB4" s="79">
        <v>50000</v>
      </c>
      <c r="AC4" s="81" t="s">
        <v>303</v>
      </c>
      <c r="AD4" s="82" t="str">
        <f>ConstructiveMatrix[[#This Row],[Borrower Experience]] &amp; "|" &amp; ConstructiveMatrix[[#This Row],[Project Type]] &amp; "|" &amp; ConstructiveMatrix[[#This Row],[Loan Type]] &amp; "|" &amp; ConstructiveMatrix[[#This Row],[Dwelling Type]] &amp; "|" &amp; ConstructiveMatrix[[#This Row],[FICO]]</f>
        <v>Platinum (5+)|Bridge (No Rehab)|Purchase|Non-Warrantable Condo|680-739</v>
      </c>
      <c r="AG4" s="44" t="s">
        <v>306</v>
      </c>
      <c r="AH4" s="45" t="s">
        <v>307</v>
      </c>
      <c r="AI4" s="45" t="s">
        <v>308</v>
      </c>
      <c r="AJ4" s="46" t="s">
        <v>314</v>
      </c>
      <c r="AK4" s="46" t="str">
        <f t="shared" si="0"/>
        <v>No Franchise| Lender Funded| &gt;= 10 Projects| 620-639| 93%</v>
      </c>
      <c r="AL4" s="47">
        <v>0.93</v>
      </c>
      <c r="AM4" s="47">
        <v>0.75</v>
      </c>
      <c r="AN4" s="47">
        <v>0.7</v>
      </c>
      <c r="AO4" s="48">
        <v>0.105</v>
      </c>
      <c r="AP4" s="48">
        <v>7.4999999999999997E-3</v>
      </c>
      <c r="AQ4" s="48">
        <v>7.4999999999999997E-3</v>
      </c>
      <c r="AR4" s="48">
        <v>0.02</v>
      </c>
      <c r="AS4" s="48">
        <v>0.13</v>
      </c>
      <c r="AT4" s="49">
        <v>2000000</v>
      </c>
      <c r="AU4" s="49">
        <v>75000</v>
      </c>
      <c r="AV4" s="49">
        <v>2000000</v>
      </c>
      <c r="AW4" s="48">
        <v>0.18</v>
      </c>
      <c r="AX4" s="49">
        <v>500000</v>
      </c>
      <c r="AY4" s="49">
        <v>995</v>
      </c>
      <c r="AZ4" s="50">
        <v>695</v>
      </c>
      <c r="BA4" s="49">
        <v>150</v>
      </c>
      <c r="BB4" s="49">
        <v>250</v>
      </c>
      <c r="BC4" s="50">
        <v>250</v>
      </c>
    </row>
    <row r="5" spans="1:55" x14ac:dyDescent="0.3">
      <c r="A5" s="25" t="s">
        <v>299</v>
      </c>
      <c r="B5" s="51" t="s">
        <v>300</v>
      </c>
      <c r="C5" s="52" t="s">
        <v>251</v>
      </c>
      <c r="D5" s="53" t="s">
        <v>313</v>
      </c>
      <c r="E5" s="54" t="s">
        <v>310</v>
      </c>
      <c r="F5" s="55">
        <v>0.8</v>
      </c>
      <c r="G5" s="55">
        <v>0.8</v>
      </c>
      <c r="H5" s="55">
        <v>0.75</v>
      </c>
      <c r="I5" s="56">
        <v>8.75</v>
      </c>
      <c r="J5" s="56">
        <v>1.25</v>
      </c>
      <c r="K5" s="56">
        <f t="shared" si="1"/>
        <v>10</v>
      </c>
      <c r="L5" s="57">
        <v>125000</v>
      </c>
      <c r="M5" s="58">
        <v>5000000</v>
      </c>
      <c r="N5" s="57" t="s">
        <v>303</v>
      </c>
      <c r="O5" s="59" t="str">
        <f>ChurchillMatrix[[#This Row],[Experience Level]] &amp; "|" &amp; ChurchillMatrix[[#This Row],[Project Type]] &amp; "|" &amp; ChurchillMatrix[[#This Row],[Loan Type]] &amp; "|" &amp; ChurchillMatrix[[#This Row],[FICO]] &amp; "|" &amp; ChurchillMatrix[[#This Row],[Number of Units]]</f>
        <v>Institutional (10+) ($10m)|Fix and Flip (Light Rehab)|Purchase|680 - 699|5-19 Units</v>
      </c>
      <c r="R5" s="60" t="s">
        <v>304</v>
      </c>
      <c r="S5" s="51" t="s">
        <v>255</v>
      </c>
      <c r="T5" s="52" t="s">
        <v>251</v>
      </c>
      <c r="U5" s="83" t="s">
        <v>259</v>
      </c>
      <c r="V5" s="62" t="s">
        <v>311</v>
      </c>
      <c r="W5" s="63">
        <v>0.65</v>
      </c>
      <c r="X5" s="63" t="s">
        <v>303</v>
      </c>
      <c r="Y5" s="63" t="s">
        <v>303</v>
      </c>
      <c r="Z5" s="64">
        <v>100000</v>
      </c>
      <c r="AA5" s="65">
        <v>2500000</v>
      </c>
      <c r="AB5" s="64">
        <v>50000</v>
      </c>
      <c r="AC5" s="66" t="s">
        <v>303</v>
      </c>
      <c r="AD5" s="67" t="str">
        <f>ConstructiveMatrix[[#This Row],[Borrower Experience]] &amp; "|" &amp; ConstructiveMatrix[[#This Row],[Project Type]] &amp; "|" &amp; ConstructiveMatrix[[#This Row],[Loan Type]] &amp; "|" &amp; ConstructiveMatrix[[#This Row],[Dwelling Type]] &amp; "|" &amp; ConstructiveMatrix[[#This Row],[FICO]]</f>
        <v>Platinum (5+)|Bridge (No Rehab)|Purchase|Non-Warrantable Condo|740+</v>
      </c>
      <c r="AG5" s="44" t="s">
        <v>306</v>
      </c>
      <c r="AH5" s="45" t="s">
        <v>307</v>
      </c>
      <c r="AI5" s="45" t="s">
        <v>308</v>
      </c>
      <c r="AJ5" s="46" t="s">
        <v>309</v>
      </c>
      <c r="AK5" s="46" t="str">
        <f t="shared" si="0"/>
        <v>No Franchise| Lender Funded| &gt;= 10 Projects| 660+| 90%</v>
      </c>
      <c r="AL5" s="47">
        <v>0.9</v>
      </c>
      <c r="AM5" s="47">
        <v>0.75</v>
      </c>
      <c r="AN5" s="47">
        <v>0.7</v>
      </c>
      <c r="AO5" s="48">
        <v>0.10249999999999999</v>
      </c>
      <c r="AP5" s="48">
        <v>7.4999999999999997E-3</v>
      </c>
      <c r="AQ5" s="48">
        <v>7.4999999999999997E-3</v>
      </c>
      <c r="AR5" s="48">
        <v>0.02</v>
      </c>
      <c r="AS5" s="48">
        <v>0.1275</v>
      </c>
      <c r="AT5" s="49">
        <v>2000000</v>
      </c>
      <c r="AU5" s="49">
        <v>75000</v>
      </c>
      <c r="AV5" s="49">
        <v>2000000</v>
      </c>
      <c r="AW5" s="48">
        <v>0.18</v>
      </c>
      <c r="AX5" s="49">
        <v>500000</v>
      </c>
      <c r="AY5" s="49">
        <v>995</v>
      </c>
      <c r="AZ5" s="50">
        <v>695</v>
      </c>
      <c r="BA5" s="49">
        <v>150</v>
      </c>
      <c r="BB5" s="49">
        <v>250</v>
      </c>
      <c r="BC5" s="50">
        <v>250</v>
      </c>
    </row>
    <row r="6" spans="1:55" x14ac:dyDescent="0.3">
      <c r="A6" s="25" t="s">
        <v>299</v>
      </c>
      <c r="B6" s="51" t="s">
        <v>300</v>
      </c>
      <c r="C6" s="52" t="s">
        <v>251</v>
      </c>
      <c r="D6" s="68" t="s">
        <v>315</v>
      </c>
      <c r="E6" s="69" t="s">
        <v>302</v>
      </c>
      <c r="F6" s="70">
        <v>0.9</v>
      </c>
      <c r="G6" s="70">
        <v>0.95</v>
      </c>
      <c r="H6" s="71">
        <v>0.75</v>
      </c>
      <c r="I6" s="72">
        <v>8.75</v>
      </c>
      <c r="J6" s="72">
        <v>0</v>
      </c>
      <c r="K6" s="72">
        <f t="shared" si="1"/>
        <v>8.75</v>
      </c>
      <c r="L6" s="73">
        <v>125000</v>
      </c>
      <c r="M6" s="74">
        <v>5000000</v>
      </c>
      <c r="N6" s="73" t="s">
        <v>303</v>
      </c>
      <c r="O6" s="75" t="str">
        <f>ChurchillMatrix[[#This Row],[Experience Level]] &amp; "|" &amp; ChurchillMatrix[[#This Row],[Project Type]] &amp; "|" &amp; ChurchillMatrix[[#This Row],[Loan Type]] &amp; "|" &amp; ChurchillMatrix[[#This Row],[FICO]] &amp; "|" &amp; ChurchillMatrix[[#This Row],[Number of Units]]</f>
        <v>Institutional (10+) ($10m)|Fix and Flip (Light Rehab)|Purchase|&gt;=700|&lt;=4 Units</v>
      </c>
      <c r="R6" s="60" t="s">
        <v>304</v>
      </c>
      <c r="S6" s="51" t="s">
        <v>255</v>
      </c>
      <c r="T6" s="52" t="s">
        <v>251</v>
      </c>
      <c r="U6" s="85" t="s">
        <v>316</v>
      </c>
      <c r="V6" s="77" t="s">
        <v>305</v>
      </c>
      <c r="W6" s="78">
        <v>0.75</v>
      </c>
      <c r="X6" s="78" t="s">
        <v>303</v>
      </c>
      <c r="Y6" s="78" t="s">
        <v>303</v>
      </c>
      <c r="Z6" s="79">
        <v>100000</v>
      </c>
      <c r="AA6" s="80">
        <v>2500000</v>
      </c>
      <c r="AB6" s="79">
        <v>50000</v>
      </c>
      <c r="AC6" s="81" t="s">
        <v>303</v>
      </c>
      <c r="AD6" s="82" t="str">
        <f>ConstructiveMatrix[[#This Row],[Borrower Experience]] &amp; "|" &amp; ConstructiveMatrix[[#This Row],[Project Type]] &amp; "|" &amp; ConstructiveMatrix[[#This Row],[Loan Type]] &amp; "|" &amp; ConstructiveMatrix[[#This Row],[Dwelling Type]] &amp; "|" &amp; ConstructiveMatrix[[#This Row],[FICO]]</f>
        <v>Platinum (5+)|Bridge (No Rehab)|Purchase|Other (2-4 unit)|680-739</v>
      </c>
      <c r="AG6" s="44" t="s">
        <v>306</v>
      </c>
      <c r="AH6" s="45" t="s">
        <v>307</v>
      </c>
      <c r="AI6" s="45" t="s">
        <v>308</v>
      </c>
      <c r="AJ6" s="46" t="s">
        <v>312</v>
      </c>
      <c r="AK6" s="46" t="str">
        <f t="shared" si="0"/>
        <v>No Franchise| Lender Funded| &gt;= 10 Projects| 640-659| 90%</v>
      </c>
      <c r="AL6" s="47">
        <v>0.9</v>
      </c>
      <c r="AM6" s="47">
        <v>0.75</v>
      </c>
      <c r="AN6" s="47">
        <v>0.7</v>
      </c>
      <c r="AO6" s="48">
        <v>0.10249999999999999</v>
      </c>
      <c r="AP6" s="48">
        <v>7.4999999999999997E-3</v>
      </c>
      <c r="AQ6" s="48">
        <v>7.4999999999999997E-3</v>
      </c>
      <c r="AR6" s="48">
        <v>0.02</v>
      </c>
      <c r="AS6" s="48">
        <v>0.1275</v>
      </c>
      <c r="AT6" s="49">
        <v>2000000</v>
      </c>
      <c r="AU6" s="49">
        <v>75000</v>
      </c>
      <c r="AV6" s="49">
        <v>2000000</v>
      </c>
      <c r="AW6" s="48">
        <v>0.18</v>
      </c>
      <c r="AX6" s="49">
        <v>500000</v>
      </c>
      <c r="AY6" s="49">
        <v>995</v>
      </c>
      <c r="AZ6" s="50">
        <v>695</v>
      </c>
      <c r="BA6" s="49">
        <v>150</v>
      </c>
      <c r="BB6" s="49">
        <v>250</v>
      </c>
      <c r="BC6" s="50">
        <v>250</v>
      </c>
    </row>
    <row r="7" spans="1:55" ht="15" thickBot="1" x14ac:dyDescent="0.35">
      <c r="A7" s="25" t="s">
        <v>299</v>
      </c>
      <c r="B7" s="51" t="s">
        <v>300</v>
      </c>
      <c r="C7" s="86" t="s">
        <v>251</v>
      </c>
      <c r="D7" s="87" t="s">
        <v>315</v>
      </c>
      <c r="E7" s="88" t="s">
        <v>310</v>
      </c>
      <c r="F7" s="89">
        <v>0.8</v>
      </c>
      <c r="G7" s="89">
        <v>0.8</v>
      </c>
      <c r="H7" s="89">
        <v>0.75</v>
      </c>
      <c r="I7" s="90">
        <v>8.75</v>
      </c>
      <c r="J7" s="90">
        <v>1</v>
      </c>
      <c r="K7" s="90">
        <f t="shared" si="1"/>
        <v>9.75</v>
      </c>
      <c r="L7" s="91">
        <v>125000</v>
      </c>
      <c r="M7" s="92">
        <v>5000000</v>
      </c>
      <c r="N7" s="91" t="s">
        <v>303</v>
      </c>
      <c r="O7" s="93" t="str">
        <f>ChurchillMatrix[[#This Row],[Experience Level]] &amp; "|" &amp; ChurchillMatrix[[#This Row],[Project Type]] &amp; "|" &amp; ChurchillMatrix[[#This Row],[Loan Type]] &amp; "|" &amp; ChurchillMatrix[[#This Row],[FICO]] &amp; "|" &amp; ChurchillMatrix[[#This Row],[Number of Units]]</f>
        <v>Institutional (10+) ($10m)|Fix and Flip (Light Rehab)|Purchase|&gt;=700|5-19 Units</v>
      </c>
      <c r="R7" s="60" t="s">
        <v>304</v>
      </c>
      <c r="S7" s="51" t="s">
        <v>255</v>
      </c>
      <c r="T7" s="86" t="s">
        <v>251</v>
      </c>
      <c r="U7" s="94" t="s">
        <v>316</v>
      </c>
      <c r="V7" s="95" t="s">
        <v>311</v>
      </c>
      <c r="W7" s="96">
        <v>0.75</v>
      </c>
      <c r="X7" s="96" t="s">
        <v>303</v>
      </c>
      <c r="Y7" s="96" t="s">
        <v>303</v>
      </c>
      <c r="Z7" s="97">
        <v>100000</v>
      </c>
      <c r="AA7" s="98">
        <v>2500000</v>
      </c>
      <c r="AB7" s="97">
        <v>50000</v>
      </c>
      <c r="AC7" s="99" t="s">
        <v>303</v>
      </c>
      <c r="AD7" s="100" t="str">
        <f>ConstructiveMatrix[[#This Row],[Borrower Experience]] &amp; "|" &amp; ConstructiveMatrix[[#This Row],[Project Type]] &amp; "|" &amp; ConstructiveMatrix[[#This Row],[Loan Type]] &amp; "|" &amp; ConstructiveMatrix[[#This Row],[Dwelling Type]] &amp; "|" &amp; ConstructiveMatrix[[#This Row],[FICO]]</f>
        <v>Platinum (5+)|Bridge (No Rehab)|Purchase|Other (2-4 unit)|740+</v>
      </c>
      <c r="AG7" s="44" t="s">
        <v>306</v>
      </c>
      <c r="AH7" s="45" t="s">
        <v>307</v>
      </c>
      <c r="AI7" s="45" t="s">
        <v>308</v>
      </c>
      <c r="AJ7" s="46" t="s">
        <v>314</v>
      </c>
      <c r="AK7" s="46" t="str">
        <f t="shared" si="0"/>
        <v>No Franchise| Lender Funded| &gt;= 10 Projects| 620-639| 90%</v>
      </c>
      <c r="AL7" s="47">
        <v>0.9</v>
      </c>
      <c r="AM7" s="47">
        <v>0.75</v>
      </c>
      <c r="AN7" s="47">
        <v>0.7</v>
      </c>
      <c r="AO7" s="48">
        <v>0.10249999999999999</v>
      </c>
      <c r="AP7" s="48">
        <v>7.4999999999999997E-3</v>
      </c>
      <c r="AQ7" s="48">
        <v>7.4999999999999997E-3</v>
      </c>
      <c r="AR7" s="48">
        <v>0.02</v>
      </c>
      <c r="AS7" s="48">
        <v>0.1275</v>
      </c>
      <c r="AT7" s="49">
        <v>2000000</v>
      </c>
      <c r="AU7" s="49">
        <v>75000</v>
      </c>
      <c r="AV7" s="49">
        <v>2000000</v>
      </c>
      <c r="AW7" s="48">
        <v>0.18</v>
      </c>
      <c r="AX7" s="49">
        <v>500000</v>
      </c>
      <c r="AY7" s="49">
        <v>995</v>
      </c>
      <c r="AZ7" s="50">
        <v>695</v>
      </c>
      <c r="BA7" s="49">
        <v>150</v>
      </c>
      <c r="BB7" s="49">
        <v>250</v>
      </c>
      <c r="BC7" s="50">
        <v>250</v>
      </c>
    </row>
    <row r="8" spans="1:55" x14ac:dyDescent="0.3">
      <c r="A8" s="25" t="s">
        <v>299</v>
      </c>
      <c r="B8" s="51" t="s">
        <v>300</v>
      </c>
      <c r="C8" s="27" t="s">
        <v>249</v>
      </c>
      <c r="D8" s="28" t="s">
        <v>301</v>
      </c>
      <c r="E8" s="29" t="s">
        <v>302</v>
      </c>
      <c r="F8" s="31" t="s">
        <v>303</v>
      </c>
      <c r="G8" s="31" t="s">
        <v>303</v>
      </c>
      <c r="H8" s="31" t="s">
        <v>303</v>
      </c>
      <c r="I8" s="32" t="s">
        <v>303</v>
      </c>
      <c r="J8" s="32" t="s">
        <v>303</v>
      </c>
      <c r="K8" s="32" t="s">
        <v>303</v>
      </c>
      <c r="L8" s="33" t="s">
        <v>303</v>
      </c>
      <c r="M8" s="34" t="s">
        <v>303</v>
      </c>
      <c r="N8" s="33" t="s">
        <v>303</v>
      </c>
      <c r="O8" s="35" t="str">
        <f>ChurchillMatrix[[#This Row],[Experience Level]] &amp; "|" &amp; ChurchillMatrix[[#This Row],[Project Type]] &amp; "|" &amp; ChurchillMatrix[[#This Row],[Loan Type]] &amp; "|" &amp; ChurchillMatrix[[#This Row],[FICO]] &amp; "|" &amp; ChurchillMatrix[[#This Row],[Number of Units]]</f>
        <v>Institutional (10+) ($10m)|Fix and Flip (Light Rehab)|Cash Out Refinance|660 - 679|&lt;=4 Units</v>
      </c>
      <c r="R8" s="60" t="s">
        <v>304</v>
      </c>
      <c r="S8" s="51" t="s">
        <v>255</v>
      </c>
      <c r="T8" s="101" t="s">
        <v>249</v>
      </c>
      <c r="U8" s="37" t="s">
        <v>250</v>
      </c>
      <c r="V8" s="38" t="s">
        <v>305</v>
      </c>
      <c r="W8" s="39">
        <v>0.7</v>
      </c>
      <c r="X8" s="39" t="s">
        <v>303</v>
      </c>
      <c r="Y8" s="39" t="s">
        <v>303</v>
      </c>
      <c r="Z8" s="40">
        <v>100000</v>
      </c>
      <c r="AA8" s="41">
        <v>2500000</v>
      </c>
      <c r="AB8" s="40">
        <v>50000</v>
      </c>
      <c r="AC8" s="42" t="s">
        <v>303</v>
      </c>
      <c r="AD8" s="43" t="str">
        <f>ConstructiveMatrix[[#This Row],[Borrower Experience]] &amp; "|" &amp; ConstructiveMatrix[[#This Row],[Project Type]] &amp; "|" &amp; ConstructiveMatrix[[#This Row],[Loan Type]] &amp; "|" &amp; ConstructiveMatrix[[#This Row],[Dwelling Type]] &amp; "|" &amp; ConstructiveMatrix[[#This Row],[FICO]]</f>
        <v>Platinum (5+)|Bridge (No Rehab)|Cash Out Refinance|Single Family|680-739</v>
      </c>
      <c r="AG8" s="44" t="s">
        <v>306</v>
      </c>
      <c r="AH8" s="45" t="s">
        <v>307</v>
      </c>
      <c r="AI8" s="45" t="s">
        <v>308</v>
      </c>
      <c r="AJ8" s="46" t="s">
        <v>309</v>
      </c>
      <c r="AK8" s="46" t="str">
        <f t="shared" si="0"/>
        <v>No Franchise| Lender Funded| &gt;= 10 Projects| 660+| 85%</v>
      </c>
      <c r="AL8" s="47">
        <v>0.85</v>
      </c>
      <c r="AM8" s="47">
        <v>0.75</v>
      </c>
      <c r="AN8" s="47">
        <v>0.7</v>
      </c>
      <c r="AO8" s="48">
        <v>9.9989999999999996E-2</v>
      </c>
      <c r="AP8" s="48">
        <v>7.4999999999999997E-3</v>
      </c>
      <c r="AQ8" s="48">
        <v>7.4999999999999997E-3</v>
      </c>
      <c r="AR8" s="48">
        <v>0.02</v>
      </c>
      <c r="AS8" s="48">
        <v>0.12499</v>
      </c>
      <c r="AT8" s="49">
        <v>2000000</v>
      </c>
      <c r="AU8" s="49">
        <v>75000</v>
      </c>
      <c r="AV8" s="49">
        <v>2000000</v>
      </c>
      <c r="AW8" s="48">
        <v>0.18</v>
      </c>
      <c r="AX8" s="49">
        <v>500000</v>
      </c>
      <c r="AY8" s="49">
        <v>995</v>
      </c>
      <c r="AZ8" s="50">
        <v>695</v>
      </c>
      <c r="BA8" s="49">
        <v>150</v>
      </c>
      <c r="BB8" s="49">
        <v>250</v>
      </c>
      <c r="BC8" s="50">
        <v>250</v>
      </c>
    </row>
    <row r="9" spans="1:55" x14ac:dyDescent="0.3">
      <c r="A9" s="25" t="s">
        <v>299</v>
      </c>
      <c r="B9" s="51" t="s">
        <v>300</v>
      </c>
      <c r="C9" s="52" t="s">
        <v>249</v>
      </c>
      <c r="D9" s="53" t="s">
        <v>301</v>
      </c>
      <c r="E9" s="54" t="s">
        <v>310</v>
      </c>
      <c r="F9" s="55" t="s">
        <v>303</v>
      </c>
      <c r="G9" s="55" t="s">
        <v>303</v>
      </c>
      <c r="H9" s="55" t="s">
        <v>303</v>
      </c>
      <c r="I9" s="56" t="s">
        <v>303</v>
      </c>
      <c r="J9" s="56" t="s">
        <v>303</v>
      </c>
      <c r="K9" s="56" t="s">
        <v>303</v>
      </c>
      <c r="L9" s="57" t="s">
        <v>303</v>
      </c>
      <c r="M9" s="58" t="s">
        <v>303</v>
      </c>
      <c r="N9" s="57" t="s">
        <v>303</v>
      </c>
      <c r="O9" s="59" t="str">
        <f>ChurchillMatrix[[#This Row],[Experience Level]] &amp; "|" &amp; ChurchillMatrix[[#This Row],[Project Type]] &amp; "|" &amp; ChurchillMatrix[[#This Row],[Loan Type]] &amp; "|" &amp; ChurchillMatrix[[#This Row],[FICO]] &amp; "|" &amp; ChurchillMatrix[[#This Row],[Number of Units]]</f>
        <v>Institutional (10+) ($10m)|Fix and Flip (Light Rehab)|Cash Out Refinance|660 - 679|5-19 Units</v>
      </c>
      <c r="R9" s="60" t="s">
        <v>304</v>
      </c>
      <c r="S9" s="51" t="s">
        <v>255</v>
      </c>
      <c r="T9" s="102" t="s">
        <v>249</v>
      </c>
      <c r="U9" s="61" t="s">
        <v>250</v>
      </c>
      <c r="V9" s="62" t="s">
        <v>311</v>
      </c>
      <c r="W9" s="63">
        <v>0.7</v>
      </c>
      <c r="X9" s="63" t="s">
        <v>303</v>
      </c>
      <c r="Y9" s="63" t="s">
        <v>303</v>
      </c>
      <c r="Z9" s="64">
        <v>100000</v>
      </c>
      <c r="AA9" s="65">
        <v>2500000</v>
      </c>
      <c r="AB9" s="64">
        <v>50000</v>
      </c>
      <c r="AC9" s="66" t="s">
        <v>303</v>
      </c>
      <c r="AD9" s="67" t="str">
        <f>ConstructiveMatrix[[#This Row],[Borrower Experience]] &amp; "|" &amp; ConstructiveMatrix[[#This Row],[Project Type]] &amp; "|" &amp; ConstructiveMatrix[[#This Row],[Loan Type]] &amp; "|" &amp; ConstructiveMatrix[[#This Row],[Dwelling Type]] &amp; "|" &amp; ConstructiveMatrix[[#This Row],[FICO]]</f>
        <v>Platinum (5+)|Bridge (No Rehab)|Cash Out Refinance|Single Family|740+</v>
      </c>
      <c r="AG9" s="44" t="s">
        <v>306</v>
      </c>
      <c r="AH9" s="45" t="s">
        <v>307</v>
      </c>
      <c r="AI9" s="45" t="s">
        <v>308</v>
      </c>
      <c r="AJ9" s="46" t="s">
        <v>312</v>
      </c>
      <c r="AK9" s="46" t="str">
        <f t="shared" si="0"/>
        <v>No Franchise| Lender Funded| &gt;= 10 Projects| 640-659| 85%</v>
      </c>
      <c r="AL9" s="47">
        <v>0.85</v>
      </c>
      <c r="AM9" s="47">
        <v>0.75</v>
      </c>
      <c r="AN9" s="47">
        <v>0.7</v>
      </c>
      <c r="AO9" s="48">
        <v>9.9989999999999996E-2</v>
      </c>
      <c r="AP9" s="48">
        <v>7.4999999999999997E-3</v>
      </c>
      <c r="AQ9" s="48">
        <v>7.4999999999999997E-3</v>
      </c>
      <c r="AR9" s="48">
        <v>0.02</v>
      </c>
      <c r="AS9" s="48">
        <v>0.12499</v>
      </c>
      <c r="AT9" s="49">
        <v>2000000</v>
      </c>
      <c r="AU9" s="49">
        <v>75000</v>
      </c>
      <c r="AV9" s="49">
        <v>2000000</v>
      </c>
      <c r="AW9" s="48">
        <v>0.18</v>
      </c>
      <c r="AX9" s="49">
        <v>500000</v>
      </c>
      <c r="AY9" s="49">
        <v>995</v>
      </c>
      <c r="AZ9" s="50">
        <v>695</v>
      </c>
      <c r="BA9" s="49">
        <v>150</v>
      </c>
      <c r="BB9" s="49">
        <v>250</v>
      </c>
      <c r="BC9" s="50">
        <v>250</v>
      </c>
    </row>
    <row r="10" spans="1:55" x14ac:dyDescent="0.3">
      <c r="A10" s="25" t="s">
        <v>299</v>
      </c>
      <c r="B10" s="51" t="s">
        <v>300</v>
      </c>
      <c r="C10" s="52" t="s">
        <v>249</v>
      </c>
      <c r="D10" s="68" t="s">
        <v>313</v>
      </c>
      <c r="E10" s="69" t="s">
        <v>302</v>
      </c>
      <c r="F10" s="71">
        <v>0.85</v>
      </c>
      <c r="G10" s="71">
        <v>0.9</v>
      </c>
      <c r="H10" s="71">
        <v>0.75</v>
      </c>
      <c r="I10" s="72">
        <v>8.75</v>
      </c>
      <c r="J10" s="72">
        <v>0.75</v>
      </c>
      <c r="K10" s="72">
        <f t="shared" ref="K10:K25" si="2">I10+J10</f>
        <v>9.5</v>
      </c>
      <c r="L10" s="73">
        <v>125000</v>
      </c>
      <c r="M10" s="74">
        <v>5000000</v>
      </c>
      <c r="N10" s="73">
        <v>500000</v>
      </c>
      <c r="O10" s="75" t="str">
        <f>ChurchillMatrix[[#This Row],[Experience Level]] &amp; "|" &amp; ChurchillMatrix[[#This Row],[Project Type]] &amp; "|" &amp; ChurchillMatrix[[#This Row],[Loan Type]] &amp; "|" &amp; ChurchillMatrix[[#This Row],[FICO]] &amp; "|" &amp; ChurchillMatrix[[#This Row],[Number of Units]]</f>
        <v>Institutional (10+) ($10m)|Fix and Flip (Light Rehab)|Cash Out Refinance|680 - 699|&lt;=4 Units</v>
      </c>
      <c r="R10" s="60" t="s">
        <v>304</v>
      </c>
      <c r="S10" s="51" t="s">
        <v>255</v>
      </c>
      <c r="T10" s="102" t="s">
        <v>249</v>
      </c>
      <c r="U10" s="76" t="s">
        <v>259</v>
      </c>
      <c r="V10" s="77" t="s">
        <v>305</v>
      </c>
      <c r="W10" s="78">
        <v>0.6</v>
      </c>
      <c r="X10" s="78" t="s">
        <v>303</v>
      </c>
      <c r="Y10" s="78" t="s">
        <v>303</v>
      </c>
      <c r="Z10" s="79">
        <v>100000</v>
      </c>
      <c r="AA10" s="80">
        <v>2500000</v>
      </c>
      <c r="AB10" s="79">
        <v>50000</v>
      </c>
      <c r="AC10" s="81" t="s">
        <v>303</v>
      </c>
      <c r="AD10" s="82" t="str">
        <f>ConstructiveMatrix[[#This Row],[Borrower Experience]] &amp; "|" &amp; ConstructiveMatrix[[#This Row],[Project Type]] &amp; "|" &amp; ConstructiveMatrix[[#This Row],[Loan Type]] &amp; "|" &amp; ConstructiveMatrix[[#This Row],[Dwelling Type]] &amp; "|" &amp; ConstructiveMatrix[[#This Row],[FICO]]</f>
        <v>Platinum (5+)|Bridge (No Rehab)|Cash Out Refinance|Non-Warrantable Condo|680-739</v>
      </c>
      <c r="AG10" s="44" t="s">
        <v>306</v>
      </c>
      <c r="AH10" s="45" t="s">
        <v>307</v>
      </c>
      <c r="AI10" s="45" t="s">
        <v>308</v>
      </c>
      <c r="AJ10" s="46" t="s">
        <v>314</v>
      </c>
      <c r="AK10" s="46" t="str">
        <f t="shared" si="0"/>
        <v>No Franchise| Lender Funded| &gt;= 10 Projects| 620-639| 85%</v>
      </c>
      <c r="AL10" s="47">
        <v>0.85</v>
      </c>
      <c r="AM10" s="47">
        <v>0.75</v>
      </c>
      <c r="AN10" s="47">
        <v>0.7</v>
      </c>
      <c r="AO10" s="48">
        <v>9.9989999999999996E-2</v>
      </c>
      <c r="AP10" s="48">
        <v>7.4999999999999997E-3</v>
      </c>
      <c r="AQ10" s="48">
        <v>7.4999999999999997E-3</v>
      </c>
      <c r="AR10" s="48">
        <v>0.02</v>
      </c>
      <c r="AS10" s="48">
        <v>0.12499</v>
      </c>
      <c r="AT10" s="49">
        <v>2000000</v>
      </c>
      <c r="AU10" s="49">
        <v>75000</v>
      </c>
      <c r="AV10" s="49">
        <v>2000000</v>
      </c>
      <c r="AW10" s="48">
        <v>0.18</v>
      </c>
      <c r="AX10" s="49">
        <v>500000</v>
      </c>
      <c r="AY10" s="49">
        <v>995</v>
      </c>
      <c r="AZ10" s="50">
        <v>695</v>
      </c>
      <c r="BA10" s="49">
        <v>150</v>
      </c>
      <c r="BB10" s="49">
        <v>250</v>
      </c>
      <c r="BC10" s="50">
        <v>250</v>
      </c>
    </row>
    <row r="11" spans="1:55" x14ac:dyDescent="0.3">
      <c r="A11" s="25" t="s">
        <v>299</v>
      </c>
      <c r="B11" s="51" t="s">
        <v>300</v>
      </c>
      <c r="C11" s="52" t="s">
        <v>249</v>
      </c>
      <c r="D11" s="53" t="s">
        <v>313</v>
      </c>
      <c r="E11" s="54" t="s">
        <v>310</v>
      </c>
      <c r="F11" s="55">
        <v>0.8</v>
      </c>
      <c r="G11" s="55">
        <v>0.8</v>
      </c>
      <c r="H11" s="55">
        <v>0.75</v>
      </c>
      <c r="I11" s="56">
        <v>8.75</v>
      </c>
      <c r="J11" s="56">
        <v>1.75</v>
      </c>
      <c r="K11" s="56">
        <f t="shared" si="2"/>
        <v>10.5</v>
      </c>
      <c r="L11" s="57">
        <v>125000</v>
      </c>
      <c r="M11" s="58">
        <v>5000000</v>
      </c>
      <c r="N11" s="57">
        <v>500000</v>
      </c>
      <c r="O11" s="59" t="str">
        <f>ChurchillMatrix[[#This Row],[Experience Level]] &amp; "|" &amp; ChurchillMatrix[[#This Row],[Project Type]] &amp; "|" &amp; ChurchillMatrix[[#This Row],[Loan Type]] &amp; "|" &amp; ChurchillMatrix[[#This Row],[FICO]] &amp; "|" &amp; ChurchillMatrix[[#This Row],[Number of Units]]</f>
        <v>Institutional (10+) ($10m)|Fix and Flip (Light Rehab)|Cash Out Refinance|680 - 699|5-19 Units</v>
      </c>
      <c r="R11" s="60" t="s">
        <v>304</v>
      </c>
      <c r="S11" s="51" t="s">
        <v>255</v>
      </c>
      <c r="T11" s="102" t="s">
        <v>249</v>
      </c>
      <c r="U11" s="83" t="s">
        <v>259</v>
      </c>
      <c r="V11" s="62" t="s">
        <v>311</v>
      </c>
      <c r="W11" s="63">
        <v>0.6</v>
      </c>
      <c r="X11" s="63" t="s">
        <v>303</v>
      </c>
      <c r="Y11" s="63" t="s">
        <v>303</v>
      </c>
      <c r="Z11" s="64">
        <v>100000</v>
      </c>
      <c r="AA11" s="65">
        <v>2500000</v>
      </c>
      <c r="AB11" s="64">
        <v>50000</v>
      </c>
      <c r="AC11" s="66" t="s">
        <v>303</v>
      </c>
      <c r="AD11" s="67" t="str">
        <f>ConstructiveMatrix[[#This Row],[Borrower Experience]] &amp; "|" &amp; ConstructiveMatrix[[#This Row],[Project Type]] &amp; "|" &amp; ConstructiveMatrix[[#This Row],[Loan Type]] &amp; "|" &amp; ConstructiveMatrix[[#This Row],[Dwelling Type]] &amp; "|" &amp; ConstructiveMatrix[[#This Row],[FICO]]</f>
        <v>Platinum (5+)|Bridge (No Rehab)|Cash Out Refinance|Non-Warrantable Condo|740+</v>
      </c>
      <c r="AG11" s="44" t="s">
        <v>306</v>
      </c>
      <c r="AH11" s="45" t="s">
        <v>307</v>
      </c>
      <c r="AI11" s="84" t="s">
        <v>317</v>
      </c>
      <c r="AJ11" s="46" t="s">
        <v>309</v>
      </c>
      <c r="AK11" s="46" t="str">
        <f t="shared" si="0"/>
        <v>No Franchise| Lender Funded| 6-9 Projects| 660+| 93%</v>
      </c>
      <c r="AL11" s="47">
        <v>0.93</v>
      </c>
      <c r="AM11" s="47">
        <v>0.75</v>
      </c>
      <c r="AN11" s="47">
        <v>0.7</v>
      </c>
      <c r="AO11" s="48">
        <v>0.1075</v>
      </c>
      <c r="AP11" s="48">
        <v>0.01</v>
      </c>
      <c r="AQ11" s="48">
        <v>0.01</v>
      </c>
      <c r="AR11" s="48">
        <v>2.5000000000000001E-2</v>
      </c>
      <c r="AS11" s="48">
        <v>0.13750000000000001</v>
      </c>
      <c r="AT11" s="49">
        <v>2000000</v>
      </c>
      <c r="AU11" s="49">
        <v>75000</v>
      </c>
      <c r="AV11" s="49">
        <v>2000000</v>
      </c>
      <c r="AW11" s="48">
        <v>0.18</v>
      </c>
      <c r="AX11" s="49">
        <v>500000</v>
      </c>
      <c r="AY11" s="49">
        <v>995</v>
      </c>
      <c r="AZ11" s="50">
        <v>695</v>
      </c>
      <c r="BA11" s="49">
        <v>150</v>
      </c>
      <c r="BB11" s="49">
        <v>250</v>
      </c>
      <c r="BC11" s="50">
        <v>250</v>
      </c>
    </row>
    <row r="12" spans="1:55" x14ac:dyDescent="0.3">
      <c r="A12" s="25" t="s">
        <v>299</v>
      </c>
      <c r="B12" s="51" t="s">
        <v>300</v>
      </c>
      <c r="C12" s="52" t="s">
        <v>249</v>
      </c>
      <c r="D12" s="68" t="s">
        <v>315</v>
      </c>
      <c r="E12" s="69" t="s">
        <v>302</v>
      </c>
      <c r="F12" s="71">
        <v>0.85</v>
      </c>
      <c r="G12" s="71">
        <v>0.9</v>
      </c>
      <c r="H12" s="71">
        <v>0.75</v>
      </c>
      <c r="I12" s="72">
        <v>8.75</v>
      </c>
      <c r="J12" s="72">
        <v>0.5</v>
      </c>
      <c r="K12" s="72">
        <f t="shared" si="2"/>
        <v>9.25</v>
      </c>
      <c r="L12" s="73">
        <v>125000</v>
      </c>
      <c r="M12" s="74">
        <v>5000000</v>
      </c>
      <c r="N12" s="73">
        <v>500000</v>
      </c>
      <c r="O12" s="75" t="str">
        <f>ChurchillMatrix[[#This Row],[Experience Level]] &amp; "|" &amp; ChurchillMatrix[[#This Row],[Project Type]] &amp; "|" &amp; ChurchillMatrix[[#This Row],[Loan Type]] &amp; "|" &amp; ChurchillMatrix[[#This Row],[FICO]] &amp; "|" &amp; ChurchillMatrix[[#This Row],[Number of Units]]</f>
        <v>Institutional (10+) ($10m)|Fix and Flip (Light Rehab)|Cash Out Refinance|&gt;=700|&lt;=4 Units</v>
      </c>
      <c r="R12" s="60" t="s">
        <v>304</v>
      </c>
      <c r="S12" s="51" t="s">
        <v>255</v>
      </c>
      <c r="T12" s="102" t="s">
        <v>249</v>
      </c>
      <c r="U12" s="85" t="s">
        <v>316</v>
      </c>
      <c r="V12" s="77" t="s">
        <v>305</v>
      </c>
      <c r="W12" s="78">
        <v>0.7</v>
      </c>
      <c r="X12" s="78" t="s">
        <v>303</v>
      </c>
      <c r="Y12" s="78" t="s">
        <v>303</v>
      </c>
      <c r="Z12" s="79">
        <v>100000</v>
      </c>
      <c r="AA12" s="80">
        <v>2500000</v>
      </c>
      <c r="AB12" s="79">
        <v>50000</v>
      </c>
      <c r="AC12" s="81" t="s">
        <v>303</v>
      </c>
      <c r="AD12" s="82" t="str">
        <f>ConstructiveMatrix[[#This Row],[Borrower Experience]] &amp; "|" &amp; ConstructiveMatrix[[#This Row],[Project Type]] &amp; "|" &amp; ConstructiveMatrix[[#This Row],[Loan Type]] &amp; "|" &amp; ConstructiveMatrix[[#This Row],[Dwelling Type]] &amp; "|" &amp; ConstructiveMatrix[[#This Row],[FICO]]</f>
        <v>Platinum (5+)|Bridge (No Rehab)|Cash Out Refinance|Other (2-4 unit)|680-739</v>
      </c>
      <c r="AG12" s="44" t="s">
        <v>306</v>
      </c>
      <c r="AH12" s="45" t="s">
        <v>307</v>
      </c>
      <c r="AI12" s="84" t="s">
        <v>317</v>
      </c>
      <c r="AJ12" s="46" t="s">
        <v>312</v>
      </c>
      <c r="AK12" s="46" t="str">
        <f t="shared" si="0"/>
        <v>No Franchise| Lender Funded| 6-9 Projects| 640-659| 93%</v>
      </c>
      <c r="AL12" s="47">
        <v>0.93</v>
      </c>
      <c r="AM12" s="47">
        <v>0.75</v>
      </c>
      <c r="AN12" s="47">
        <v>0.7</v>
      </c>
      <c r="AO12" s="48">
        <v>0.1075</v>
      </c>
      <c r="AP12" s="48">
        <v>0.01</v>
      </c>
      <c r="AQ12" s="48">
        <v>0.01</v>
      </c>
      <c r="AR12" s="48">
        <v>2.5000000000000001E-2</v>
      </c>
      <c r="AS12" s="48">
        <v>0.13750000000000001</v>
      </c>
      <c r="AT12" s="49">
        <v>2000000</v>
      </c>
      <c r="AU12" s="49">
        <v>75000</v>
      </c>
      <c r="AV12" s="49">
        <v>2000000</v>
      </c>
      <c r="AW12" s="48">
        <v>0.18</v>
      </c>
      <c r="AX12" s="49">
        <v>500000</v>
      </c>
      <c r="AY12" s="49">
        <v>995</v>
      </c>
      <c r="AZ12" s="49">
        <v>695</v>
      </c>
      <c r="BA12" s="49">
        <v>150</v>
      </c>
      <c r="BB12" s="49">
        <v>250</v>
      </c>
      <c r="BC12" s="50">
        <v>250</v>
      </c>
    </row>
    <row r="13" spans="1:55" ht="15" thickBot="1" x14ac:dyDescent="0.35">
      <c r="A13" s="25" t="s">
        <v>299</v>
      </c>
      <c r="B13" s="51" t="s">
        <v>300</v>
      </c>
      <c r="C13" s="86" t="s">
        <v>249</v>
      </c>
      <c r="D13" s="87" t="s">
        <v>315</v>
      </c>
      <c r="E13" s="88" t="s">
        <v>310</v>
      </c>
      <c r="F13" s="89">
        <v>0.8</v>
      </c>
      <c r="G13" s="89">
        <v>0.8</v>
      </c>
      <c r="H13" s="89">
        <v>0.75</v>
      </c>
      <c r="I13" s="90">
        <v>8.75</v>
      </c>
      <c r="J13" s="90">
        <v>1.5</v>
      </c>
      <c r="K13" s="90">
        <f t="shared" si="2"/>
        <v>10.25</v>
      </c>
      <c r="L13" s="91">
        <v>125000</v>
      </c>
      <c r="M13" s="92">
        <v>5000000</v>
      </c>
      <c r="N13" s="91">
        <v>500000</v>
      </c>
      <c r="O13" s="93" t="str">
        <f>ChurchillMatrix[[#This Row],[Experience Level]] &amp; "|" &amp; ChurchillMatrix[[#This Row],[Project Type]] &amp; "|" &amp; ChurchillMatrix[[#This Row],[Loan Type]] &amp; "|" &amp; ChurchillMatrix[[#This Row],[FICO]] &amp; "|" &amp; ChurchillMatrix[[#This Row],[Number of Units]]</f>
        <v>Institutional (10+) ($10m)|Fix and Flip (Light Rehab)|Cash Out Refinance|&gt;=700|5-19 Units</v>
      </c>
      <c r="R13" s="60" t="s">
        <v>304</v>
      </c>
      <c r="S13" s="51" t="s">
        <v>255</v>
      </c>
      <c r="T13" s="103" t="s">
        <v>249</v>
      </c>
      <c r="U13" s="94" t="s">
        <v>316</v>
      </c>
      <c r="V13" s="95" t="s">
        <v>311</v>
      </c>
      <c r="W13" s="96">
        <v>0.7</v>
      </c>
      <c r="X13" s="96" t="s">
        <v>303</v>
      </c>
      <c r="Y13" s="96" t="s">
        <v>303</v>
      </c>
      <c r="Z13" s="97">
        <v>100000</v>
      </c>
      <c r="AA13" s="98">
        <v>2500000</v>
      </c>
      <c r="AB13" s="97">
        <v>50000</v>
      </c>
      <c r="AC13" s="99" t="s">
        <v>303</v>
      </c>
      <c r="AD13" s="100" t="str">
        <f>ConstructiveMatrix[[#This Row],[Borrower Experience]] &amp; "|" &amp; ConstructiveMatrix[[#This Row],[Project Type]] &amp; "|" &amp; ConstructiveMatrix[[#This Row],[Loan Type]] &amp; "|" &amp; ConstructiveMatrix[[#This Row],[Dwelling Type]] &amp; "|" &amp; ConstructiveMatrix[[#This Row],[FICO]]</f>
        <v>Platinum (5+)|Bridge (No Rehab)|Cash Out Refinance|Other (2-4 unit)|740+</v>
      </c>
      <c r="AG13" s="44" t="s">
        <v>306</v>
      </c>
      <c r="AH13" s="45" t="s">
        <v>307</v>
      </c>
      <c r="AI13" s="84" t="s">
        <v>317</v>
      </c>
      <c r="AJ13" s="46" t="s">
        <v>314</v>
      </c>
      <c r="AK13" s="46" t="str">
        <f t="shared" si="0"/>
        <v>No Franchise| Lender Funded| 6-9 Projects| 620-639| 93%</v>
      </c>
      <c r="AL13" s="47">
        <v>0.93</v>
      </c>
      <c r="AM13" s="47">
        <v>0.75</v>
      </c>
      <c r="AN13" s="47">
        <v>0.7</v>
      </c>
      <c r="AO13" s="48">
        <v>0.1075</v>
      </c>
      <c r="AP13" s="48">
        <v>0.01</v>
      </c>
      <c r="AQ13" s="48">
        <v>0.01</v>
      </c>
      <c r="AR13" s="48">
        <v>2.5000000000000001E-2</v>
      </c>
      <c r="AS13" s="48">
        <v>0.13750000000000001</v>
      </c>
      <c r="AT13" s="49">
        <v>2000000</v>
      </c>
      <c r="AU13" s="49">
        <v>75000</v>
      </c>
      <c r="AV13" s="49">
        <v>2000000</v>
      </c>
      <c r="AW13" s="48">
        <v>0.18</v>
      </c>
      <c r="AX13" s="49">
        <v>500000</v>
      </c>
      <c r="AY13" s="49">
        <v>995</v>
      </c>
      <c r="AZ13" s="49">
        <v>695</v>
      </c>
      <c r="BA13" s="49">
        <v>150</v>
      </c>
      <c r="BB13" s="49">
        <v>250</v>
      </c>
      <c r="BC13" s="50">
        <v>250</v>
      </c>
    </row>
    <row r="14" spans="1:55" x14ac:dyDescent="0.3">
      <c r="A14" s="25" t="s">
        <v>299</v>
      </c>
      <c r="B14" s="51" t="s">
        <v>300</v>
      </c>
      <c r="C14" s="27" t="s">
        <v>256</v>
      </c>
      <c r="D14" s="28" t="s">
        <v>301</v>
      </c>
      <c r="E14" s="29" t="s">
        <v>302</v>
      </c>
      <c r="F14" s="31">
        <v>0.85</v>
      </c>
      <c r="G14" s="31">
        <v>0.9</v>
      </c>
      <c r="H14" s="31">
        <v>0.75</v>
      </c>
      <c r="I14" s="32">
        <v>8.75</v>
      </c>
      <c r="J14" s="32">
        <v>0.25</v>
      </c>
      <c r="K14" s="32">
        <f t="shared" si="2"/>
        <v>9</v>
      </c>
      <c r="L14" s="33">
        <v>125000</v>
      </c>
      <c r="M14" s="34">
        <v>5000000</v>
      </c>
      <c r="N14" s="33" t="s">
        <v>303</v>
      </c>
      <c r="O14" s="35" t="str">
        <f>ChurchillMatrix[[#This Row],[Experience Level]] &amp; "|" &amp; ChurchillMatrix[[#This Row],[Project Type]] &amp; "|" &amp; ChurchillMatrix[[#This Row],[Loan Type]] &amp; "|" &amp; ChurchillMatrix[[#This Row],[FICO]] &amp; "|" &amp; ChurchillMatrix[[#This Row],[Number of Units]]</f>
        <v>Institutional (10+) ($10m)|Fix and Flip (Light Rehab)|Rate and Term Refinance|660 - 679|&lt;=4 Units</v>
      </c>
      <c r="R14" s="60" t="s">
        <v>304</v>
      </c>
      <c r="S14" s="51" t="s">
        <v>255</v>
      </c>
      <c r="T14" s="27" t="s">
        <v>256</v>
      </c>
      <c r="U14" s="37" t="s">
        <v>250</v>
      </c>
      <c r="V14" s="38" t="s">
        <v>305</v>
      </c>
      <c r="W14" s="39">
        <v>0.75</v>
      </c>
      <c r="X14" s="39" t="s">
        <v>303</v>
      </c>
      <c r="Y14" s="39" t="s">
        <v>303</v>
      </c>
      <c r="Z14" s="40">
        <v>100000</v>
      </c>
      <c r="AA14" s="41">
        <v>2500000</v>
      </c>
      <c r="AB14" s="40">
        <v>50000</v>
      </c>
      <c r="AC14" s="42" t="s">
        <v>303</v>
      </c>
      <c r="AD14" s="43" t="str">
        <f>ConstructiveMatrix[[#This Row],[Borrower Experience]] &amp; "|" &amp; ConstructiveMatrix[[#This Row],[Project Type]] &amp; "|" &amp; ConstructiveMatrix[[#This Row],[Loan Type]] &amp; "|" &amp; ConstructiveMatrix[[#This Row],[Dwelling Type]] &amp; "|" &amp; ConstructiveMatrix[[#This Row],[FICO]]</f>
        <v>Platinum (5+)|Bridge (No Rehab)|Rate and Term Refinance|Single Family|680-739</v>
      </c>
      <c r="AG14" s="44" t="s">
        <v>306</v>
      </c>
      <c r="AH14" s="45" t="s">
        <v>307</v>
      </c>
      <c r="AI14" s="84" t="s">
        <v>317</v>
      </c>
      <c r="AJ14" s="46" t="s">
        <v>309</v>
      </c>
      <c r="AK14" s="46" t="str">
        <f t="shared" si="0"/>
        <v>No Franchise| Lender Funded| 6-9 Projects| 660+| 90%</v>
      </c>
      <c r="AL14" s="47">
        <v>0.9</v>
      </c>
      <c r="AM14" s="47">
        <v>0.75</v>
      </c>
      <c r="AN14" s="47">
        <v>0.7</v>
      </c>
      <c r="AO14" s="48">
        <v>0.105</v>
      </c>
      <c r="AP14" s="48">
        <v>8.7500000000000008E-3</v>
      </c>
      <c r="AQ14" s="48">
        <v>8.7500000000000008E-3</v>
      </c>
      <c r="AR14" s="48">
        <v>2.2499999999999999E-2</v>
      </c>
      <c r="AS14" s="48">
        <v>0.13250000000000001</v>
      </c>
      <c r="AT14" s="49">
        <v>2000000</v>
      </c>
      <c r="AU14" s="49">
        <v>75000</v>
      </c>
      <c r="AV14" s="49">
        <v>2000000</v>
      </c>
      <c r="AW14" s="48">
        <v>0.18</v>
      </c>
      <c r="AX14" s="49">
        <v>500000</v>
      </c>
      <c r="AY14" s="49">
        <v>995</v>
      </c>
      <c r="AZ14" s="50">
        <v>695</v>
      </c>
      <c r="BA14" s="49">
        <v>150</v>
      </c>
      <c r="BB14" s="49">
        <v>250</v>
      </c>
      <c r="BC14" s="50">
        <v>250</v>
      </c>
    </row>
    <row r="15" spans="1:55" x14ac:dyDescent="0.3">
      <c r="A15" s="25" t="s">
        <v>299</v>
      </c>
      <c r="B15" s="51" t="s">
        <v>300</v>
      </c>
      <c r="C15" s="104" t="s">
        <v>256</v>
      </c>
      <c r="D15" s="53" t="s">
        <v>301</v>
      </c>
      <c r="E15" s="54" t="s">
        <v>310</v>
      </c>
      <c r="F15" s="55">
        <v>0.8</v>
      </c>
      <c r="G15" s="55">
        <v>0.8</v>
      </c>
      <c r="H15" s="55">
        <v>0.75</v>
      </c>
      <c r="I15" s="56">
        <v>8.75</v>
      </c>
      <c r="J15" s="56">
        <v>1.25</v>
      </c>
      <c r="K15" s="56">
        <f t="shared" si="2"/>
        <v>10</v>
      </c>
      <c r="L15" s="57">
        <v>125000</v>
      </c>
      <c r="M15" s="58">
        <v>5000000</v>
      </c>
      <c r="N15" s="57" t="s">
        <v>303</v>
      </c>
      <c r="O15" s="59" t="str">
        <f>ChurchillMatrix[[#This Row],[Experience Level]] &amp; "|" &amp; ChurchillMatrix[[#This Row],[Project Type]] &amp; "|" &amp; ChurchillMatrix[[#This Row],[Loan Type]] &amp; "|" &amp; ChurchillMatrix[[#This Row],[FICO]] &amp; "|" &amp; ChurchillMatrix[[#This Row],[Number of Units]]</f>
        <v>Institutional (10+) ($10m)|Fix and Flip (Light Rehab)|Rate and Term Refinance|660 - 679|5-19 Units</v>
      </c>
      <c r="R15" s="60" t="s">
        <v>304</v>
      </c>
      <c r="S15" s="51" t="s">
        <v>255</v>
      </c>
      <c r="T15" s="52" t="s">
        <v>256</v>
      </c>
      <c r="U15" s="61" t="s">
        <v>250</v>
      </c>
      <c r="V15" s="62" t="s">
        <v>311</v>
      </c>
      <c r="W15" s="63">
        <v>0.75</v>
      </c>
      <c r="X15" s="63" t="s">
        <v>303</v>
      </c>
      <c r="Y15" s="63" t="s">
        <v>303</v>
      </c>
      <c r="Z15" s="64">
        <v>100000</v>
      </c>
      <c r="AA15" s="65">
        <v>2500000</v>
      </c>
      <c r="AB15" s="64">
        <v>50000</v>
      </c>
      <c r="AC15" s="66" t="s">
        <v>303</v>
      </c>
      <c r="AD15" s="67" t="str">
        <f>ConstructiveMatrix[[#This Row],[Borrower Experience]] &amp; "|" &amp; ConstructiveMatrix[[#This Row],[Project Type]] &amp; "|" &amp; ConstructiveMatrix[[#This Row],[Loan Type]] &amp; "|" &amp; ConstructiveMatrix[[#This Row],[Dwelling Type]] &amp; "|" &amp; ConstructiveMatrix[[#This Row],[FICO]]</f>
        <v>Platinum (5+)|Bridge (No Rehab)|Rate and Term Refinance|Single Family|740+</v>
      </c>
      <c r="AG15" s="44" t="s">
        <v>306</v>
      </c>
      <c r="AH15" s="45" t="s">
        <v>307</v>
      </c>
      <c r="AI15" s="84" t="s">
        <v>317</v>
      </c>
      <c r="AJ15" s="46" t="s">
        <v>312</v>
      </c>
      <c r="AK15" s="46" t="str">
        <f t="shared" si="0"/>
        <v>No Franchise| Lender Funded| 6-9 Projects| 640-659| 90%</v>
      </c>
      <c r="AL15" s="47">
        <v>0.9</v>
      </c>
      <c r="AM15" s="47">
        <v>0.75</v>
      </c>
      <c r="AN15" s="47">
        <v>0.7</v>
      </c>
      <c r="AO15" s="48">
        <v>0.105</v>
      </c>
      <c r="AP15" s="48">
        <v>8.7500000000000008E-3</v>
      </c>
      <c r="AQ15" s="48">
        <v>8.7500000000000008E-3</v>
      </c>
      <c r="AR15" s="48">
        <v>2.2499999999999999E-2</v>
      </c>
      <c r="AS15" s="48">
        <v>0.13250000000000001</v>
      </c>
      <c r="AT15" s="49">
        <v>2000000</v>
      </c>
      <c r="AU15" s="49">
        <v>75000</v>
      </c>
      <c r="AV15" s="49">
        <v>2000000</v>
      </c>
      <c r="AW15" s="48">
        <v>0.18</v>
      </c>
      <c r="AX15" s="49">
        <v>500000</v>
      </c>
      <c r="AY15" s="49">
        <v>995</v>
      </c>
      <c r="AZ15" s="49">
        <v>695</v>
      </c>
      <c r="BA15" s="49">
        <v>150</v>
      </c>
      <c r="BB15" s="49">
        <v>250</v>
      </c>
      <c r="BC15" s="50">
        <v>250</v>
      </c>
    </row>
    <row r="16" spans="1:55" x14ac:dyDescent="0.3">
      <c r="A16" s="25" t="s">
        <v>299</v>
      </c>
      <c r="B16" s="51" t="s">
        <v>300</v>
      </c>
      <c r="C16" s="52" t="s">
        <v>256</v>
      </c>
      <c r="D16" s="68" t="s">
        <v>313</v>
      </c>
      <c r="E16" s="69" t="s">
        <v>302</v>
      </c>
      <c r="F16" s="71">
        <v>0.85</v>
      </c>
      <c r="G16" s="71">
        <v>0.9</v>
      </c>
      <c r="H16" s="71">
        <v>0.75</v>
      </c>
      <c r="I16" s="72">
        <v>8.75</v>
      </c>
      <c r="J16" s="72">
        <v>0.25</v>
      </c>
      <c r="K16" s="72">
        <f t="shared" si="2"/>
        <v>9</v>
      </c>
      <c r="L16" s="73">
        <v>125000</v>
      </c>
      <c r="M16" s="74">
        <v>5000000</v>
      </c>
      <c r="N16" s="73" t="s">
        <v>303</v>
      </c>
      <c r="O16" s="75" t="str">
        <f>ChurchillMatrix[[#This Row],[Experience Level]] &amp; "|" &amp; ChurchillMatrix[[#This Row],[Project Type]] &amp; "|" &amp; ChurchillMatrix[[#This Row],[Loan Type]] &amp; "|" &amp; ChurchillMatrix[[#This Row],[FICO]] &amp; "|" &amp; ChurchillMatrix[[#This Row],[Number of Units]]</f>
        <v>Institutional (10+) ($10m)|Fix and Flip (Light Rehab)|Rate and Term Refinance|680 - 699|&lt;=4 Units</v>
      </c>
      <c r="R16" s="60" t="s">
        <v>304</v>
      </c>
      <c r="S16" s="51" t="s">
        <v>255</v>
      </c>
      <c r="T16" s="52" t="s">
        <v>256</v>
      </c>
      <c r="U16" s="76" t="s">
        <v>259</v>
      </c>
      <c r="V16" s="77" t="s">
        <v>305</v>
      </c>
      <c r="W16" s="78">
        <v>0.65</v>
      </c>
      <c r="X16" s="78" t="s">
        <v>303</v>
      </c>
      <c r="Y16" s="78" t="s">
        <v>303</v>
      </c>
      <c r="Z16" s="79">
        <v>100000</v>
      </c>
      <c r="AA16" s="80">
        <v>2500000</v>
      </c>
      <c r="AB16" s="79">
        <v>50000</v>
      </c>
      <c r="AC16" s="81" t="s">
        <v>303</v>
      </c>
      <c r="AD16" s="82" t="str">
        <f>ConstructiveMatrix[[#This Row],[Borrower Experience]] &amp; "|" &amp; ConstructiveMatrix[[#This Row],[Project Type]] &amp; "|" &amp; ConstructiveMatrix[[#This Row],[Loan Type]] &amp; "|" &amp; ConstructiveMatrix[[#This Row],[Dwelling Type]] &amp; "|" &amp; ConstructiveMatrix[[#This Row],[FICO]]</f>
        <v>Platinum (5+)|Bridge (No Rehab)|Rate and Term Refinance|Non-Warrantable Condo|680-739</v>
      </c>
      <c r="AG16" s="44" t="s">
        <v>306</v>
      </c>
      <c r="AH16" s="45" t="s">
        <v>307</v>
      </c>
      <c r="AI16" s="84" t="s">
        <v>317</v>
      </c>
      <c r="AJ16" s="46" t="s">
        <v>314</v>
      </c>
      <c r="AK16" s="46" t="str">
        <f t="shared" si="0"/>
        <v>No Franchise| Lender Funded| 6-9 Projects| 620-639| 90%</v>
      </c>
      <c r="AL16" s="47">
        <v>0.9</v>
      </c>
      <c r="AM16" s="47">
        <v>0.75</v>
      </c>
      <c r="AN16" s="47">
        <v>0.7</v>
      </c>
      <c r="AO16" s="48">
        <v>0.105</v>
      </c>
      <c r="AP16" s="48">
        <v>8.7500000000000008E-3</v>
      </c>
      <c r="AQ16" s="48">
        <v>8.7500000000000008E-3</v>
      </c>
      <c r="AR16" s="48">
        <v>2.2499999999999999E-2</v>
      </c>
      <c r="AS16" s="48">
        <v>0.13250000000000001</v>
      </c>
      <c r="AT16" s="49">
        <v>2000000</v>
      </c>
      <c r="AU16" s="49">
        <v>75000</v>
      </c>
      <c r="AV16" s="49">
        <v>2000000</v>
      </c>
      <c r="AW16" s="48">
        <v>0.18</v>
      </c>
      <c r="AX16" s="49">
        <v>500000</v>
      </c>
      <c r="AY16" s="49">
        <v>995</v>
      </c>
      <c r="AZ16" s="49">
        <v>695</v>
      </c>
      <c r="BA16" s="49">
        <v>150</v>
      </c>
      <c r="BB16" s="49">
        <v>250</v>
      </c>
      <c r="BC16" s="50">
        <v>250</v>
      </c>
    </row>
    <row r="17" spans="1:55" x14ac:dyDescent="0.3">
      <c r="A17" s="25" t="s">
        <v>299</v>
      </c>
      <c r="B17" s="51" t="s">
        <v>300</v>
      </c>
      <c r="C17" s="104" t="s">
        <v>256</v>
      </c>
      <c r="D17" s="53" t="s">
        <v>313</v>
      </c>
      <c r="E17" s="54" t="s">
        <v>310</v>
      </c>
      <c r="F17" s="55">
        <v>0.8</v>
      </c>
      <c r="G17" s="55">
        <v>0.8</v>
      </c>
      <c r="H17" s="55">
        <v>0.75</v>
      </c>
      <c r="I17" s="56">
        <v>8.75</v>
      </c>
      <c r="J17" s="56">
        <v>1.25</v>
      </c>
      <c r="K17" s="56">
        <f t="shared" si="2"/>
        <v>10</v>
      </c>
      <c r="L17" s="57">
        <v>125000</v>
      </c>
      <c r="M17" s="58">
        <v>5000000</v>
      </c>
      <c r="N17" s="57" t="s">
        <v>303</v>
      </c>
      <c r="O17" s="59" t="str">
        <f>ChurchillMatrix[[#This Row],[Experience Level]] &amp; "|" &amp; ChurchillMatrix[[#This Row],[Project Type]] &amp; "|" &amp; ChurchillMatrix[[#This Row],[Loan Type]] &amp; "|" &amp; ChurchillMatrix[[#This Row],[FICO]] &amp; "|" &amp; ChurchillMatrix[[#This Row],[Number of Units]]</f>
        <v>Institutional (10+) ($10m)|Fix and Flip (Light Rehab)|Rate and Term Refinance|680 - 699|5-19 Units</v>
      </c>
      <c r="R17" s="60" t="s">
        <v>304</v>
      </c>
      <c r="S17" s="51" t="s">
        <v>255</v>
      </c>
      <c r="T17" s="52" t="s">
        <v>256</v>
      </c>
      <c r="U17" s="83" t="s">
        <v>259</v>
      </c>
      <c r="V17" s="62" t="s">
        <v>311</v>
      </c>
      <c r="W17" s="63">
        <v>0.65</v>
      </c>
      <c r="X17" s="63" t="s">
        <v>303</v>
      </c>
      <c r="Y17" s="63" t="s">
        <v>303</v>
      </c>
      <c r="Z17" s="64">
        <v>100000</v>
      </c>
      <c r="AA17" s="65">
        <v>2500000</v>
      </c>
      <c r="AB17" s="64">
        <v>50000</v>
      </c>
      <c r="AC17" s="66" t="s">
        <v>303</v>
      </c>
      <c r="AD17" s="67" t="str">
        <f>ConstructiveMatrix[[#This Row],[Borrower Experience]] &amp; "|" &amp; ConstructiveMatrix[[#This Row],[Project Type]] &amp; "|" &amp; ConstructiveMatrix[[#This Row],[Loan Type]] &amp; "|" &amp; ConstructiveMatrix[[#This Row],[Dwelling Type]] &amp; "|" &amp; ConstructiveMatrix[[#This Row],[FICO]]</f>
        <v>Platinum (5+)|Bridge (No Rehab)|Rate and Term Refinance|Non-Warrantable Condo|740+</v>
      </c>
      <c r="AG17" s="44" t="s">
        <v>306</v>
      </c>
      <c r="AH17" s="45" t="s">
        <v>307</v>
      </c>
      <c r="AI17" s="84" t="s">
        <v>317</v>
      </c>
      <c r="AJ17" s="46" t="s">
        <v>309</v>
      </c>
      <c r="AK17" s="46" t="str">
        <f t="shared" si="0"/>
        <v>No Franchise| Lender Funded| 6-9 Projects| 660+| 85%</v>
      </c>
      <c r="AL17" s="47">
        <v>0.85</v>
      </c>
      <c r="AM17" s="47">
        <v>0.75</v>
      </c>
      <c r="AN17" s="47">
        <v>0.7</v>
      </c>
      <c r="AO17" s="48">
        <v>0.10249999999999999</v>
      </c>
      <c r="AP17" s="48">
        <v>8.7500000000000008E-3</v>
      </c>
      <c r="AQ17" s="48">
        <v>8.7500000000000008E-3</v>
      </c>
      <c r="AR17" s="48">
        <v>2.2499999999999999E-2</v>
      </c>
      <c r="AS17" s="48">
        <v>0.13</v>
      </c>
      <c r="AT17" s="49">
        <v>2000000</v>
      </c>
      <c r="AU17" s="49">
        <v>75000</v>
      </c>
      <c r="AV17" s="49">
        <v>2000000</v>
      </c>
      <c r="AW17" s="48">
        <v>0.18</v>
      </c>
      <c r="AX17" s="49">
        <v>500000</v>
      </c>
      <c r="AY17" s="49">
        <v>995</v>
      </c>
      <c r="AZ17" s="50">
        <v>695</v>
      </c>
      <c r="BA17" s="49">
        <v>150</v>
      </c>
      <c r="BB17" s="49">
        <v>250</v>
      </c>
      <c r="BC17" s="50">
        <v>250</v>
      </c>
    </row>
    <row r="18" spans="1:55" x14ac:dyDescent="0.3">
      <c r="A18" s="25" t="s">
        <v>299</v>
      </c>
      <c r="B18" s="51" t="s">
        <v>300</v>
      </c>
      <c r="C18" s="52" t="s">
        <v>256</v>
      </c>
      <c r="D18" s="68" t="s">
        <v>315</v>
      </c>
      <c r="E18" s="69" t="s">
        <v>302</v>
      </c>
      <c r="F18" s="71">
        <v>0.85</v>
      </c>
      <c r="G18" s="71">
        <v>0.9</v>
      </c>
      <c r="H18" s="71">
        <v>0.75</v>
      </c>
      <c r="I18" s="72">
        <v>8.75</v>
      </c>
      <c r="J18" s="72">
        <v>0</v>
      </c>
      <c r="K18" s="72">
        <f t="shared" si="2"/>
        <v>8.75</v>
      </c>
      <c r="L18" s="73">
        <v>125000</v>
      </c>
      <c r="M18" s="74">
        <v>5000000</v>
      </c>
      <c r="N18" s="73" t="s">
        <v>303</v>
      </c>
      <c r="O18" s="75" t="str">
        <f>ChurchillMatrix[[#This Row],[Experience Level]] &amp; "|" &amp; ChurchillMatrix[[#This Row],[Project Type]] &amp; "|" &amp; ChurchillMatrix[[#This Row],[Loan Type]] &amp; "|" &amp; ChurchillMatrix[[#This Row],[FICO]] &amp; "|" &amp; ChurchillMatrix[[#This Row],[Number of Units]]</f>
        <v>Institutional (10+) ($10m)|Fix and Flip (Light Rehab)|Rate and Term Refinance|&gt;=700|&lt;=4 Units</v>
      </c>
      <c r="R18" s="60" t="s">
        <v>304</v>
      </c>
      <c r="S18" s="51" t="s">
        <v>255</v>
      </c>
      <c r="T18" s="52" t="s">
        <v>256</v>
      </c>
      <c r="U18" s="85" t="s">
        <v>316</v>
      </c>
      <c r="V18" s="77" t="s">
        <v>305</v>
      </c>
      <c r="W18" s="78">
        <v>0.75</v>
      </c>
      <c r="X18" s="78" t="s">
        <v>303</v>
      </c>
      <c r="Y18" s="78" t="s">
        <v>303</v>
      </c>
      <c r="Z18" s="79">
        <v>100000</v>
      </c>
      <c r="AA18" s="80">
        <v>2500000</v>
      </c>
      <c r="AB18" s="79">
        <v>50000</v>
      </c>
      <c r="AC18" s="81" t="s">
        <v>303</v>
      </c>
      <c r="AD18" s="82" t="str">
        <f>ConstructiveMatrix[[#This Row],[Borrower Experience]] &amp; "|" &amp; ConstructiveMatrix[[#This Row],[Project Type]] &amp; "|" &amp; ConstructiveMatrix[[#This Row],[Loan Type]] &amp; "|" &amp; ConstructiveMatrix[[#This Row],[Dwelling Type]] &amp; "|" &amp; ConstructiveMatrix[[#This Row],[FICO]]</f>
        <v>Platinum (5+)|Bridge (No Rehab)|Rate and Term Refinance|Other (2-4 unit)|680-739</v>
      </c>
      <c r="AG18" s="44" t="s">
        <v>306</v>
      </c>
      <c r="AH18" s="45" t="s">
        <v>307</v>
      </c>
      <c r="AI18" s="84" t="s">
        <v>317</v>
      </c>
      <c r="AJ18" s="46" t="s">
        <v>312</v>
      </c>
      <c r="AK18" s="46" t="str">
        <f t="shared" si="0"/>
        <v>No Franchise| Lender Funded| 6-9 Projects| 640-659| 85%</v>
      </c>
      <c r="AL18" s="47">
        <v>0.85</v>
      </c>
      <c r="AM18" s="47">
        <v>0.75</v>
      </c>
      <c r="AN18" s="47">
        <v>0.7</v>
      </c>
      <c r="AO18" s="48">
        <v>0.10249999999999999</v>
      </c>
      <c r="AP18" s="48">
        <v>8.7500000000000008E-3</v>
      </c>
      <c r="AQ18" s="48">
        <v>8.7500000000000008E-3</v>
      </c>
      <c r="AR18" s="48">
        <v>2.2499999999999999E-2</v>
      </c>
      <c r="AS18" s="48">
        <v>0.13</v>
      </c>
      <c r="AT18" s="49">
        <v>2000000</v>
      </c>
      <c r="AU18" s="49">
        <v>75000</v>
      </c>
      <c r="AV18" s="49">
        <v>2000000</v>
      </c>
      <c r="AW18" s="48">
        <v>0.18</v>
      </c>
      <c r="AX18" s="49">
        <v>500000</v>
      </c>
      <c r="AY18" s="49">
        <v>995</v>
      </c>
      <c r="AZ18" s="49">
        <v>695</v>
      </c>
      <c r="BA18" s="49">
        <v>150</v>
      </c>
      <c r="BB18" s="49">
        <v>250</v>
      </c>
      <c r="BC18" s="50">
        <v>250</v>
      </c>
    </row>
    <row r="19" spans="1:55" ht="15" thickBot="1" x14ac:dyDescent="0.35">
      <c r="A19" s="25" t="s">
        <v>299</v>
      </c>
      <c r="B19" s="51" t="s">
        <v>300</v>
      </c>
      <c r="C19" s="86" t="s">
        <v>256</v>
      </c>
      <c r="D19" s="87" t="s">
        <v>315</v>
      </c>
      <c r="E19" s="88" t="s">
        <v>310</v>
      </c>
      <c r="F19" s="89">
        <v>0.8</v>
      </c>
      <c r="G19" s="89">
        <v>0.8</v>
      </c>
      <c r="H19" s="89">
        <v>0.75</v>
      </c>
      <c r="I19" s="90">
        <v>8.75</v>
      </c>
      <c r="J19" s="90">
        <v>1</v>
      </c>
      <c r="K19" s="90">
        <f t="shared" si="2"/>
        <v>9.75</v>
      </c>
      <c r="L19" s="91">
        <v>125000</v>
      </c>
      <c r="M19" s="92">
        <v>5000000</v>
      </c>
      <c r="N19" s="91" t="s">
        <v>303</v>
      </c>
      <c r="O19" s="93" t="str">
        <f>ChurchillMatrix[[#This Row],[Experience Level]] &amp; "|" &amp; ChurchillMatrix[[#This Row],[Project Type]] &amp; "|" &amp; ChurchillMatrix[[#This Row],[Loan Type]] &amp; "|" &amp; ChurchillMatrix[[#This Row],[FICO]] &amp; "|" &amp; ChurchillMatrix[[#This Row],[Number of Units]]</f>
        <v>Institutional (10+) ($10m)|Fix and Flip (Light Rehab)|Rate and Term Refinance|&gt;=700|5-19 Units</v>
      </c>
      <c r="R19" s="60" t="s">
        <v>304</v>
      </c>
      <c r="S19" s="111" t="s">
        <v>255</v>
      </c>
      <c r="T19" s="86" t="s">
        <v>256</v>
      </c>
      <c r="U19" s="94" t="s">
        <v>316</v>
      </c>
      <c r="V19" s="95" t="s">
        <v>311</v>
      </c>
      <c r="W19" s="96">
        <v>0.75</v>
      </c>
      <c r="X19" s="96" t="s">
        <v>303</v>
      </c>
      <c r="Y19" s="96" t="s">
        <v>303</v>
      </c>
      <c r="Z19" s="97">
        <v>100000</v>
      </c>
      <c r="AA19" s="98">
        <v>2500000</v>
      </c>
      <c r="AB19" s="97">
        <v>50000</v>
      </c>
      <c r="AC19" s="99" t="s">
        <v>303</v>
      </c>
      <c r="AD19" s="100" t="str">
        <f>ConstructiveMatrix[[#This Row],[Borrower Experience]] &amp; "|" &amp; ConstructiveMatrix[[#This Row],[Project Type]] &amp; "|" &amp; ConstructiveMatrix[[#This Row],[Loan Type]] &amp; "|" &amp; ConstructiveMatrix[[#This Row],[Dwelling Type]] &amp; "|" &amp; ConstructiveMatrix[[#This Row],[FICO]]</f>
        <v>Platinum (5+)|Bridge (No Rehab)|Rate and Term Refinance|Other (2-4 unit)|740+</v>
      </c>
      <c r="AG19" s="44" t="s">
        <v>306</v>
      </c>
      <c r="AH19" s="45" t="s">
        <v>307</v>
      </c>
      <c r="AI19" s="84" t="s">
        <v>317</v>
      </c>
      <c r="AJ19" s="46" t="s">
        <v>314</v>
      </c>
      <c r="AK19" s="46" t="str">
        <f t="shared" si="0"/>
        <v>No Franchise| Lender Funded| 6-9 Projects| 620-639| 85%</v>
      </c>
      <c r="AL19" s="47">
        <v>0.85</v>
      </c>
      <c r="AM19" s="47">
        <v>0.75</v>
      </c>
      <c r="AN19" s="47">
        <v>0.7</v>
      </c>
      <c r="AO19" s="48">
        <v>0.10249999999999999</v>
      </c>
      <c r="AP19" s="48">
        <v>8.7500000000000008E-3</v>
      </c>
      <c r="AQ19" s="48">
        <v>8.7500000000000008E-3</v>
      </c>
      <c r="AR19" s="48">
        <v>2.2499999999999999E-2</v>
      </c>
      <c r="AS19" s="48">
        <v>0.13</v>
      </c>
      <c r="AT19" s="49">
        <v>2000000</v>
      </c>
      <c r="AU19" s="49">
        <v>75000</v>
      </c>
      <c r="AV19" s="49">
        <v>2000000</v>
      </c>
      <c r="AW19" s="48">
        <v>0.18</v>
      </c>
      <c r="AX19" s="49">
        <v>500000</v>
      </c>
      <c r="AY19" s="49">
        <v>995</v>
      </c>
      <c r="AZ19" s="49">
        <v>695</v>
      </c>
      <c r="BA19" s="49">
        <v>150</v>
      </c>
      <c r="BB19" s="49">
        <v>250</v>
      </c>
      <c r="BC19" s="50">
        <v>250</v>
      </c>
    </row>
    <row r="20" spans="1:55" x14ac:dyDescent="0.3">
      <c r="A20" s="25" t="s">
        <v>299</v>
      </c>
      <c r="B20" s="51" t="s">
        <v>318</v>
      </c>
      <c r="C20" s="27" t="s">
        <v>251</v>
      </c>
      <c r="D20" s="28" t="s">
        <v>301</v>
      </c>
      <c r="E20" s="29" t="s">
        <v>302</v>
      </c>
      <c r="F20" s="112">
        <v>0.85</v>
      </c>
      <c r="G20" s="112">
        <v>0.85</v>
      </c>
      <c r="H20" s="31">
        <v>0.75</v>
      </c>
      <c r="I20" s="32">
        <v>9</v>
      </c>
      <c r="J20" s="32">
        <v>0.25</v>
      </c>
      <c r="K20" s="32">
        <f t="shared" si="2"/>
        <v>9.25</v>
      </c>
      <c r="L20" s="33">
        <v>125000</v>
      </c>
      <c r="M20" s="34">
        <v>5000000</v>
      </c>
      <c r="N20" s="33" t="s">
        <v>303</v>
      </c>
      <c r="O20" s="35" t="str">
        <f>ChurchillMatrix[[#This Row],[Experience Level]] &amp; "|" &amp; ChurchillMatrix[[#This Row],[Project Type]] &amp; "|" &amp; ChurchillMatrix[[#This Row],[Loan Type]] &amp; "|" &amp; ChurchillMatrix[[#This Row],[FICO]] &amp; "|" &amp; ChurchillMatrix[[#This Row],[Number of Units]]</f>
        <v>Institutional (10+) ($10m)|Fix and Flip (Heavy Rehab)|Purchase|660 - 679|&lt;=4 Units</v>
      </c>
      <c r="R20" s="60" t="s">
        <v>304</v>
      </c>
      <c r="S20" s="26" t="s">
        <v>300</v>
      </c>
      <c r="T20" s="27" t="s">
        <v>251</v>
      </c>
      <c r="U20" s="37" t="s">
        <v>250</v>
      </c>
      <c r="V20" s="113" t="s">
        <v>305</v>
      </c>
      <c r="W20" s="114">
        <v>0.85</v>
      </c>
      <c r="X20" s="114">
        <v>0.9</v>
      </c>
      <c r="Y20" s="114">
        <v>0.75</v>
      </c>
      <c r="Z20" s="115">
        <v>100000</v>
      </c>
      <c r="AA20" s="116">
        <v>2500000</v>
      </c>
      <c r="AB20" s="115">
        <v>30000</v>
      </c>
      <c r="AC20" s="117">
        <v>50000</v>
      </c>
      <c r="AD20" s="43" t="str">
        <f>ConstructiveMatrix[[#This Row],[Borrower Experience]] &amp; "|" &amp; ConstructiveMatrix[[#This Row],[Project Type]] &amp; "|" &amp; ConstructiveMatrix[[#This Row],[Loan Type]] &amp; "|" &amp; ConstructiveMatrix[[#This Row],[Dwelling Type]] &amp; "|" &amp; ConstructiveMatrix[[#This Row],[FICO]]</f>
        <v>Platinum (5+)|Fix and Flip (Light Rehab)|Purchase|Single Family|680-739</v>
      </c>
      <c r="AG20" s="44" t="s">
        <v>306</v>
      </c>
      <c r="AH20" s="45" t="s">
        <v>307</v>
      </c>
      <c r="AI20" s="45" t="s">
        <v>319</v>
      </c>
      <c r="AJ20" s="46" t="s">
        <v>309</v>
      </c>
      <c r="AK20" s="46" t="str">
        <f t="shared" si="0"/>
        <v>No Franchise| Lender Funded| 3-5 Projects| 660+| 90%</v>
      </c>
      <c r="AL20" s="47">
        <v>0.9</v>
      </c>
      <c r="AM20" s="47">
        <v>0.75</v>
      </c>
      <c r="AN20" s="47">
        <v>0.7</v>
      </c>
      <c r="AO20" s="48">
        <v>0.10625</v>
      </c>
      <c r="AP20" s="48">
        <v>0.01</v>
      </c>
      <c r="AQ20" s="48">
        <v>0.01</v>
      </c>
      <c r="AR20" s="48">
        <v>2.5000000000000001E-2</v>
      </c>
      <c r="AS20" s="48">
        <v>0.13625000000000001</v>
      </c>
      <c r="AT20" s="49">
        <v>2000000</v>
      </c>
      <c r="AU20" s="49">
        <v>75000</v>
      </c>
      <c r="AV20" s="49">
        <v>2000000</v>
      </c>
      <c r="AW20" s="48">
        <v>0.18</v>
      </c>
      <c r="AX20" s="49">
        <v>500000</v>
      </c>
      <c r="AY20" s="49">
        <v>995</v>
      </c>
      <c r="AZ20" s="50">
        <v>695</v>
      </c>
      <c r="BA20" s="49">
        <v>150</v>
      </c>
      <c r="BB20" s="49">
        <v>250</v>
      </c>
      <c r="BC20" s="50">
        <v>250</v>
      </c>
    </row>
    <row r="21" spans="1:55" x14ac:dyDescent="0.3">
      <c r="A21" s="25" t="s">
        <v>299</v>
      </c>
      <c r="B21" s="51" t="s">
        <v>318</v>
      </c>
      <c r="C21" s="52" t="s">
        <v>251</v>
      </c>
      <c r="D21" s="53" t="s">
        <v>301</v>
      </c>
      <c r="E21" s="54" t="s">
        <v>310</v>
      </c>
      <c r="F21" s="55">
        <v>0.8</v>
      </c>
      <c r="G21" s="55">
        <v>0.8</v>
      </c>
      <c r="H21" s="55">
        <v>0.75</v>
      </c>
      <c r="I21" s="56">
        <v>9</v>
      </c>
      <c r="J21" s="56">
        <v>1.25</v>
      </c>
      <c r="K21" s="56">
        <f t="shared" si="2"/>
        <v>10.25</v>
      </c>
      <c r="L21" s="57">
        <v>125000</v>
      </c>
      <c r="M21" s="58">
        <v>5000000</v>
      </c>
      <c r="N21" s="57" t="s">
        <v>303</v>
      </c>
      <c r="O21" s="59" t="str">
        <f>ChurchillMatrix[[#This Row],[Experience Level]] &amp; "|" &amp; ChurchillMatrix[[#This Row],[Project Type]] &amp; "|" &amp; ChurchillMatrix[[#This Row],[Loan Type]] &amp; "|" &amp; ChurchillMatrix[[#This Row],[FICO]] &amp; "|" &amp; ChurchillMatrix[[#This Row],[Number of Units]]</f>
        <v>Institutional (10+) ($10m)|Fix and Flip (Heavy Rehab)|Purchase|660 - 679|5-19 Units</v>
      </c>
      <c r="R21" s="60" t="s">
        <v>304</v>
      </c>
      <c r="S21" s="51" t="s">
        <v>300</v>
      </c>
      <c r="T21" s="52" t="s">
        <v>251</v>
      </c>
      <c r="U21" s="61" t="s">
        <v>250</v>
      </c>
      <c r="V21" s="118" t="s">
        <v>311</v>
      </c>
      <c r="W21" s="63">
        <v>0.9</v>
      </c>
      <c r="X21" s="63">
        <v>0.95</v>
      </c>
      <c r="Y21" s="63">
        <v>0.75</v>
      </c>
      <c r="Z21" s="64">
        <v>100000</v>
      </c>
      <c r="AA21" s="65">
        <v>2500000</v>
      </c>
      <c r="AB21" s="64">
        <v>30000</v>
      </c>
      <c r="AC21" s="66">
        <v>50000</v>
      </c>
      <c r="AD21" s="67" t="str">
        <f>ConstructiveMatrix[[#This Row],[Borrower Experience]] &amp; "|" &amp; ConstructiveMatrix[[#This Row],[Project Type]] &amp; "|" &amp; ConstructiveMatrix[[#This Row],[Loan Type]] &amp; "|" &amp; ConstructiveMatrix[[#This Row],[Dwelling Type]] &amp; "|" &amp; ConstructiveMatrix[[#This Row],[FICO]]</f>
        <v>Platinum (5+)|Fix and Flip (Light Rehab)|Purchase|Single Family|740+</v>
      </c>
      <c r="AG21" s="44" t="s">
        <v>306</v>
      </c>
      <c r="AH21" s="45" t="s">
        <v>307</v>
      </c>
      <c r="AI21" s="45" t="s">
        <v>319</v>
      </c>
      <c r="AJ21" s="46" t="s">
        <v>312</v>
      </c>
      <c r="AK21" s="46" t="str">
        <f t="shared" si="0"/>
        <v>No Franchise| Lender Funded| 3-5 Projects| 640-659| 90%</v>
      </c>
      <c r="AL21" s="47">
        <v>0.9</v>
      </c>
      <c r="AM21" s="47">
        <v>0.75</v>
      </c>
      <c r="AN21" s="47">
        <v>0.7</v>
      </c>
      <c r="AO21" s="48">
        <v>0.10625</v>
      </c>
      <c r="AP21" s="48">
        <v>0.01</v>
      </c>
      <c r="AQ21" s="48">
        <v>0.01</v>
      </c>
      <c r="AR21" s="48">
        <v>2.5000000000000001E-2</v>
      </c>
      <c r="AS21" s="48">
        <v>0.13625000000000001</v>
      </c>
      <c r="AT21" s="49">
        <v>2000000</v>
      </c>
      <c r="AU21" s="49">
        <v>75000</v>
      </c>
      <c r="AV21" s="49">
        <v>2000000</v>
      </c>
      <c r="AW21" s="48">
        <v>0.18</v>
      </c>
      <c r="AX21" s="49">
        <v>500000</v>
      </c>
      <c r="AY21" s="49">
        <v>995</v>
      </c>
      <c r="AZ21" s="49">
        <v>695</v>
      </c>
      <c r="BA21" s="49">
        <v>150</v>
      </c>
      <c r="BB21" s="49">
        <v>250</v>
      </c>
      <c r="BC21" s="50">
        <v>250</v>
      </c>
    </row>
    <row r="22" spans="1:55" x14ac:dyDescent="0.3">
      <c r="A22" s="25" t="s">
        <v>299</v>
      </c>
      <c r="B22" s="51" t="s">
        <v>318</v>
      </c>
      <c r="C22" s="52" t="s">
        <v>251</v>
      </c>
      <c r="D22" s="68" t="s">
        <v>313</v>
      </c>
      <c r="E22" s="69" t="s">
        <v>302</v>
      </c>
      <c r="F22" s="119">
        <v>0.85</v>
      </c>
      <c r="G22" s="119">
        <v>0.85</v>
      </c>
      <c r="H22" s="71">
        <v>0.75</v>
      </c>
      <c r="I22" s="72">
        <v>9</v>
      </c>
      <c r="J22" s="72">
        <v>0.25</v>
      </c>
      <c r="K22" s="72">
        <f t="shared" si="2"/>
        <v>9.25</v>
      </c>
      <c r="L22" s="73">
        <v>125000</v>
      </c>
      <c r="M22" s="74">
        <v>5000000</v>
      </c>
      <c r="N22" s="73" t="s">
        <v>303</v>
      </c>
      <c r="O22" s="75" t="str">
        <f>ChurchillMatrix[[#This Row],[Experience Level]] &amp; "|" &amp; ChurchillMatrix[[#This Row],[Project Type]] &amp; "|" &amp; ChurchillMatrix[[#This Row],[Loan Type]] &amp; "|" &amp; ChurchillMatrix[[#This Row],[FICO]] &amp; "|" &amp; ChurchillMatrix[[#This Row],[Number of Units]]</f>
        <v>Institutional (10+) ($10m)|Fix and Flip (Heavy Rehab)|Purchase|680 - 699|&lt;=4 Units</v>
      </c>
      <c r="R22" s="60" t="s">
        <v>304</v>
      </c>
      <c r="S22" s="51" t="s">
        <v>300</v>
      </c>
      <c r="T22" s="52" t="s">
        <v>251</v>
      </c>
      <c r="U22" s="76" t="s">
        <v>259</v>
      </c>
      <c r="V22" s="120" t="s">
        <v>305</v>
      </c>
      <c r="W22" s="78">
        <v>0.65</v>
      </c>
      <c r="X22" s="78">
        <v>0.9</v>
      </c>
      <c r="Y22" s="78">
        <v>0.65</v>
      </c>
      <c r="Z22" s="79">
        <v>100000</v>
      </c>
      <c r="AA22" s="80">
        <v>2500000</v>
      </c>
      <c r="AB22" s="79">
        <v>30000</v>
      </c>
      <c r="AC22" s="81">
        <v>50000</v>
      </c>
      <c r="AD22" s="82" t="str">
        <f>ConstructiveMatrix[[#This Row],[Borrower Experience]] &amp; "|" &amp; ConstructiveMatrix[[#This Row],[Project Type]] &amp; "|" &amp; ConstructiveMatrix[[#This Row],[Loan Type]] &amp; "|" &amp; ConstructiveMatrix[[#This Row],[Dwelling Type]] &amp; "|" &amp; ConstructiveMatrix[[#This Row],[FICO]]</f>
        <v>Platinum (5+)|Fix and Flip (Light Rehab)|Purchase|Non-Warrantable Condo|680-739</v>
      </c>
      <c r="AG22" s="44" t="s">
        <v>306</v>
      </c>
      <c r="AH22" s="45" t="s">
        <v>307</v>
      </c>
      <c r="AI22" s="45" t="s">
        <v>319</v>
      </c>
      <c r="AJ22" s="46" t="s">
        <v>314</v>
      </c>
      <c r="AK22" s="46" t="str">
        <f t="shared" si="0"/>
        <v>No Franchise| Lender Funded| 3-5 Projects| 620-639| 90%</v>
      </c>
      <c r="AL22" s="47">
        <v>0.9</v>
      </c>
      <c r="AM22" s="47">
        <v>0.75</v>
      </c>
      <c r="AN22" s="47">
        <v>0.7</v>
      </c>
      <c r="AO22" s="48">
        <v>0.10625</v>
      </c>
      <c r="AP22" s="48">
        <v>0.01</v>
      </c>
      <c r="AQ22" s="48">
        <v>0.01</v>
      </c>
      <c r="AR22" s="48">
        <v>2.5000000000000001E-2</v>
      </c>
      <c r="AS22" s="48">
        <v>0.13625000000000001</v>
      </c>
      <c r="AT22" s="49">
        <v>2000000</v>
      </c>
      <c r="AU22" s="49">
        <v>75000</v>
      </c>
      <c r="AV22" s="49">
        <v>2000000</v>
      </c>
      <c r="AW22" s="48">
        <v>0.18</v>
      </c>
      <c r="AX22" s="49">
        <v>500000</v>
      </c>
      <c r="AY22" s="49">
        <v>995</v>
      </c>
      <c r="AZ22" s="49">
        <v>695</v>
      </c>
      <c r="BA22" s="49">
        <v>150</v>
      </c>
      <c r="BB22" s="49">
        <v>250</v>
      </c>
      <c r="BC22" s="50">
        <v>250</v>
      </c>
    </row>
    <row r="23" spans="1:55" x14ac:dyDescent="0.3">
      <c r="A23" s="25" t="s">
        <v>299</v>
      </c>
      <c r="B23" s="51" t="s">
        <v>318</v>
      </c>
      <c r="C23" s="52" t="s">
        <v>251</v>
      </c>
      <c r="D23" s="53" t="s">
        <v>313</v>
      </c>
      <c r="E23" s="54" t="s">
        <v>310</v>
      </c>
      <c r="F23" s="55">
        <v>0.8</v>
      </c>
      <c r="G23" s="55">
        <v>0.8</v>
      </c>
      <c r="H23" s="55">
        <v>0.75</v>
      </c>
      <c r="I23" s="56">
        <v>9</v>
      </c>
      <c r="J23" s="56">
        <v>1.25</v>
      </c>
      <c r="K23" s="56">
        <f t="shared" si="2"/>
        <v>10.25</v>
      </c>
      <c r="L23" s="57">
        <v>125000</v>
      </c>
      <c r="M23" s="58">
        <v>5000000</v>
      </c>
      <c r="N23" s="57" t="s">
        <v>303</v>
      </c>
      <c r="O23" s="59" t="str">
        <f>ChurchillMatrix[[#This Row],[Experience Level]] &amp; "|" &amp; ChurchillMatrix[[#This Row],[Project Type]] &amp; "|" &amp; ChurchillMatrix[[#This Row],[Loan Type]] &amp; "|" &amp; ChurchillMatrix[[#This Row],[FICO]] &amp; "|" &amp; ChurchillMatrix[[#This Row],[Number of Units]]</f>
        <v>Institutional (10+) ($10m)|Fix and Flip (Heavy Rehab)|Purchase|680 - 699|5-19 Units</v>
      </c>
      <c r="R23" s="60" t="s">
        <v>304</v>
      </c>
      <c r="S23" s="51" t="s">
        <v>300</v>
      </c>
      <c r="T23" s="52" t="s">
        <v>251</v>
      </c>
      <c r="U23" s="83" t="s">
        <v>259</v>
      </c>
      <c r="V23" s="121" t="s">
        <v>311</v>
      </c>
      <c r="W23" s="63">
        <v>0.65</v>
      </c>
      <c r="X23" s="63">
        <v>0.9</v>
      </c>
      <c r="Y23" s="63">
        <v>0.65</v>
      </c>
      <c r="Z23" s="64">
        <v>100000</v>
      </c>
      <c r="AA23" s="65">
        <v>2500000</v>
      </c>
      <c r="AB23" s="64">
        <v>30000</v>
      </c>
      <c r="AC23" s="66">
        <v>50000</v>
      </c>
      <c r="AD23" s="67" t="str">
        <f>ConstructiveMatrix[[#This Row],[Borrower Experience]] &amp; "|" &amp; ConstructiveMatrix[[#This Row],[Project Type]] &amp; "|" &amp; ConstructiveMatrix[[#This Row],[Loan Type]] &amp; "|" &amp; ConstructiveMatrix[[#This Row],[Dwelling Type]] &amp; "|" &amp; ConstructiveMatrix[[#This Row],[FICO]]</f>
        <v>Platinum (5+)|Fix and Flip (Light Rehab)|Purchase|Non-Warrantable Condo|740+</v>
      </c>
      <c r="AG23" s="44" t="s">
        <v>306</v>
      </c>
      <c r="AH23" s="45" t="s">
        <v>307</v>
      </c>
      <c r="AI23" s="45" t="s">
        <v>319</v>
      </c>
      <c r="AJ23" s="46" t="s">
        <v>309</v>
      </c>
      <c r="AK23" s="46" t="str">
        <f t="shared" si="0"/>
        <v>No Franchise| Lender Funded| 3-5 Projects| 660+| 85%</v>
      </c>
      <c r="AL23" s="47">
        <v>0.85</v>
      </c>
      <c r="AM23" s="47">
        <v>0.75</v>
      </c>
      <c r="AN23" s="47">
        <v>0.7</v>
      </c>
      <c r="AO23" s="48">
        <v>0.105</v>
      </c>
      <c r="AP23" s="48">
        <v>0.01</v>
      </c>
      <c r="AQ23" s="48">
        <v>0.01</v>
      </c>
      <c r="AR23" s="48">
        <v>2.5000000000000001E-2</v>
      </c>
      <c r="AS23" s="48">
        <v>0.13500000000000001</v>
      </c>
      <c r="AT23" s="49">
        <v>2000000</v>
      </c>
      <c r="AU23" s="49">
        <v>75000</v>
      </c>
      <c r="AV23" s="49">
        <v>2000000</v>
      </c>
      <c r="AW23" s="48">
        <v>0.18</v>
      </c>
      <c r="AX23" s="49">
        <v>500000</v>
      </c>
      <c r="AY23" s="49">
        <v>995</v>
      </c>
      <c r="AZ23" s="50">
        <v>695</v>
      </c>
      <c r="BA23" s="49">
        <v>150</v>
      </c>
      <c r="BB23" s="49">
        <v>250</v>
      </c>
      <c r="BC23" s="50">
        <v>250</v>
      </c>
    </row>
    <row r="24" spans="1:55" x14ac:dyDescent="0.3">
      <c r="A24" s="25" t="s">
        <v>299</v>
      </c>
      <c r="B24" s="51" t="s">
        <v>318</v>
      </c>
      <c r="C24" s="52" t="s">
        <v>251</v>
      </c>
      <c r="D24" s="68" t="s">
        <v>315</v>
      </c>
      <c r="E24" s="69" t="s">
        <v>302</v>
      </c>
      <c r="F24" s="119">
        <v>0.85</v>
      </c>
      <c r="G24" s="119">
        <v>0.85</v>
      </c>
      <c r="H24" s="71">
        <v>0.75</v>
      </c>
      <c r="I24" s="72">
        <v>9</v>
      </c>
      <c r="J24" s="72">
        <v>0</v>
      </c>
      <c r="K24" s="72">
        <f t="shared" si="2"/>
        <v>9</v>
      </c>
      <c r="L24" s="73">
        <v>125000</v>
      </c>
      <c r="M24" s="74">
        <v>5000000</v>
      </c>
      <c r="N24" s="73" t="s">
        <v>303</v>
      </c>
      <c r="O24" s="75" t="str">
        <f>ChurchillMatrix[[#This Row],[Experience Level]] &amp; "|" &amp; ChurchillMatrix[[#This Row],[Project Type]] &amp; "|" &amp; ChurchillMatrix[[#This Row],[Loan Type]] &amp; "|" &amp; ChurchillMatrix[[#This Row],[FICO]] &amp; "|" &amp; ChurchillMatrix[[#This Row],[Number of Units]]</f>
        <v>Institutional (10+) ($10m)|Fix and Flip (Heavy Rehab)|Purchase|&gt;=700|&lt;=4 Units</v>
      </c>
      <c r="R24" s="60" t="s">
        <v>304</v>
      </c>
      <c r="S24" s="51" t="s">
        <v>300</v>
      </c>
      <c r="T24" s="52" t="s">
        <v>251</v>
      </c>
      <c r="U24" s="85" t="s">
        <v>316</v>
      </c>
      <c r="V24" s="120" t="s">
        <v>305</v>
      </c>
      <c r="W24" s="78">
        <v>0.85</v>
      </c>
      <c r="X24" s="78">
        <v>0.9</v>
      </c>
      <c r="Y24" s="78">
        <v>0.75</v>
      </c>
      <c r="Z24" s="79">
        <v>100000</v>
      </c>
      <c r="AA24" s="80">
        <v>2500000</v>
      </c>
      <c r="AB24" s="79">
        <v>30000</v>
      </c>
      <c r="AC24" s="81">
        <v>50000</v>
      </c>
      <c r="AD24" s="82" t="str">
        <f>ConstructiveMatrix[[#This Row],[Borrower Experience]] &amp; "|" &amp; ConstructiveMatrix[[#This Row],[Project Type]] &amp; "|" &amp; ConstructiveMatrix[[#This Row],[Loan Type]] &amp; "|" &amp; ConstructiveMatrix[[#This Row],[Dwelling Type]] &amp; "|" &amp; ConstructiveMatrix[[#This Row],[FICO]]</f>
        <v>Platinum (5+)|Fix and Flip (Light Rehab)|Purchase|Other (2-4 unit)|680-739</v>
      </c>
      <c r="AG24" s="44" t="s">
        <v>306</v>
      </c>
      <c r="AH24" s="45" t="s">
        <v>307</v>
      </c>
      <c r="AI24" s="45" t="s">
        <v>319</v>
      </c>
      <c r="AJ24" s="46" t="s">
        <v>312</v>
      </c>
      <c r="AK24" s="46" t="str">
        <f t="shared" si="0"/>
        <v>No Franchise| Lender Funded| 3-5 Projects| 640-659| 85%</v>
      </c>
      <c r="AL24" s="47">
        <v>0.85</v>
      </c>
      <c r="AM24" s="47">
        <v>0.75</v>
      </c>
      <c r="AN24" s="47">
        <v>0.7</v>
      </c>
      <c r="AO24" s="48">
        <v>0.105</v>
      </c>
      <c r="AP24" s="48">
        <v>0.01</v>
      </c>
      <c r="AQ24" s="48">
        <v>0.01</v>
      </c>
      <c r="AR24" s="48">
        <v>2.5000000000000001E-2</v>
      </c>
      <c r="AS24" s="48">
        <v>0.13500000000000001</v>
      </c>
      <c r="AT24" s="49">
        <v>2000000</v>
      </c>
      <c r="AU24" s="49">
        <v>75000</v>
      </c>
      <c r="AV24" s="49">
        <v>2000000</v>
      </c>
      <c r="AW24" s="48">
        <v>0.18</v>
      </c>
      <c r="AX24" s="49">
        <v>500000</v>
      </c>
      <c r="AY24" s="49">
        <v>995</v>
      </c>
      <c r="AZ24" s="49">
        <v>695</v>
      </c>
      <c r="BA24" s="49">
        <v>150</v>
      </c>
      <c r="BB24" s="49">
        <v>250</v>
      </c>
      <c r="BC24" s="50">
        <v>250</v>
      </c>
    </row>
    <row r="25" spans="1:55" ht="15" thickBot="1" x14ac:dyDescent="0.35">
      <c r="A25" s="25" t="s">
        <v>299</v>
      </c>
      <c r="B25" s="51" t="s">
        <v>318</v>
      </c>
      <c r="C25" s="86" t="s">
        <v>251</v>
      </c>
      <c r="D25" s="87" t="s">
        <v>315</v>
      </c>
      <c r="E25" s="88" t="s">
        <v>310</v>
      </c>
      <c r="F25" s="89">
        <v>0.8</v>
      </c>
      <c r="G25" s="89">
        <v>0.8</v>
      </c>
      <c r="H25" s="89">
        <v>0.75</v>
      </c>
      <c r="I25" s="90">
        <v>9</v>
      </c>
      <c r="J25" s="90">
        <v>1</v>
      </c>
      <c r="K25" s="90">
        <f t="shared" si="2"/>
        <v>10</v>
      </c>
      <c r="L25" s="91">
        <v>125000</v>
      </c>
      <c r="M25" s="92">
        <v>5000000</v>
      </c>
      <c r="N25" s="91" t="s">
        <v>303</v>
      </c>
      <c r="O25" s="93" t="str">
        <f>ChurchillMatrix[[#This Row],[Experience Level]] &amp; "|" &amp; ChurchillMatrix[[#This Row],[Project Type]] &amp; "|" &amp; ChurchillMatrix[[#This Row],[Loan Type]] &amp; "|" &amp; ChurchillMatrix[[#This Row],[FICO]] &amp; "|" &amp; ChurchillMatrix[[#This Row],[Number of Units]]</f>
        <v>Institutional (10+) ($10m)|Fix and Flip (Heavy Rehab)|Purchase|&gt;=700|5-19 Units</v>
      </c>
      <c r="R25" s="60" t="s">
        <v>304</v>
      </c>
      <c r="S25" s="51" t="s">
        <v>300</v>
      </c>
      <c r="T25" s="86" t="s">
        <v>251</v>
      </c>
      <c r="U25" s="94" t="s">
        <v>316</v>
      </c>
      <c r="V25" s="122" t="s">
        <v>311</v>
      </c>
      <c r="W25" s="96">
        <v>0.85</v>
      </c>
      <c r="X25" s="96">
        <v>0.9</v>
      </c>
      <c r="Y25" s="96">
        <v>0.75</v>
      </c>
      <c r="Z25" s="97">
        <v>100000</v>
      </c>
      <c r="AA25" s="98">
        <v>2500000</v>
      </c>
      <c r="AB25" s="97">
        <v>30000</v>
      </c>
      <c r="AC25" s="99">
        <v>50000</v>
      </c>
      <c r="AD25" s="100" t="str">
        <f>ConstructiveMatrix[[#This Row],[Borrower Experience]] &amp; "|" &amp; ConstructiveMatrix[[#This Row],[Project Type]] &amp; "|" &amp; ConstructiveMatrix[[#This Row],[Loan Type]] &amp; "|" &amp; ConstructiveMatrix[[#This Row],[Dwelling Type]] &amp; "|" &amp; ConstructiveMatrix[[#This Row],[FICO]]</f>
        <v>Platinum (5+)|Fix and Flip (Light Rehab)|Purchase|Other (2-4 unit)|740+</v>
      </c>
      <c r="AG25" s="44" t="s">
        <v>306</v>
      </c>
      <c r="AH25" s="45" t="s">
        <v>307</v>
      </c>
      <c r="AI25" s="45" t="s">
        <v>319</v>
      </c>
      <c r="AJ25" s="46" t="s">
        <v>314</v>
      </c>
      <c r="AK25" s="46" t="str">
        <f t="shared" si="0"/>
        <v>No Franchise| Lender Funded| 3-5 Projects| 620-639| 85%</v>
      </c>
      <c r="AL25" s="47">
        <v>0.85</v>
      </c>
      <c r="AM25" s="47">
        <v>0.75</v>
      </c>
      <c r="AN25" s="47">
        <v>0.7</v>
      </c>
      <c r="AO25" s="48">
        <v>0.105</v>
      </c>
      <c r="AP25" s="48">
        <v>0.01</v>
      </c>
      <c r="AQ25" s="48">
        <v>0.01</v>
      </c>
      <c r="AR25" s="48">
        <v>2.5000000000000001E-2</v>
      </c>
      <c r="AS25" s="48">
        <v>0.13500000000000001</v>
      </c>
      <c r="AT25" s="49">
        <v>2000000</v>
      </c>
      <c r="AU25" s="49">
        <v>75000</v>
      </c>
      <c r="AV25" s="49">
        <v>2000000</v>
      </c>
      <c r="AW25" s="48">
        <v>0.18</v>
      </c>
      <c r="AX25" s="49">
        <v>500000</v>
      </c>
      <c r="AY25" s="49">
        <v>995</v>
      </c>
      <c r="AZ25" s="49">
        <v>695</v>
      </c>
      <c r="BA25" s="49">
        <v>150</v>
      </c>
      <c r="BB25" s="49">
        <v>250</v>
      </c>
      <c r="BC25" s="50">
        <v>250</v>
      </c>
    </row>
    <row r="26" spans="1:55" x14ac:dyDescent="0.3">
      <c r="A26" s="25" t="s">
        <v>299</v>
      </c>
      <c r="B26" s="51" t="s">
        <v>318</v>
      </c>
      <c r="C26" s="27" t="s">
        <v>249</v>
      </c>
      <c r="D26" s="28" t="s">
        <v>301</v>
      </c>
      <c r="E26" s="29" t="s">
        <v>302</v>
      </c>
      <c r="F26" s="31" t="s">
        <v>303</v>
      </c>
      <c r="G26" s="31" t="s">
        <v>303</v>
      </c>
      <c r="H26" s="31" t="s">
        <v>303</v>
      </c>
      <c r="I26" s="32" t="s">
        <v>303</v>
      </c>
      <c r="J26" s="32" t="s">
        <v>303</v>
      </c>
      <c r="K26" s="32" t="s">
        <v>303</v>
      </c>
      <c r="L26" s="33" t="s">
        <v>303</v>
      </c>
      <c r="M26" s="34" t="s">
        <v>303</v>
      </c>
      <c r="N26" s="33" t="s">
        <v>303</v>
      </c>
      <c r="O26" s="35" t="str">
        <f>ChurchillMatrix[[#This Row],[Experience Level]] &amp; "|" &amp; ChurchillMatrix[[#This Row],[Project Type]] &amp; "|" &amp; ChurchillMatrix[[#This Row],[Loan Type]] &amp; "|" &amp; ChurchillMatrix[[#This Row],[FICO]] &amp; "|" &amp; ChurchillMatrix[[#This Row],[Number of Units]]</f>
        <v>Institutional (10+) ($10m)|Fix and Flip (Heavy Rehab)|Cash Out Refinance|660 - 679|&lt;=4 Units</v>
      </c>
      <c r="R26" s="60" t="s">
        <v>304</v>
      </c>
      <c r="S26" s="51" t="s">
        <v>300</v>
      </c>
      <c r="T26" s="101" t="s">
        <v>249</v>
      </c>
      <c r="U26" s="37" t="s">
        <v>250</v>
      </c>
      <c r="V26" s="123" t="s">
        <v>305</v>
      </c>
      <c r="W26" s="39">
        <v>0.8</v>
      </c>
      <c r="X26" s="39">
        <v>0.85</v>
      </c>
      <c r="Y26" s="39">
        <v>0.7</v>
      </c>
      <c r="Z26" s="40">
        <v>100000</v>
      </c>
      <c r="AA26" s="41">
        <v>2500000</v>
      </c>
      <c r="AB26" s="40">
        <v>30000</v>
      </c>
      <c r="AC26" s="42">
        <v>50000</v>
      </c>
      <c r="AD26" s="43" t="str">
        <f>ConstructiveMatrix[[#This Row],[Borrower Experience]] &amp; "|" &amp; ConstructiveMatrix[[#This Row],[Project Type]] &amp; "|" &amp; ConstructiveMatrix[[#This Row],[Loan Type]] &amp; "|" &amp; ConstructiveMatrix[[#This Row],[Dwelling Type]] &amp; "|" &amp; ConstructiveMatrix[[#This Row],[FICO]]</f>
        <v>Platinum (5+)|Fix and Flip (Light Rehab)|Cash Out Refinance|Single Family|680-739</v>
      </c>
      <c r="AG26" s="44" t="s">
        <v>306</v>
      </c>
      <c r="AH26" s="45" t="s">
        <v>307</v>
      </c>
      <c r="AI26" s="45" t="s">
        <v>320</v>
      </c>
      <c r="AJ26" s="46" t="s">
        <v>309</v>
      </c>
      <c r="AK26" s="46" t="str">
        <f t="shared" si="0"/>
        <v>No Franchise| Lender Funded| 2 Projects| 660+| 85%</v>
      </c>
      <c r="AL26" s="47">
        <v>0.85</v>
      </c>
      <c r="AM26" s="47">
        <v>0.7</v>
      </c>
      <c r="AN26" s="47">
        <v>0.7</v>
      </c>
      <c r="AO26" s="48">
        <v>0.1075</v>
      </c>
      <c r="AP26" s="48">
        <v>0.01</v>
      </c>
      <c r="AQ26" s="48">
        <v>0.01</v>
      </c>
      <c r="AR26" s="48">
        <v>2.5000000000000001E-2</v>
      </c>
      <c r="AS26" s="48">
        <v>0.13750000000000001</v>
      </c>
      <c r="AT26" s="49">
        <v>2000000</v>
      </c>
      <c r="AU26" s="49">
        <v>75000</v>
      </c>
      <c r="AV26" s="49">
        <v>2000000</v>
      </c>
      <c r="AW26" s="48">
        <v>0.18</v>
      </c>
      <c r="AX26" s="49">
        <v>500000</v>
      </c>
      <c r="AY26" s="49">
        <v>995</v>
      </c>
      <c r="AZ26" s="50">
        <v>695</v>
      </c>
      <c r="BA26" s="49">
        <v>150</v>
      </c>
      <c r="BB26" s="49">
        <v>250</v>
      </c>
      <c r="BC26" s="50">
        <v>250</v>
      </c>
    </row>
    <row r="27" spans="1:55" x14ac:dyDescent="0.3">
      <c r="A27" s="25" t="s">
        <v>299</v>
      </c>
      <c r="B27" s="51" t="s">
        <v>318</v>
      </c>
      <c r="C27" s="52" t="s">
        <v>249</v>
      </c>
      <c r="D27" s="53" t="s">
        <v>301</v>
      </c>
      <c r="E27" s="54" t="s">
        <v>310</v>
      </c>
      <c r="F27" s="55" t="s">
        <v>303</v>
      </c>
      <c r="G27" s="55" t="s">
        <v>303</v>
      </c>
      <c r="H27" s="55" t="s">
        <v>303</v>
      </c>
      <c r="I27" s="56" t="s">
        <v>303</v>
      </c>
      <c r="J27" s="56" t="s">
        <v>303</v>
      </c>
      <c r="K27" s="56" t="s">
        <v>303</v>
      </c>
      <c r="L27" s="57" t="s">
        <v>303</v>
      </c>
      <c r="M27" s="58" t="s">
        <v>303</v>
      </c>
      <c r="N27" s="57" t="s">
        <v>303</v>
      </c>
      <c r="O27" s="59" t="str">
        <f>ChurchillMatrix[[#This Row],[Experience Level]] &amp; "|" &amp; ChurchillMatrix[[#This Row],[Project Type]] &amp; "|" &amp; ChurchillMatrix[[#This Row],[Loan Type]] &amp; "|" &amp; ChurchillMatrix[[#This Row],[FICO]] &amp; "|" &amp; ChurchillMatrix[[#This Row],[Number of Units]]</f>
        <v>Institutional (10+) ($10m)|Fix and Flip (Heavy Rehab)|Cash Out Refinance|660 - 679|5-19 Units</v>
      </c>
      <c r="R27" s="60" t="s">
        <v>304</v>
      </c>
      <c r="S27" s="51" t="s">
        <v>300</v>
      </c>
      <c r="T27" s="102" t="s">
        <v>249</v>
      </c>
      <c r="U27" s="61" t="s">
        <v>250</v>
      </c>
      <c r="V27" s="121" t="s">
        <v>311</v>
      </c>
      <c r="W27" s="63">
        <v>0.8</v>
      </c>
      <c r="X27" s="63">
        <v>0.85</v>
      </c>
      <c r="Y27" s="63">
        <v>0.7</v>
      </c>
      <c r="Z27" s="64">
        <v>100000</v>
      </c>
      <c r="AA27" s="65">
        <v>2500000</v>
      </c>
      <c r="AB27" s="64">
        <v>30000</v>
      </c>
      <c r="AC27" s="66">
        <v>50000</v>
      </c>
      <c r="AD27" s="67" t="str">
        <f>ConstructiveMatrix[[#This Row],[Borrower Experience]] &amp; "|" &amp; ConstructiveMatrix[[#This Row],[Project Type]] &amp; "|" &amp; ConstructiveMatrix[[#This Row],[Loan Type]] &amp; "|" &amp; ConstructiveMatrix[[#This Row],[Dwelling Type]] &amp; "|" &amp; ConstructiveMatrix[[#This Row],[FICO]]</f>
        <v>Platinum (5+)|Fix and Flip (Light Rehab)|Cash Out Refinance|Single Family|740+</v>
      </c>
      <c r="AG27" s="44" t="s">
        <v>306</v>
      </c>
      <c r="AH27" s="45" t="s">
        <v>307</v>
      </c>
      <c r="AI27" s="45" t="s">
        <v>320</v>
      </c>
      <c r="AJ27" s="46" t="s">
        <v>312</v>
      </c>
      <c r="AK27" s="46" t="str">
        <f t="shared" si="0"/>
        <v>No Franchise| Lender Funded| 2 Projects| 640-659| 85%</v>
      </c>
      <c r="AL27" s="47">
        <v>0.85</v>
      </c>
      <c r="AM27" s="47">
        <v>0.7</v>
      </c>
      <c r="AN27" s="47">
        <v>0.7</v>
      </c>
      <c r="AO27" s="48">
        <v>0.1075</v>
      </c>
      <c r="AP27" s="48">
        <v>0.01</v>
      </c>
      <c r="AQ27" s="48">
        <v>0.01</v>
      </c>
      <c r="AR27" s="48">
        <v>2.5000000000000001E-2</v>
      </c>
      <c r="AS27" s="48">
        <v>0.13750000000000001</v>
      </c>
      <c r="AT27" s="49">
        <v>2000000</v>
      </c>
      <c r="AU27" s="49">
        <v>75000</v>
      </c>
      <c r="AV27" s="49">
        <v>2000000</v>
      </c>
      <c r="AW27" s="48">
        <v>0.18</v>
      </c>
      <c r="AX27" s="49">
        <v>500000</v>
      </c>
      <c r="AY27" s="49">
        <v>995</v>
      </c>
      <c r="AZ27" s="49">
        <v>695</v>
      </c>
      <c r="BA27" s="49">
        <v>150</v>
      </c>
      <c r="BB27" s="49">
        <v>250</v>
      </c>
      <c r="BC27" s="50">
        <v>250</v>
      </c>
    </row>
    <row r="28" spans="1:55" x14ac:dyDescent="0.3">
      <c r="A28" s="25" t="s">
        <v>299</v>
      </c>
      <c r="B28" s="51" t="s">
        <v>318</v>
      </c>
      <c r="C28" s="52" t="s">
        <v>249</v>
      </c>
      <c r="D28" s="68" t="s">
        <v>313</v>
      </c>
      <c r="E28" s="69" t="s">
        <v>302</v>
      </c>
      <c r="F28" s="71">
        <v>0.85</v>
      </c>
      <c r="G28" s="71">
        <v>0.85</v>
      </c>
      <c r="H28" s="71">
        <v>0.75</v>
      </c>
      <c r="I28" s="72">
        <v>9</v>
      </c>
      <c r="J28" s="72">
        <v>0.75</v>
      </c>
      <c r="K28" s="72">
        <f t="shared" ref="K28:K43" si="3">I28+J28</f>
        <v>9.75</v>
      </c>
      <c r="L28" s="73">
        <v>125000</v>
      </c>
      <c r="M28" s="74">
        <v>5000000</v>
      </c>
      <c r="N28" s="73">
        <v>500000</v>
      </c>
      <c r="O28" s="75" t="str">
        <f>ChurchillMatrix[[#This Row],[Experience Level]] &amp; "|" &amp; ChurchillMatrix[[#This Row],[Project Type]] &amp; "|" &amp; ChurchillMatrix[[#This Row],[Loan Type]] &amp; "|" &amp; ChurchillMatrix[[#This Row],[FICO]] &amp; "|" &amp; ChurchillMatrix[[#This Row],[Number of Units]]</f>
        <v>Institutional (10+) ($10m)|Fix and Flip (Heavy Rehab)|Cash Out Refinance|680 - 699|&lt;=4 Units</v>
      </c>
      <c r="R28" s="60" t="s">
        <v>304</v>
      </c>
      <c r="S28" s="51" t="s">
        <v>300</v>
      </c>
      <c r="T28" s="102" t="s">
        <v>249</v>
      </c>
      <c r="U28" s="76" t="s">
        <v>259</v>
      </c>
      <c r="V28" s="120" t="s">
        <v>305</v>
      </c>
      <c r="W28" s="78">
        <v>0.65</v>
      </c>
      <c r="X28" s="78">
        <v>0.85</v>
      </c>
      <c r="Y28" s="78">
        <v>0.6</v>
      </c>
      <c r="Z28" s="79">
        <v>100000</v>
      </c>
      <c r="AA28" s="80">
        <v>2500000</v>
      </c>
      <c r="AB28" s="79">
        <v>30000</v>
      </c>
      <c r="AC28" s="81">
        <v>50000</v>
      </c>
      <c r="AD28" s="82" t="str">
        <f>ConstructiveMatrix[[#This Row],[Borrower Experience]] &amp; "|" &amp; ConstructiveMatrix[[#This Row],[Project Type]] &amp; "|" &amp; ConstructiveMatrix[[#This Row],[Loan Type]] &amp; "|" &amp; ConstructiveMatrix[[#This Row],[Dwelling Type]] &amp; "|" &amp; ConstructiveMatrix[[#This Row],[FICO]]</f>
        <v>Platinum (5+)|Fix and Flip (Light Rehab)|Cash Out Refinance|Non-Warrantable Condo|680-739</v>
      </c>
      <c r="AG28" s="44" t="s">
        <v>306</v>
      </c>
      <c r="AH28" s="45" t="s">
        <v>307</v>
      </c>
      <c r="AI28" s="45" t="s">
        <v>320</v>
      </c>
      <c r="AJ28" s="46" t="s">
        <v>314</v>
      </c>
      <c r="AK28" s="46" t="str">
        <f t="shared" si="0"/>
        <v>No Franchise| Lender Funded| 2 Projects| 620-639| N/A%</v>
      </c>
      <c r="AL28" s="47" t="s">
        <v>303</v>
      </c>
      <c r="AM28" s="47" t="s">
        <v>303</v>
      </c>
      <c r="AN28" s="47" t="s">
        <v>303</v>
      </c>
      <c r="AO28" s="47" t="s">
        <v>303</v>
      </c>
      <c r="AP28" s="47" t="s">
        <v>303</v>
      </c>
      <c r="AQ28" s="47" t="s">
        <v>303</v>
      </c>
      <c r="AR28" s="47" t="s">
        <v>303</v>
      </c>
      <c r="AS28" s="47" t="s">
        <v>303</v>
      </c>
      <c r="AT28" s="47" t="s">
        <v>303</v>
      </c>
      <c r="AU28" s="47" t="s">
        <v>303</v>
      </c>
      <c r="AV28" s="47" t="s">
        <v>303</v>
      </c>
      <c r="AW28" s="47" t="s">
        <v>303</v>
      </c>
      <c r="AX28" s="47" t="s">
        <v>303</v>
      </c>
      <c r="AY28" s="47" t="s">
        <v>303</v>
      </c>
      <c r="AZ28" s="47" t="s">
        <v>303</v>
      </c>
      <c r="BA28" s="47" t="s">
        <v>303</v>
      </c>
      <c r="BB28" s="47" t="s">
        <v>303</v>
      </c>
      <c r="BC28" s="47" t="s">
        <v>303</v>
      </c>
    </row>
    <row r="29" spans="1:55" x14ac:dyDescent="0.3">
      <c r="A29" s="25" t="s">
        <v>299</v>
      </c>
      <c r="B29" s="51" t="s">
        <v>318</v>
      </c>
      <c r="C29" s="52" t="s">
        <v>249</v>
      </c>
      <c r="D29" s="53" t="s">
        <v>313</v>
      </c>
      <c r="E29" s="54" t="s">
        <v>310</v>
      </c>
      <c r="F29" s="55">
        <v>0.8</v>
      </c>
      <c r="G29" s="55">
        <v>0.8</v>
      </c>
      <c r="H29" s="55">
        <v>0.75</v>
      </c>
      <c r="I29" s="56">
        <v>9</v>
      </c>
      <c r="J29" s="56">
        <v>1.75</v>
      </c>
      <c r="K29" s="56">
        <f t="shared" si="3"/>
        <v>10.75</v>
      </c>
      <c r="L29" s="57">
        <v>125000</v>
      </c>
      <c r="M29" s="58">
        <v>5000000</v>
      </c>
      <c r="N29" s="57">
        <v>500000</v>
      </c>
      <c r="O29" s="59" t="str">
        <f>ChurchillMatrix[[#This Row],[Experience Level]] &amp; "|" &amp; ChurchillMatrix[[#This Row],[Project Type]] &amp; "|" &amp; ChurchillMatrix[[#This Row],[Loan Type]] &amp; "|" &amp; ChurchillMatrix[[#This Row],[FICO]] &amp; "|" &amp; ChurchillMatrix[[#This Row],[Number of Units]]</f>
        <v>Institutional (10+) ($10m)|Fix and Flip (Heavy Rehab)|Cash Out Refinance|680 - 699|5-19 Units</v>
      </c>
      <c r="R29" s="60" t="s">
        <v>304</v>
      </c>
      <c r="S29" s="51" t="s">
        <v>300</v>
      </c>
      <c r="T29" s="102" t="s">
        <v>249</v>
      </c>
      <c r="U29" s="83" t="s">
        <v>259</v>
      </c>
      <c r="V29" s="121" t="s">
        <v>311</v>
      </c>
      <c r="W29" s="63">
        <v>0.65</v>
      </c>
      <c r="X29" s="63">
        <v>0.85</v>
      </c>
      <c r="Y29" s="63">
        <v>0.6</v>
      </c>
      <c r="Z29" s="64">
        <v>100000</v>
      </c>
      <c r="AA29" s="65">
        <v>2500000</v>
      </c>
      <c r="AB29" s="64">
        <v>30000</v>
      </c>
      <c r="AC29" s="66">
        <v>50000</v>
      </c>
      <c r="AD29" s="67" t="str">
        <f>ConstructiveMatrix[[#This Row],[Borrower Experience]] &amp; "|" &amp; ConstructiveMatrix[[#This Row],[Project Type]] &amp; "|" &amp; ConstructiveMatrix[[#This Row],[Loan Type]] &amp; "|" &amp; ConstructiveMatrix[[#This Row],[Dwelling Type]] &amp; "|" &amp; ConstructiveMatrix[[#This Row],[FICO]]</f>
        <v>Platinum (5+)|Fix and Flip (Light Rehab)|Cash Out Refinance|Non-Warrantable Condo|740+</v>
      </c>
      <c r="AG29" s="44" t="s">
        <v>306</v>
      </c>
      <c r="AH29" s="45" t="s">
        <v>307</v>
      </c>
      <c r="AI29" s="45" t="s">
        <v>320</v>
      </c>
      <c r="AJ29" s="46" t="s">
        <v>309</v>
      </c>
      <c r="AK29" s="46" t="str">
        <f t="shared" si="0"/>
        <v>No Franchise| Lender Funded| 2 Projects| 660+| 80%</v>
      </c>
      <c r="AL29" s="47">
        <v>0.8</v>
      </c>
      <c r="AM29" s="47">
        <v>0.7</v>
      </c>
      <c r="AN29" s="47">
        <v>0.7</v>
      </c>
      <c r="AO29" s="48">
        <v>0.10625</v>
      </c>
      <c r="AP29" s="48">
        <v>0.01</v>
      </c>
      <c r="AQ29" s="48">
        <v>0.01</v>
      </c>
      <c r="AR29" s="48">
        <v>2.5000000000000001E-2</v>
      </c>
      <c r="AS29" s="48">
        <v>0.13625000000000001</v>
      </c>
      <c r="AT29" s="49">
        <v>2000000</v>
      </c>
      <c r="AU29" s="49">
        <v>75000</v>
      </c>
      <c r="AV29" s="49">
        <v>2000000</v>
      </c>
      <c r="AW29" s="48">
        <v>0.18</v>
      </c>
      <c r="AX29" s="49">
        <v>500000</v>
      </c>
      <c r="AY29" s="49">
        <v>995</v>
      </c>
      <c r="AZ29" s="49">
        <v>695</v>
      </c>
      <c r="BA29" s="49">
        <v>150</v>
      </c>
      <c r="BB29" s="49">
        <v>250</v>
      </c>
      <c r="BC29" s="50">
        <v>250</v>
      </c>
    </row>
    <row r="30" spans="1:55" x14ac:dyDescent="0.3">
      <c r="A30" s="25" t="s">
        <v>299</v>
      </c>
      <c r="B30" s="51" t="s">
        <v>318</v>
      </c>
      <c r="C30" s="52" t="s">
        <v>249</v>
      </c>
      <c r="D30" s="68" t="s">
        <v>315</v>
      </c>
      <c r="E30" s="69" t="s">
        <v>302</v>
      </c>
      <c r="F30" s="71">
        <v>0.85</v>
      </c>
      <c r="G30" s="71">
        <v>0.85</v>
      </c>
      <c r="H30" s="71">
        <v>0.75</v>
      </c>
      <c r="I30" s="72">
        <v>9</v>
      </c>
      <c r="J30" s="72">
        <v>0.5</v>
      </c>
      <c r="K30" s="72">
        <f t="shared" si="3"/>
        <v>9.5</v>
      </c>
      <c r="L30" s="73">
        <v>125000</v>
      </c>
      <c r="M30" s="74">
        <v>5000000</v>
      </c>
      <c r="N30" s="73">
        <v>500000</v>
      </c>
      <c r="O30" s="75" t="str">
        <f>ChurchillMatrix[[#This Row],[Experience Level]] &amp; "|" &amp; ChurchillMatrix[[#This Row],[Project Type]] &amp; "|" &amp; ChurchillMatrix[[#This Row],[Loan Type]] &amp; "|" &amp; ChurchillMatrix[[#This Row],[FICO]] &amp; "|" &amp; ChurchillMatrix[[#This Row],[Number of Units]]</f>
        <v>Institutional (10+) ($10m)|Fix and Flip (Heavy Rehab)|Cash Out Refinance|&gt;=700|&lt;=4 Units</v>
      </c>
      <c r="R30" s="60" t="s">
        <v>304</v>
      </c>
      <c r="S30" s="51" t="s">
        <v>300</v>
      </c>
      <c r="T30" s="102" t="s">
        <v>249</v>
      </c>
      <c r="U30" s="85" t="s">
        <v>316</v>
      </c>
      <c r="V30" s="120" t="s">
        <v>305</v>
      </c>
      <c r="W30" s="78">
        <v>0.8</v>
      </c>
      <c r="X30" s="78">
        <v>0.85</v>
      </c>
      <c r="Y30" s="78">
        <v>0.7</v>
      </c>
      <c r="Z30" s="79">
        <v>100000</v>
      </c>
      <c r="AA30" s="80">
        <v>2500000</v>
      </c>
      <c r="AB30" s="79">
        <v>30000</v>
      </c>
      <c r="AC30" s="81">
        <v>50000</v>
      </c>
      <c r="AD30" s="82" t="str">
        <f>ConstructiveMatrix[[#This Row],[Borrower Experience]] &amp; "|" &amp; ConstructiveMatrix[[#This Row],[Project Type]] &amp; "|" &amp; ConstructiveMatrix[[#This Row],[Loan Type]] &amp; "|" &amp; ConstructiveMatrix[[#This Row],[Dwelling Type]] &amp; "|" &amp; ConstructiveMatrix[[#This Row],[FICO]]</f>
        <v>Platinum (5+)|Fix and Flip (Light Rehab)|Cash Out Refinance|Other (2-4 unit)|680-739</v>
      </c>
      <c r="AG30" s="44" t="s">
        <v>306</v>
      </c>
      <c r="AH30" s="45" t="s">
        <v>307</v>
      </c>
      <c r="AI30" s="45" t="s">
        <v>320</v>
      </c>
      <c r="AJ30" s="46" t="s">
        <v>312</v>
      </c>
      <c r="AK30" s="46" t="str">
        <f t="shared" si="0"/>
        <v>No Franchise| Lender Funded| 2 Projects| 640-659| 80%</v>
      </c>
      <c r="AL30" s="47">
        <v>0.8</v>
      </c>
      <c r="AM30" s="47">
        <v>0.7</v>
      </c>
      <c r="AN30" s="47">
        <v>0.7</v>
      </c>
      <c r="AO30" s="48">
        <v>0.10625</v>
      </c>
      <c r="AP30" s="48">
        <v>0.01</v>
      </c>
      <c r="AQ30" s="48">
        <v>0.01</v>
      </c>
      <c r="AR30" s="48">
        <v>2.5000000000000001E-2</v>
      </c>
      <c r="AS30" s="48">
        <v>0.13625000000000001</v>
      </c>
      <c r="AT30" s="49">
        <v>2000000</v>
      </c>
      <c r="AU30" s="49">
        <v>75000</v>
      </c>
      <c r="AV30" s="49">
        <v>2000000</v>
      </c>
      <c r="AW30" s="48">
        <v>0.18</v>
      </c>
      <c r="AX30" s="49">
        <v>500000</v>
      </c>
      <c r="AY30" s="49">
        <v>995</v>
      </c>
      <c r="AZ30" s="49">
        <v>695</v>
      </c>
      <c r="BA30" s="49">
        <v>150</v>
      </c>
      <c r="BB30" s="49">
        <v>250</v>
      </c>
      <c r="BC30" s="50">
        <v>250</v>
      </c>
    </row>
    <row r="31" spans="1:55" ht="15" thickBot="1" x14ac:dyDescent="0.35">
      <c r="A31" s="25" t="s">
        <v>299</v>
      </c>
      <c r="B31" s="51" t="s">
        <v>318</v>
      </c>
      <c r="C31" s="86" t="s">
        <v>249</v>
      </c>
      <c r="D31" s="87" t="s">
        <v>315</v>
      </c>
      <c r="E31" s="88" t="s">
        <v>310</v>
      </c>
      <c r="F31" s="89">
        <v>0.8</v>
      </c>
      <c r="G31" s="89">
        <v>0.8</v>
      </c>
      <c r="H31" s="89">
        <v>0.75</v>
      </c>
      <c r="I31" s="90">
        <v>9</v>
      </c>
      <c r="J31" s="90">
        <v>1.5</v>
      </c>
      <c r="K31" s="90">
        <f t="shared" si="3"/>
        <v>10.5</v>
      </c>
      <c r="L31" s="91">
        <v>125000</v>
      </c>
      <c r="M31" s="92">
        <v>5000000</v>
      </c>
      <c r="N31" s="91">
        <v>500000</v>
      </c>
      <c r="O31" s="93" t="str">
        <f>ChurchillMatrix[[#This Row],[Experience Level]] &amp; "|" &amp; ChurchillMatrix[[#This Row],[Project Type]] &amp; "|" &amp; ChurchillMatrix[[#This Row],[Loan Type]] &amp; "|" &amp; ChurchillMatrix[[#This Row],[FICO]] &amp; "|" &amp; ChurchillMatrix[[#This Row],[Number of Units]]</f>
        <v>Institutional (10+) ($10m)|Fix and Flip (Heavy Rehab)|Cash Out Refinance|&gt;=700|5-19 Units</v>
      </c>
      <c r="R31" s="60" t="s">
        <v>304</v>
      </c>
      <c r="S31" s="51" t="s">
        <v>300</v>
      </c>
      <c r="T31" s="103" t="s">
        <v>249</v>
      </c>
      <c r="U31" s="94" t="s">
        <v>316</v>
      </c>
      <c r="V31" s="122" t="s">
        <v>311</v>
      </c>
      <c r="W31" s="96">
        <v>0.8</v>
      </c>
      <c r="X31" s="96">
        <v>0.85</v>
      </c>
      <c r="Y31" s="96">
        <v>0.7</v>
      </c>
      <c r="Z31" s="97">
        <v>100000</v>
      </c>
      <c r="AA31" s="98">
        <v>2500000</v>
      </c>
      <c r="AB31" s="97">
        <v>30000</v>
      </c>
      <c r="AC31" s="99">
        <v>50000</v>
      </c>
      <c r="AD31" s="100" t="str">
        <f>ConstructiveMatrix[[#This Row],[Borrower Experience]] &amp; "|" &amp; ConstructiveMatrix[[#This Row],[Project Type]] &amp; "|" &amp; ConstructiveMatrix[[#This Row],[Loan Type]] &amp; "|" &amp; ConstructiveMatrix[[#This Row],[Dwelling Type]] &amp; "|" &amp; ConstructiveMatrix[[#This Row],[FICO]]</f>
        <v>Platinum (5+)|Fix and Flip (Light Rehab)|Cash Out Refinance|Other (2-4 unit)|740+</v>
      </c>
      <c r="AG31" s="44" t="s">
        <v>306</v>
      </c>
      <c r="AH31" s="45" t="s">
        <v>307</v>
      </c>
      <c r="AI31" s="45" t="s">
        <v>320</v>
      </c>
      <c r="AJ31" s="46" t="s">
        <v>314</v>
      </c>
      <c r="AK31" s="46" t="str">
        <f t="shared" si="0"/>
        <v>No Franchise| Lender Funded| 2 Projects| 620-639| N/A%</v>
      </c>
      <c r="AL31" s="47" t="s">
        <v>303</v>
      </c>
      <c r="AM31" s="47" t="s">
        <v>303</v>
      </c>
      <c r="AN31" s="47" t="s">
        <v>303</v>
      </c>
      <c r="AO31" s="47" t="s">
        <v>303</v>
      </c>
      <c r="AP31" s="47" t="s">
        <v>303</v>
      </c>
      <c r="AQ31" s="47" t="s">
        <v>303</v>
      </c>
      <c r="AR31" s="47" t="s">
        <v>303</v>
      </c>
      <c r="AS31" s="47" t="s">
        <v>303</v>
      </c>
      <c r="AT31" s="47" t="s">
        <v>303</v>
      </c>
      <c r="AU31" s="47" t="s">
        <v>303</v>
      </c>
      <c r="AV31" s="47" t="s">
        <v>303</v>
      </c>
      <c r="AW31" s="47" t="s">
        <v>303</v>
      </c>
      <c r="AX31" s="47" t="s">
        <v>303</v>
      </c>
      <c r="AY31" s="47" t="s">
        <v>303</v>
      </c>
      <c r="AZ31" s="47" t="s">
        <v>303</v>
      </c>
      <c r="BA31" s="47" t="s">
        <v>303</v>
      </c>
      <c r="BB31" s="47" t="s">
        <v>303</v>
      </c>
      <c r="BC31" s="47" t="s">
        <v>303</v>
      </c>
    </row>
    <row r="32" spans="1:55" x14ac:dyDescent="0.3">
      <c r="A32" s="25" t="s">
        <v>299</v>
      </c>
      <c r="B32" s="51" t="s">
        <v>318</v>
      </c>
      <c r="C32" s="27" t="s">
        <v>256</v>
      </c>
      <c r="D32" s="28" t="s">
        <v>301</v>
      </c>
      <c r="E32" s="29" t="s">
        <v>302</v>
      </c>
      <c r="F32" s="31">
        <v>0.85</v>
      </c>
      <c r="G32" s="31">
        <v>0.85</v>
      </c>
      <c r="H32" s="31">
        <v>0.75</v>
      </c>
      <c r="I32" s="32">
        <v>9</v>
      </c>
      <c r="J32" s="32">
        <v>0.25</v>
      </c>
      <c r="K32" s="32">
        <f t="shared" si="3"/>
        <v>9.25</v>
      </c>
      <c r="L32" s="33">
        <v>125000</v>
      </c>
      <c r="M32" s="34">
        <v>5000000</v>
      </c>
      <c r="N32" s="33" t="s">
        <v>303</v>
      </c>
      <c r="O32" s="35" t="str">
        <f>ChurchillMatrix[[#This Row],[Experience Level]] &amp; "|" &amp; ChurchillMatrix[[#This Row],[Project Type]] &amp; "|" &amp; ChurchillMatrix[[#This Row],[Loan Type]] &amp; "|" &amp; ChurchillMatrix[[#This Row],[FICO]] &amp; "|" &amp; ChurchillMatrix[[#This Row],[Number of Units]]</f>
        <v>Institutional (10+) ($10m)|Fix and Flip (Heavy Rehab)|Rate and Term Refinance|660 - 679|&lt;=4 Units</v>
      </c>
      <c r="R32" s="60" t="s">
        <v>304</v>
      </c>
      <c r="S32" s="51" t="s">
        <v>300</v>
      </c>
      <c r="T32" s="27" t="s">
        <v>256</v>
      </c>
      <c r="U32" s="37" t="s">
        <v>250</v>
      </c>
      <c r="V32" s="123" t="s">
        <v>305</v>
      </c>
      <c r="W32" s="39">
        <v>0.85</v>
      </c>
      <c r="X32" s="39">
        <v>0.9</v>
      </c>
      <c r="Y32" s="39">
        <v>0.75</v>
      </c>
      <c r="Z32" s="40">
        <v>100000</v>
      </c>
      <c r="AA32" s="41">
        <v>2500000</v>
      </c>
      <c r="AB32" s="40">
        <v>30000</v>
      </c>
      <c r="AC32" s="42">
        <v>50000</v>
      </c>
      <c r="AD32" s="43" t="str">
        <f>ConstructiveMatrix[[#This Row],[Borrower Experience]] &amp; "|" &amp; ConstructiveMatrix[[#This Row],[Project Type]] &amp; "|" &amp; ConstructiveMatrix[[#This Row],[Loan Type]] &amp; "|" &amp; ConstructiveMatrix[[#This Row],[Dwelling Type]] &amp; "|" &amp; ConstructiveMatrix[[#This Row],[FICO]]</f>
        <v>Platinum (5+)|Fix and Flip (Light Rehab)|Rate and Term Refinance|Single Family|680-739</v>
      </c>
      <c r="AG32" s="44" t="s">
        <v>306</v>
      </c>
      <c r="AH32" s="45" t="s">
        <v>307</v>
      </c>
      <c r="AI32" s="45" t="s">
        <v>321</v>
      </c>
      <c r="AJ32" s="46" t="s">
        <v>309</v>
      </c>
      <c r="AK32" s="46" t="str">
        <f t="shared" si="0"/>
        <v>No Franchise| Lender Funded| 1 Projects| 660+| 85%</v>
      </c>
      <c r="AL32" s="47">
        <v>0.85</v>
      </c>
      <c r="AM32" s="47">
        <v>0.7</v>
      </c>
      <c r="AN32" s="47">
        <v>0.7</v>
      </c>
      <c r="AO32" s="48">
        <v>0.1075</v>
      </c>
      <c r="AP32" s="48">
        <v>0.01</v>
      </c>
      <c r="AQ32" s="48">
        <v>0.01</v>
      </c>
      <c r="AR32" s="48">
        <v>2.5000000000000001E-2</v>
      </c>
      <c r="AS32" s="48">
        <v>0.13750000000000001</v>
      </c>
      <c r="AT32" s="49" t="s">
        <v>322</v>
      </c>
      <c r="AU32" s="49">
        <v>75000</v>
      </c>
      <c r="AV32" s="49">
        <v>2000000</v>
      </c>
      <c r="AW32" s="48">
        <v>0.18</v>
      </c>
      <c r="AX32" s="49">
        <v>500000</v>
      </c>
      <c r="AY32" s="49">
        <v>995</v>
      </c>
      <c r="AZ32" s="50">
        <v>695</v>
      </c>
      <c r="BA32" s="49">
        <v>150</v>
      </c>
      <c r="BB32" s="49">
        <v>250</v>
      </c>
      <c r="BC32" s="50">
        <v>250</v>
      </c>
    </row>
    <row r="33" spans="1:55" x14ac:dyDescent="0.3">
      <c r="A33" s="25" t="s">
        <v>299</v>
      </c>
      <c r="B33" s="51" t="s">
        <v>318</v>
      </c>
      <c r="C33" s="104" t="s">
        <v>256</v>
      </c>
      <c r="D33" s="53" t="s">
        <v>301</v>
      </c>
      <c r="E33" s="54" t="s">
        <v>310</v>
      </c>
      <c r="F33" s="55">
        <v>0.8</v>
      </c>
      <c r="G33" s="55">
        <v>0.8</v>
      </c>
      <c r="H33" s="55">
        <v>0.75</v>
      </c>
      <c r="I33" s="56">
        <v>9</v>
      </c>
      <c r="J33" s="56">
        <v>1.25</v>
      </c>
      <c r="K33" s="56">
        <f t="shared" si="3"/>
        <v>10.25</v>
      </c>
      <c r="L33" s="57">
        <v>125000</v>
      </c>
      <c r="M33" s="58">
        <v>5000000</v>
      </c>
      <c r="N33" s="57" t="s">
        <v>303</v>
      </c>
      <c r="O33" s="59" t="str">
        <f>ChurchillMatrix[[#This Row],[Experience Level]] &amp; "|" &amp; ChurchillMatrix[[#This Row],[Project Type]] &amp; "|" &amp; ChurchillMatrix[[#This Row],[Loan Type]] &amp; "|" &amp; ChurchillMatrix[[#This Row],[FICO]] &amp; "|" &amp; ChurchillMatrix[[#This Row],[Number of Units]]</f>
        <v>Institutional (10+) ($10m)|Fix and Flip (Heavy Rehab)|Rate and Term Refinance|660 - 679|5-19 Units</v>
      </c>
      <c r="R33" s="60" t="s">
        <v>304</v>
      </c>
      <c r="S33" s="51" t="s">
        <v>300</v>
      </c>
      <c r="T33" s="52" t="s">
        <v>256</v>
      </c>
      <c r="U33" s="61" t="s">
        <v>250</v>
      </c>
      <c r="V33" s="121" t="s">
        <v>311</v>
      </c>
      <c r="W33" s="63">
        <v>0.85</v>
      </c>
      <c r="X33" s="63">
        <v>0.9</v>
      </c>
      <c r="Y33" s="63">
        <v>0.75</v>
      </c>
      <c r="Z33" s="64">
        <v>100000</v>
      </c>
      <c r="AA33" s="65">
        <v>2500000</v>
      </c>
      <c r="AB33" s="64">
        <v>30000</v>
      </c>
      <c r="AC33" s="66">
        <v>50000</v>
      </c>
      <c r="AD33" s="67" t="str">
        <f>ConstructiveMatrix[[#This Row],[Borrower Experience]] &amp; "|" &amp; ConstructiveMatrix[[#This Row],[Project Type]] &amp; "|" &amp; ConstructiveMatrix[[#This Row],[Loan Type]] &amp; "|" &amp; ConstructiveMatrix[[#This Row],[Dwelling Type]] &amp; "|" &amp; ConstructiveMatrix[[#This Row],[FICO]]</f>
        <v>Platinum (5+)|Fix and Flip (Light Rehab)|Rate and Term Refinance|Single Family|740+</v>
      </c>
      <c r="AG33" s="44" t="s">
        <v>306</v>
      </c>
      <c r="AH33" s="45" t="s">
        <v>307</v>
      </c>
      <c r="AI33" s="45" t="s">
        <v>321</v>
      </c>
      <c r="AJ33" s="46" t="s">
        <v>312</v>
      </c>
      <c r="AK33" s="46" t="str">
        <f t="shared" si="0"/>
        <v>No Franchise| Lender Funded| 1 Projects| 640-659| N/A%</v>
      </c>
      <c r="AL33" s="47" t="s">
        <v>303</v>
      </c>
      <c r="AM33" s="47" t="s">
        <v>303</v>
      </c>
      <c r="AN33" s="47" t="s">
        <v>303</v>
      </c>
      <c r="AO33" s="47" t="s">
        <v>303</v>
      </c>
      <c r="AP33" s="47" t="s">
        <v>303</v>
      </c>
      <c r="AQ33" s="47" t="s">
        <v>303</v>
      </c>
      <c r="AR33" s="47" t="s">
        <v>303</v>
      </c>
      <c r="AS33" s="47" t="s">
        <v>303</v>
      </c>
      <c r="AT33" s="47" t="s">
        <v>303</v>
      </c>
      <c r="AU33" s="47" t="s">
        <v>303</v>
      </c>
      <c r="AV33" s="47" t="s">
        <v>303</v>
      </c>
      <c r="AW33" s="47" t="s">
        <v>303</v>
      </c>
      <c r="AX33" s="47" t="s">
        <v>303</v>
      </c>
      <c r="AY33" s="47" t="s">
        <v>303</v>
      </c>
      <c r="AZ33" s="47" t="s">
        <v>303</v>
      </c>
      <c r="BA33" s="47" t="s">
        <v>303</v>
      </c>
      <c r="BB33" s="47" t="s">
        <v>303</v>
      </c>
      <c r="BC33" s="47" t="s">
        <v>303</v>
      </c>
    </row>
    <row r="34" spans="1:55" x14ac:dyDescent="0.3">
      <c r="A34" s="25" t="s">
        <v>299</v>
      </c>
      <c r="B34" s="51" t="s">
        <v>318</v>
      </c>
      <c r="C34" s="52" t="s">
        <v>256</v>
      </c>
      <c r="D34" s="68" t="s">
        <v>313</v>
      </c>
      <c r="E34" s="69" t="s">
        <v>302</v>
      </c>
      <c r="F34" s="71">
        <v>0.85</v>
      </c>
      <c r="G34" s="71">
        <v>0.85</v>
      </c>
      <c r="H34" s="71">
        <v>0.75</v>
      </c>
      <c r="I34" s="72">
        <v>9</v>
      </c>
      <c r="J34" s="72">
        <v>0.25</v>
      </c>
      <c r="K34" s="72">
        <f t="shared" si="3"/>
        <v>9.25</v>
      </c>
      <c r="L34" s="73">
        <v>125000</v>
      </c>
      <c r="M34" s="74">
        <v>5000000</v>
      </c>
      <c r="N34" s="73" t="s">
        <v>303</v>
      </c>
      <c r="O34" s="75" t="str">
        <f>ChurchillMatrix[[#This Row],[Experience Level]] &amp; "|" &amp; ChurchillMatrix[[#This Row],[Project Type]] &amp; "|" &amp; ChurchillMatrix[[#This Row],[Loan Type]] &amp; "|" &amp; ChurchillMatrix[[#This Row],[FICO]] &amp; "|" &amp; ChurchillMatrix[[#This Row],[Number of Units]]</f>
        <v>Institutional (10+) ($10m)|Fix and Flip (Heavy Rehab)|Rate and Term Refinance|680 - 699|&lt;=4 Units</v>
      </c>
      <c r="R34" s="60" t="s">
        <v>304</v>
      </c>
      <c r="S34" s="51" t="s">
        <v>300</v>
      </c>
      <c r="T34" s="52" t="s">
        <v>256</v>
      </c>
      <c r="U34" s="76" t="s">
        <v>259</v>
      </c>
      <c r="V34" s="120" t="s">
        <v>305</v>
      </c>
      <c r="W34" s="78">
        <v>0.65</v>
      </c>
      <c r="X34" s="78">
        <v>0.9</v>
      </c>
      <c r="Y34" s="78">
        <v>0.65</v>
      </c>
      <c r="Z34" s="79">
        <v>100000</v>
      </c>
      <c r="AA34" s="80">
        <v>2500000</v>
      </c>
      <c r="AB34" s="79">
        <v>30000</v>
      </c>
      <c r="AC34" s="81">
        <v>50000</v>
      </c>
      <c r="AD34" s="82" t="str">
        <f>ConstructiveMatrix[[#This Row],[Borrower Experience]] &amp; "|" &amp; ConstructiveMatrix[[#This Row],[Project Type]] &amp; "|" &amp; ConstructiveMatrix[[#This Row],[Loan Type]] &amp; "|" &amp; ConstructiveMatrix[[#This Row],[Dwelling Type]] &amp; "|" &amp; ConstructiveMatrix[[#This Row],[FICO]]</f>
        <v>Platinum (5+)|Fix and Flip (Light Rehab)|Rate and Term Refinance|Non-Warrantable Condo|680-739</v>
      </c>
      <c r="AG34" s="44" t="s">
        <v>306</v>
      </c>
      <c r="AH34" s="45" t="s">
        <v>307</v>
      </c>
      <c r="AI34" s="45" t="s">
        <v>321</v>
      </c>
      <c r="AJ34" s="46" t="s">
        <v>314</v>
      </c>
      <c r="AK34" s="46" t="str">
        <f t="shared" si="0"/>
        <v>No Franchise| Lender Funded| 1 Projects| 620-639| N/A%</v>
      </c>
      <c r="AL34" s="47" t="s">
        <v>303</v>
      </c>
      <c r="AM34" s="47" t="s">
        <v>303</v>
      </c>
      <c r="AN34" s="47" t="s">
        <v>303</v>
      </c>
      <c r="AO34" s="47" t="s">
        <v>303</v>
      </c>
      <c r="AP34" s="47" t="s">
        <v>303</v>
      </c>
      <c r="AQ34" s="47" t="s">
        <v>303</v>
      </c>
      <c r="AR34" s="47" t="s">
        <v>303</v>
      </c>
      <c r="AS34" s="47" t="s">
        <v>303</v>
      </c>
      <c r="AT34" s="47" t="s">
        <v>303</v>
      </c>
      <c r="AU34" s="47" t="s">
        <v>303</v>
      </c>
      <c r="AV34" s="47" t="s">
        <v>303</v>
      </c>
      <c r="AW34" s="47" t="s">
        <v>303</v>
      </c>
      <c r="AX34" s="47" t="s">
        <v>303</v>
      </c>
      <c r="AY34" s="47" t="s">
        <v>303</v>
      </c>
      <c r="AZ34" s="47" t="s">
        <v>303</v>
      </c>
      <c r="BA34" s="47" t="s">
        <v>303</v>
      </c>
      <c r="BB34" s="47" t="s">
        <v>303</v>
      </c>
      <c r="BC34" s="47" t="s">
        <v>303</v>
      </c>
    </row>
    <row r="35" spans="1:55" x14ac:dyDescent="0.3">
      <c r="A35" s="25" t="s">
        <v>299</v>
      </c>
      <c r="B35" s="51" t="s">
        <v>318</v>
      </c>
      <c r="C35" s="104" t="s">
        <v>256</v>
      </c>
      <c r="D35" s="53" t="s">
        <v>313</v>
      </c>
      <c r="E35" s="54" t="s">
        <v>310</v>
      </c>
      <c r="F35" s="55">
        <v>0.8</v>
      </c>
      <c r="G35" s="55">
        <v>0.8</v>
      </c>
      <c r="H35" s="55">
        <v>0.75</v>
      </c>
      <c r="I35" s="56">
        <v>9</v>
      </c>
      <c r="J35" s="56">
        <v>1.25</v>
      </c>
      <c r="K35" s="56">
        <f t="shared" si="3"/>
        <v>10.25</v>
      </c>
      <c r="L35" s="57">
        <v>125000</v>
      </c>
      <c r="M35" s="58">
        <v>5000000</v>
      </c>
      <c r="N35" s="57" t="s">
        <v>303</v>
      </c>
      <c r="O35" s="59" t="str">
        <f>ChurchillMatrix[[#This Row],[Experience Level]] &amp; "|" &amp; ChurchillMatrix[[#This Row],[Project Type]] &amp; "|" &amp; ChurchillMatrix[[#This Row],[Loan Type]] &amp; "|" &amp; ChurchillMatrix[[#This Row],[FICO]] &amp; "|" &amp; ChurchillMatrix[[#This Row],[Number of Units]]</f>
        <v>Institutional (10+) ($10m)|Fix and Flip (Heavy Rehab)|Rate and Term Refinance|680 - 699|5-19 Units</v>
      </c>
      <c r="R35" s="60" t="s">
        <v>304</v>
      </c>
      <c r="S35" s="51" t="s">
        <v>300</v>
      </c>
      <c r="T35" s="52" t="s">
        <v>256</v>
      </c>
      <c r="U35" s="83" t="s">
        <v>259</v>
      </c>
      <c r="V35" s="121" t="s">
        <v>311</v>
      </c>
      <c r="W35" s="63">
        <v>0.65</v>
      </c>
      <c r="X35" s="63">
        <v>0.9</v>
      </c>
      <c r="Y35" s="63">
        <v>0.65</v>
      </c>
      <c r="Z35" s="64">
        <v>100000</v>
      </c>
      <c r="AA35" s="65">
        <v>2500000</v>
      </c>
      <c r="AB35" s="64">
        <v>30000</v>
      </c>
      <c r="AC35" s="66">
        <v>50000</v>
      </c>
      <c r="AD35" s="67" t="str">
        <f>ConstructiveMatrix[[#This Row],[Borrower Experience]] &amp; "|" &amp; ConstructiveMatrix[[#This Row],[Project Type]] &amp; "|" &amp; ConstructiveMatrix[[#This Row],[Loan Type]] &amp; "|" &amp; ConstructiveMatrix[[#This Row],[Dwelling Type]] &amp; "|" &amp; ConstructiveMatrix[[#This Row],[FICO]]</f>
        <v>Platinum (5+)|Fix and Flip (Light Rehab)|Rate and Term Refinance|Non-Warrantable Condo|740+</v>
      </c>
      <c r="AG35" s="44" t="s">
        <v>306</v>
      </c>
      <c r="AH35" s="45" t="s">
        <v>307</v>
      </c>
      <c r="AI35" s="45" t="s">
        <v>321</v>
      </c>
      <c r="AJ35" s="46" t="s">
        <v>309</v>
      </c>
      <c r="AK35" s="46" t="str">
        <f t="shared" si="0"/>
        <v>No Franchise| Lender Funded| 1 Projects| 660+| 80%</v>
      </c>
      <c r="AL35" s="47">
        <v>0.8</v>
      </c>
      <c r="AM35" s="47">
        <v>0.7</v>
      </c>
      <c r="AN35" s="47">
        <v>0.7</v>
      </c>
      <c r="AO35" s="48">
        <v>0.10625</v>
      </c>
      <c r="AP35" s="48">
        <v>0.01</v>
      </c>
      <c r="AQ35" s="48">
        <v>0.01</v>
      </c>
      <c r="AR35" s="48">
        <v>2.5000000000000001E-2</v>
      </c>
      <c r="AS35" s="48">
        <v>0.13625000000000001</v>
      </c>
      <c r="AT35" s="49" t="s">
        <v>322</v>
      </c>
      <c r="AU35" s="49">
        <v>75000</v>
      </c>
      <c r="AV35" s="49">
        <v>2000000</v>
      </c>
      <c r="AW35" s="48">
        <v>0.18</v>
      </c>
      <c r="AX35" s="49">
        <v>500000</v>
      </c>
      <c r="AY35" s="49">
        <v>995</v>
      </c>
      <c r="AZ35" s="49">
        <v>695</v>
      </c>
      <c r="BA35" s="49">
        <v>150</v>
      </c>
      <c r="BB35" s="49">
        <v>250</v>
      </c>
      <c r="BC35" s="50">
        <v>250</v>
      </c>
    </row>
    <row r="36" spans="1:55" x14ac:dyDescent="0.3">
      <c r="A36" s="25" t="s">
        <v>299</v>
      </c>
      <c r="B36" s="51" t="s">
        <v>318</v>
      </c>
      <c r="C36" s="52" t="s">
        <v>256</v>
      </c>
      <c r="D36" s="68" t="s">
        <v>315</v>
      </c>
      <c r="E36" s="69" t="s">
        <v>302</v>
      </c>
      <c r="F36" s="71">
        <v>0.85</v>
      </c>
      <c r="G36" s="71">
        <v>0.85</v>
      </c>
      <c r="H36" s="71">
        <v>0.75</v>
      </c>
      <c r="I36" s="72">
        <v>9</v>
      </c>
      <c r="J36" s="72">
        <v>0</v>
      </c>
      <c r="K36" s="72">
        <f t="shared" si="3"/>
        <v>9</v>
      </c>
      <c r="L36" s="73">
        <v>125000</v>
      </c>
      <c r="M36" s="74">
        <v>5000000</v>
      </c>
      <c r="N36" s="73" t="s">
        <v>303</v>
      </c>
      <c r="O36" s="75" t="str">
        <f>ChurchillMatrix[[#This Row],[Experience Level]] &amp; "|" &amp; ChurchillMatrix[[#This Row],[Project Type]] &amp; "|" &amp; ChurchillMatrix[[#This Row],[Loan Type]] &amp; "|" &amp; ChurchillMatrix[[#This Row],[FICO]] &amp; "|" &amp; ChurchillMatrix[[#This Row],[Number of Units]]</f>
        <v>Institutional (10+) ($10m)|Fix and Flip (Heavy Rehab)|Rate and Term Refinance|&gt;=700|&lt;=4 Units</v>
      </c>
      <c r="R36" s="60" t="s">
        <v>304</v>
      </c>
      <c r="S36" s="51" t="s">
        <v>300</v>
      </c>
      <c r="T36" s="52" t="s">
        <v>256</v>
      </c>
      <c r="U36" s="85" t="s">
        <v>316</v>
      </c>
      <c r="V36" s="120" t="s">
        <v>305</v>
      </c>
      <c r="W36" s="78">
        <v>0.85</v>
      </c>
      <c r="X36" s="78">
        <v>0.9</v>
      </c>
      <c r="Y36" s="78">
        <v>0.75</v>
      </c>
      <c r="Z36" s="79">
        <v>100000</v>
      </c>
      <c r="AA36" s="80">
        <v>2500000</v>
      </c>
      <c r="AB36" s="79">
        <v>30000</v>
      </c>
      <c r="AC36" s="81">
        <v>50000</v>
      </c>
      <c r="AD36" s="82" t="str">
        <f>ConstructiveMatrix[[#This Row],[Borrower Experience]] &amp; "|" &amp; ConstructiveMatrix[[#This Row],[Project Type]] &amp; "|" &amp; ConstructiveMatrix[[#This Row],[Loan Type]] &amp; "|" &amp; ConstructiveMatrix[[#This Row],[Dwelling Type]] &amp; "|" &amp; ConstructiveMatrix[[#This Row],[FICO]]</f>
        <v>Platinum (5+)|Fix and Flip (Light Rehab)|Rate and Term Refinance|Other (2-4 unit)|680-739</v>
      </c>
      <c r="AG36" s="44" t="s">
        <v>306</v>
      </c>
      <c r="AH36" s="45" t="s">
        <v>307</v>
      </c>
      <c r="AI36" s="45" t="s">
        <v>321</v>
      </c>
      <c r="AJ36" s="46" t="s">
        <v>312</v>
      </c>
      <c r="AK36" s="46" t="str">
        <f t="shared" si="0"/>
        <v>No Franchise| Lender Funded| 1 Projects| 640-659| N/A%</v>
      </c>
      <c r="AL36" s="47" t="s">
        <v>303</v>
      </c>
      <c r="AM36" s="47" t="s">
        <v>303</v>
      </c>
      <c r="AN36" s="47" t="s">
        <v>303</v>
      </c>
      <c r="AO36" s="47" t="s">
        <v>303</v>
      </c>
      <c r="AP36" s="47" t="s">
        <v>303</v>
      </c>
      <c r="AQ36" s="47" t="s">
        <v>303</v>
      </c>
      <c r="AR36" s="47" t="s">
        <v>303</v>
      </c>
      <c r="AS36" s="47" t="s">
        <v>303</v>
      </c>
      <c r="AT36" s="47" t="s">
        <v>303</v>
      </c>
      <c r="AU36" s="47" t="s">
        <v>303</v>
      </c>
      <c r="AV36" s="47" t="s">
        <v>303</v>
      </c>
      <c r="AW36" s="47" t="s">
        <v>303</v>
      </c>
      <c r="AX36" s="47" t="s">
        <v>303</v>
      </c>
      <c r="AY36" s="47" t="s">
        <v>303</v>
      </c>
      <c r="AZ36" s="47" t="s">
        <v>303</v>
      </c>
      <c r="BA36" s="47" t="s">
        <v>303</v>
      </c>
      <c r="BB36" s="47" t="s">
        <v>303</v>
      </c>
      <c r="BC36" s="47" t="s">
        <v>303</v>
      </c>
    </row>
    <row r="37" spans="1:55" ht="15" thickBot="1" x14ac:dyDescent="0.35">
      <c r="A37" s="25" t="s">
        <v>299</v>
      </c>
      <c r="B37" s="51" t="s">
        <v>318</v>
      </c>
      <c r="C37" s="86" t="s">
        <v>256</v>
      </c>
      <c r="D37" s="87" t="s">
        <v>315</v>
      </c>
      <c r="E37" s="88" t="s">
        <v>310</v>
      </c>
      <c r="F37" s="89">
        <v>0.8</v>
      </c>
      <c r="G37" s="89">
        <v>0.8</v>
      </c>
      <c r="H37" s="89">
        <v>0.75</v>
      </c>
      <c r="I37" s="90">
        <v>9</v>
      </c>
      <c r="J37" s="90">
        <v>1</v>
      </c>
      <c r="K37" s="90">
        <f t="shared" si="3"/>
        <v>10</v>
      </c>
      <c r="L37" s="91">
        <v>125000</v>
      </c>
      <c r="M37" s="92">
        <v>5000000</v>
      </c>
      <c r="N37" s="91" t="s">
        <v>303</v>
      </c>
      <c r="O37" s="93" t="str">
        <f>ChurchillMatrix[[#This Row],[Experience Level]] &amp; "|" &amp; ChurchillMatrix[[#This Row],[Project Type]] &amp; "|" &amp; ChurchillMatrix[[#This Row],[Loan Type]] &amp; "|" &amp; ChurchillMatrix[[#This Row],[FICO]] &amp; "|" &amp; ChurchillMatrix[[#This Row],[Number of Units]]</f>
        <v>Institutional (10+) ($10m)|Fix and Flip (Heavy Rehab)|Rate and Term Refinance|&gt;=700|5-19 Units</v>
      </c>
      <c r="R37" s="60" t="s">
        <v>304</v>
      </c>
      <c r="S37" s="111" t="s">
        <v>300</v>
      </c>
      <c r="T37" s="86" t="s">
        <v>256</v>
      </c>
      <c r="U37" s="94" t="s">
        <v>316</v>
      </c>
      <c r="V37" s="113" t="s">
        <v>311</v>
      </c>
      <c r="W37" s="114">
        <v>0.85</v>
      </c>
      <c r="X37" s="114">
        <v>0.9</v>
      </c>
      <c r="Y37" s="114">
        <v>0.75</v>
      </c>
      <c r="Z37" s="115">
        <v>100000</v>
      </c>
      <c r="AA37" s="116">
        <v>2500000</v>
      </c>
      <c r="AB37" s="115">
        <v>30000</v>
      </c>
      <c r="AC37" s="117">
        <v>50000</v>
      </c>
      <c r="AD37" s="100" t="str">
        <f>ConstructiveMatrix[[#This Row],[Borrower Experience]] &amp; "|" &amp; ConstructiveMatrix[[#This Row],[Project Type]] &amp; "|" &amp; ConstructiveMatrix[[#This Row],[Loan Type]] &amp; "|" &amp; ConstructiveMatrix[[#This Row],[Dwelling Type]] &amp; "|" &amp; ConstructiveMatrix[[#This Row],[FICO]]</f>
        <v>Platinum (5+)|Fix and Flip (Light Rehab)|Rate and Term Refinance|Other (2-4 unit)|740+</v>
      </c>
      <c r="AG37" s="44" t="s">
        <v>306</v>
      </c>
      <c r="AH37" s="45" t="s">
        <v>307</v>
      </c>
      <c r="AI37" s="45" t="s">
        <v>321</v>
      </c>
      <c r="AJ37" s="46" t="s">
        <v>314</v>
      </c>
      <c r="AK37" s="46" t="str">
        <f t="shared" si="0"/>
        <v>No Franchise| Lender Funded| 1 Projects| 620-639| N/A%</v>
      </c>
      <c r="AL37" s="47" t="s">
        <v>303</v>
      </c>
      <c r="AM37" s="47" t="s">
        <v>303</v>
      </c>
      <c r="AN37" s="47" t="s">
        <v>303</v>
      </c>
      <c r="AO37" s="47" t="s">
        <v>303</v>
      </c>
      <c r="AP37" s="47" t="s">
        <v>303</v>
      </c>
      <c r="AQ37" s="47" t="s">
        <v>303</v>
      </c>
      <c r="AR37" s="47" t="s">
        <v>303</v>
      </c>
      <c r="AS37" s="47" t="s">
        <v>303</v>
      </c>
      <c r="AT37" s="47" t="s">
        <v>303</v>
      </c>
      <c r="AU37" s="47" t="s">
        <v>303</v>
      </c>
      <c r="AV37" s="47" t="s">
        <v>303</v>
      </c>
      <c r="AW37" s="47" t="s">
        <v>303</v>
      </c>
      <c r="AX37" s="47" t="s">
        <v>303</v>
      </c>
      <c r="AY37" s="47" t="s">
        <v>303</v>
      </c>
      <c r="AZ37" s="47" t="s">
        <v>303</v>
      </c>
      <c r="BA37" s="47" t="s">
        <v>303</v>
      </c>
      <c r="BB37" s="47" t="s">
        <v>303</v>
      </c>
      <c r="BC37" s="47" t="s">
        <v>303</v>
      </c>
    </row>
    <row r="38" spans="1:55" x14ac:dyDescent="0.3">
      <c r="A38" s="25" t="s">
        <v>299</v>
      </c>
      <c r="B38" s="51" t="s">
        <v>255</v>
      </c>
      <c r="C38" s="27" t="s">
        <v>251</v>
      </c>
      <c r="D38" s="28" t="s">
        <v>301</v>
      </c>
      <c r="E38" s="29" t="s">
        <v>302</v>
      </c>
      <c r="F38" s="31">
        <v>0.8</v>
      </c>
      <c r="G38" s="31">
        <v>0.8</v>
      </c>
      <c r="H38" s="31" t="s">
        <v>303</v>
      </c>
      <c r="I38" s="32">
        <v>8.75</v>
      </c>
      <c r="J38" s="32">
        <v>0.25</v>
      </c>
      <c r="K38" s="32">
        <f t="shared" si="3"/>
        <v>9</v>
      </c>
      <c r="L38" s="33">
        <v>125000</v>
      </c>
      <c r="M38" s="34">
        <v>5000000</v>
      </c>
      <c r="N38" s="33" t="s">
        <v>303</v>
      </c>
      <c r="O38" s="35" t="str">
        <f>ChurchillMatrix[[#This Row],[Experience Level]] &amp; "|" &amp; ChurchillMatrix[[#This Row],[Project Type]] &amp; "|" &amp; ChurchillMatrix[[#This Row],[Loan Type]] &amp; "|" &amp; ChurchillMatrix[[#This Row],[FICO]] &amp; "|" &amp; ChurchillMatrix[[#This Row],[Number of Units]]</f>
        <v>Institutional (10+) ($10m)|Bridge (No Rehab)|Purchase|660 - 679|&lt;=4 Units</v>
      </c>
      <c r="R38" s="60" t="s">
        <v>304</v>
      </c>
      <c r="S38" s="26" t="s">
        <v>318</v>
      </c>
      <c r="T38" s="27" t="s">
        <v>251</v>
      </c>
      <c r="U38" s="37" t="s">
        <v>250</v>
      </c>
      <c r="V38" s="123" t="s">
        <v>305</v>
      </c>
      <c r="W38" s="39">
        <v>0.8</v>
      </c>
      <c r="X38" s="39">
        <v>0.9</v>
      </c>
      <c r="Y38" s="39">
        <v>0.75</v>
      </c>
      <c r="Z38" s="40">
        <v>100000</v>
      </c>
      <c r="AA38" s="41">
        <v>2500000</v>
      </c>
      <c r="AB38" s="40">
        <v>30000</v>
      </c>
      <c r="AC38" s="42">
        <v>50000</v>
      </c>
      <c r="AD38" s="43" t="str">
        <f>ConstructiveMatrix[[#This Row],[Borrower Experience]] &amp; "|" &amp; ConstructiveMatrix[[#This Row],[Project Type]] &amp; "|" &amp; ConstructiveMatrix[[#This Row],[Loan Type]] &amp; "|" &amp; ConstructiveMatrix[[#This Row],[Dwelling Type]] &amp; "|" &amp; ConstructiveMatrix[[#This Row],[FICO]]</f>
        <v>Platinum (5+)|Fix and Flip (Heavy Rehab)|Purchase|Single Family|680-739</v>
      </c>
      <c r="AG38" s="44" t="s">
        <v>306</v>
      </c>
      <c r="AH38" s="45" t="s">
        <v>307</v>
      </c>
      <c r="AI38" s="45" t="s">
        <v>323</v>
      </c>
      <c r="AJ38" s="46" t="s">
        <v>324</v>
      </c>
      <c r="AK38" s="46" t="str">
        <f t="shared" si="0"/>
        <v>No Franchise| Lender Funded| 0 Projects| 700+| 85%</v>
      </c>
      <c r="AL38" s="47">
        <v>0.85</v>
      </c>
      <c r="AM38" s="47">
        <v>0.7</v>
      </c>
      <c r="AN38" s="47">
        <v>0.65</v>
      </c>
      <c r="AO38" s="48">
        <v>0.1125</v>
      </c>
      <c r="AP38" s="48">
        <v>0.01</v>
      </c>
      <c r="AQ38" s="48">
        <v>0.01</v>
      </c>
      <c r="AR38" s="48">
        <v>2.5000000000000001E-2</v>
      </c>
      <c r="AS38" s="48">
        <v>0.14249999999999999</v>
      </c>
      <c r="AT38" s="49">
        <v>75000</v>
      </c>
      <c r="AU38" s="49">
        <v>75000</v>
      </c>
      <c r="AV38" s="49">
        <v>500000</v>
      </c>
      <c r="AW38" s="48">
        <v>0.18</v>
      </c>
      <c r="AX38" s="49">
        <v>500000</v>
      </c>
      <c r="AY38" s="49">
        <v>995</v>
      </c>
      <c r="AZ38" s="50">
        <v>695</v>
      </c>
      <c r="BA38" s="49">
        <v>150</v>
      </c>
      <c r="BB38" s="49">
        <v>250</v>
      </c>
      <c r="BC38" s="50">
        <v>250</v>
      </c>
    </row>
    <row r="39" spans="1:55" x14ac:dyDescent="0.3">
      <c r="A39" s="25" t="s">
        <v>299</v>
      </c>
      <c r="B39" s="51" t="s">
        <v>255</v>
      </c>
      <c r="C39" s="52" t="s">
        <v>251</v>
      </c>
      <c r="D39" s="53" t="s">
        <v>301</v>
      </c>
      <c r="E39" s="54" t="s">
        <v>310</v>
      </c>
      <c r="F39" s="55">
        <v>0.8</v>
      </c>
      <c r="G39" s="55">
        <v>0.8</v>
      </c>
      <c r="H39" s="55" t="s">
        <v>303</v>
      </c>
      <c r="I39" s="56">
        <v>8.75</v>
      </c>
      <c r="J39" s="56">
        <v>1.25</v>
      </c>
      <c r="K39" s="56">
        <f t="shared" si="3"/>
        <v>10</v>
      </c>
      <c r="L39" s="57">
        <v>125000</v>
      </c>
      <c r="M39" s="58">
        <v>5000000</v>
      </c>
      <c r="N39" s="57" t="s">
        <v>303</v>
      </c>
      <c r="O39" s="59" t="str">
        <f>ChurchillMatrix[[#This Row],[Experience Level]] &amp; "|" &amp; ChurchillMatrix[[#This Row],[Project Type]] &amp; "|" &amp; ChurchillMatrix[[#This Row],[Loan Type]] &amp; "|" &amp; ChurchillMatrix[[#This Row],[FICO]] &amp; "|" &amp; ChurchillMatrix[[#This Row],[Number of Units]]</f>
        <v>Institutional (10+) ($10m)|Bridge (No Rehab)|Purchase|660 - 679|5-19 Units</v>
      </c>
      <c r="R39" s="60" t="s">
        <v>304</v>
      </c>
      <c r="S39" s="51" t="s">
        <v>318</v>
      </c>
      <c r="T39" s="52" t="s">
        <v>251</v>
      </c>
      <c r="U39" s="61" t="s">
        <v>250</v>
      </c>
      <c r="V39" s="121" t="s">
        <v>311</v>
      </c>
      <c r="W39" s="63">
        <v>0.8</v>
      </c>
      <c r="X39" s="63">
        <v>0.9</v>
      </c>
      <c r="Y39" s="63">
        <v>0.75</v>
      </c>
      <c r="Z39" s="64">
        <v>100000</v>
      </c>
      <c r="AA39" s="65">
        <v>2500000</v>
      </c>
      <c r="AB39" s="64">
        <v>30000</v>
      </c>
      <c r="AC39" s="66">
        <v>50000</v>
      </c>
      <c r="AD39" s="67" t="str">
        <f>ConstructiveMatrix[[#This Row],[Borrower Experience]] &amp; "|" &amp; ConstructiveMatrix[[#This Row],[Project Type]] &amp; "|" &amp; ConstructiveMatrix[[#This Row],[Loan Type]] &amp; "|" &amp; ConstructiveMatrix[[#This Row],[Dwelling Type]] &amp; "|" &amp; ConstructiveMatrix[[#This Row],[FICO]]</f>
        <v>Platinum (5+)|Fix and Flip (Heavy Rehab)|Purchase|Single Family|740+</v>
      </c>
      <c r="AG39" s="105" t="s">
        <v>306</v>
      </c>
      <c r="AH39" s="85" t="s">
        <v>307</v>
      </c>
      <c r="AI39" s="85" t="s">
        <v>323</v>
      </c>
      <c r="AJ39" s="106" t="s">
        <v>325</v>
      </c>
      <c r="AK39" s="106" t="str">
        <f t="shared" si="0"/>
        <v>No Franchise| Lender Funded| 0 Projects| 660-699| 80%</v>
      </c>
      <c r="AL39" s="107">
        <v>0.8</v>
      </c>
      <c r="AM39" s="107">
        <v>0.65</v>
      </c>
      <c r="AN39" s="107">
        <v>0.65</v>
      </c>
      <c r="AO39" s="108">
        <v>0.10999</v>
      </c>
      <c r="AP39" s="108">
        <v>0.01</v>
      </c>
      <c r="AQ39" s="108">
        <v>0.01</v>
      </c>
      <c r="AR39" s="108">
        <v>2.5000000000000001E-2</v>
      </c>
      <c r="AS39" s="108">
        <v>0.13999</v>
      </c>
      <c r="AT39" s="109">
        <v>75000</v>
      </c>
      <c r="AU39" s="109">
        <v>75000</v>
      </c>
      <c r="AV39" s="109">
        <v>500000</v>
      </c>
      <c r="AW39" s="108">
        <v>0.18</v>
      </c>
      <c r="AX39" s="109">
        <v>500000</v>
      </c>
      <c r="AY39" s="109">
        <v>995</v>
      </c>
      <c r="AZ39" s="110">
        <v>695</v>
      </c>
      <c r="BA39" s="109">
        <v>150</v>
      </c>
      <c r="BB39" s="109">
        <v>250</v>
      </c>
      <c r="BC39" s="110">
        <v>250</v>
      </c>
    </row>
    <row r="40" spans="1:55" x14ac:dyDescent="0.3">
      <c r="A40" s="25" t="s">
        <v>299</v>
      </c>
      <c r="B40" s="51" t="s">
        <v>255</v>
      </c>
      <c r="C40" s="52" t="s">
        <v>251</v>
      </c>
      <c r="D40" s="68" t="s">
        <v>313</v>
      </c>
      <c r="E40" s="69" t="s">
        <v>302</v>
      </c>
      <c r="F40" s="124">
        <v>0.8</v>
      </c>
      <c r="G40" s="124">
        <v>0.8</v>
      </c>
      <c r="H40" s="71" t="s">
        <v>303</v>
      </c>
      <c r="I40" s="72">
        <v>8.75</v>
      </c>
      <c r="J40" s="72">
        <v>0.25</v>
      </c>
      <c r="K40" s="72">
        <f t="shared" si="3"/>
        <v>9</v>
      </c>
      <c r="L40" s="73">
        <v>125000</v>
      </c>
      <c r="M40" s="74">
        <v>5000000</v>
      </c>
      <c r="N40" s="73" t="s">
        <v>303</v>
      </c>
      <c r="O40" s="75" t="str">
        <f>ChurchillMatrix[[#This Row],[Experience Level]] &amp; "|" &amp; ChurchillMatrix[[#This Row],[Project Type]] &amp; "|" &amp; ChurchillMatrix[[#This Row],[Loan Type]] &amp; "|" &amp; ChurchillMatrix[[#This Row],[FICO]] &amp; "|" &amp; ChurchillMatrix[[#This Row],[Number of Units]]</f>
        <v>Institutional (10+) ($10m)|Bridge (No Rehab)|Purchase|680 - 699|&lt;=4 Units</v>
      </c>
      <c r="R40" s="60" t="s">
        <v>304</v>
      </c>
      <c r="S40" s="51" t="s">
        <v>318</v>
      </c>
      <c r="T40" s="52" t="s">
        <v>251</v>
      </c>
      <c r="U40" s="76" t="s">
        <v>259</v>
      </c>
      <c r="V40" s="120" t="s">
        <v>305</v>
      </c>
      <c r="W40" s="78">
        <v>0.65</v>
      </c>
      <c r="X40" s="78">
        <v>0.9</v>
      </c>
      <c r="Y40" s="78">
        <v>0.65</v>
      </c>
      <c r="Z40" s="79">
        <v>100000</v>
      </c>
      <c r="AA40" s="80">
        <v>2500000</v>
      </c>
      <c r="AB40" s="79">
        <v>30000</v>
      </c>
      <c r="AC40" s="81">
        <v>50000</v>
      </c>
      <c r="AD40" s="82" t="str">
        <f>ConstructiveMatrix[[#This Row],[Borrower Experience]] &amp; "|" &amp; ConstructiveMatrix[[#This Row],[Project Type]] &amp; "|" &amp; ConstructiveMatrix[[#This Row],[Loan Type]] &amp; "|" &amp; ConstructiveMatrix[[#This Row],[Dwelling Type]] &amp; "|" &amp; ConstructiveMatrix[[#This Row],[FICO]]</f>
        <v>Platinum (5+)|Fix and Flip (Heavy Rehab)|Purchase|Non-Warrantable Condo|680-739</v>
      </c>
      <c r="AG40" s="44" t="s">
        <v>306</v>
      </c>
      <c r="AH40" s="45" t="s">
        <v>307</v>
      </c>
      <c r="AI40" s="45" t="s">
        <v>323</v>
      </c>
      <c r="AJ40" s="46" t="s">
        <v>312</v>
      </c>
      <c r="AK40" s="46" t="str">
        <f t="shared" si="0"/>
        <v>No Franchise| Lender Funded| 0 Projects| 640-659| N/A%</v>
      </c>
      <c r="AL40" s="47" t="s">
        <v>303</v>
      </c>
      <c r="AM40" s="47" t="s">
        <v>303</v>
      </c>
      <c r="AN40" s="47" t="s">
        <v>303</v>
      </c>
      <c r="AO40" s="47" t="s">
        <v>303</v>
      </c>
      <c r="AP40" s="47" t="s">
        <v>303</v>
      </c>
      <c r="AQ40" s="47" t="s">
        <v>303</v>
      </c>
      <c r="AR40" s="47" t="s">
        <v>303</v>
      </c>
      <c r="AS40" s="47" t="s">
        <v>303</v>
      </c>
      <c r="AT40" s="47" t="s">
        <v>303</v>
      </c>
      <c r="AU40" s="47" t="s">
        <v>303</v>
      </c>
      <c r="AV40" s="47" t="s">
        <v>303</v>
      </c>
      <c r="AW40" s="47" t="s">
        <v>303</v>
      </c>
      <c r="AX40" s="47" t="s">
        <v>303</v>
      </c>
      <c r="AY40" s="47" t="s">
        <v>303</v>
      </c>
      <c r="AZ40" s="47" t="s">
        <v>303</v>
      </c>
      <c r="BA40" s="47" t="s">
        <v>303</v>
      </c>
      <c r="BB40" s="47" t="s">
        <v>303</v>
      </c>
      <c r="BC40" s="47" t="s">
        <v>303</v>
      </c>
    </row>
    <row r="41" spans="1:55" x14ac:dyDescent="0.3">
      <c r="A41" s="25" t="s">
        <v>299</v>
      </c>
      <c r="B41" s="51" t="s">
        <v>255</v>
      </c>
      <c r="C41" s="52" t="s">
        <v>251</v>
      </c>
      <c r="D41" s="53" t="s">
        <v>313</v>
      </c>
      <c r="E41" s="54" t="s">
        <v>310</v>
      </c>
      <c r="F41" s="55">
        <v>0.8</v>
      </c>
      <c r="G41" s="55">
        <v>0.8</v>
      </c>
      <c r="H41" s="55" t="s">
        <v>303</v>
      </c>
      <c r="I41" s="56">
        <v>8.75</v>
      </c>
      <c r="J41" s="56">
        <v>1.25</v>
      </c>
      <c r="K41" s="56">
        <f t="shared" si="3"/>
        <v>10</v>
      </c>
      <c r="L41" s="57">
        <v>125000</v>
      </c>
      <c r="M41" s="58">
        <v>5000000</v>
      </c>
      <c r="N41" s="57" t="s">
        <v>303</v>
      </c>
      <c r="O41" s="59" t="str">
        <f>ChurchillMatrix[[#This Row],[Experience Level]] &amp; "|" &amp; ChurchillMatrix[[#This Row],[Project Type]] &amp; "|" &amp; ChurchillMatrix[[#This Row],[Loan Type]] &amp; "|" &amp; ChurchillMatrix[[#This Row],[FICO]] &amp; "|" &amp; ChurchillMatrix[[#This Row],[Number of Units]]</f>
        <v>Institutional (10+) ($10m)|Bridge (No Rehab)|Purchase|680 - 699|5-19 Units</v>
      </c>
      <c r="R41" s="60" t="s">
        <v>304</v>
      </c>
      <c r="S41" s="51" t="s">
        <v>318</v>
      </c>
      <c r="T41" s="52" t="s">
        <v>251</v>
      </c>
      <c r="U41" s="83" t="s">
        <v>259</v>
      </c>
      <c r="V41" s="121" t="s">
        <v>311</v>
      </c>
      <c r="W41" s="63">
        <v>0.65</v>
      </c>
      <c r="X41" s="63">
        <v>0.9</v>
      </c>
      <c r="Y41" s="63">
        <v>0.65</v>
      </c>
      <c r="Z41" s="64">
        <v>100000</v>
      </c>
      <c r="AA41" s="65">
        <v>2500000</v>
      </c>
      <c r="AB41" s="64">
        <v>30000</v>
      </c>
      <c r="AC41" s="66">
        <v>50000</v>
      </c>
      <c r="AD41" s="67" t="str">
        <f>ConstructiveMatrix[[#This Row],[Borrower Experience]] &amp; "|" &amp; ConstructiveMatrix[[#This Row],[Project Type]] &amp; "|" &amp; ConstructiveMatrix[[#This Row],[Loan Type]] &amp; "|" &amp; ConstructiveMatrix[[#This Row],[Dwelling Type]] &amp; "|" &amp; ConstructiveMatrix[[#This Row],[FICO]]</f>
        <v>Platinum (5+)|Fix and Flip (Heavy Rehab)|Purchase|Non-Warrantable Condo|740+</v>
      </c>
      <c r="AG41" s="105" t="s">
        <v>306</v>
      </c>
      <c r="AH41" s="85" t="s">
        <v>307</v>
      </c>
      <c r="AI41" s="85" t="s">
        <v>323</v>
      </c>
      <c r="AJ41" s="46" t="s">
        <v>314</v>
      </c>
      <c r="AK41" s="106" t="str">
        <f t="shared" si="0"/>
        <v>No Franchise| Lender Funded| 0 Projects| 620-639| N/A%</v>
      </c>
      <c r="AL41" s="47" t="s">
        <v>303</v>
      </c>
      <c r="AM41" s="47" t="s">
        <v>303</v>
      </c>
      <c r="AN41" s="47" t="s">
        <v>303</v>
      </c>
      <c r="AO41" s="47" t="s">
        <v>303</v>
      </c>
      <c r="AP41" s="47" t="s">
        <v>303</v>
      </c>
      <c r="AQ41" s="47" t="s">
        <v>303</v>
      </c>
      <c r="AR41" s="47" t="s">
        <v>303</v>
      </c>
      <c r="AS41" s="47" t="s">
        <v>303</v>
      </c>
      <c r="AT41" s="47" t="s">
        <v>303</v>
      </c>
      <c r="AU41" s="47" t="s">
        <v>303</v>
      </c>
      <c r="AV41" s="47" t="s">
        <v>303</v>
      </c>
      <c r="AW41" s="47" t="s">
        <v>303</v>
      </c>
      <c r="AX41" s="47" t="s">
        <v>303</v>
      </c>
      <c r="AY41" s="47" t="s">
        <v>303</v>
      </c>
      <c r="AZ41" s="47" t="s">
        <v>303</v>
      </c>
      <c r="BA41" s="47" t="s">
        <v>303</v>
      </c>
      <c r="BB41" s="47" t="s">
        <v>303</v>
      </c>
      <c r="BC41" s="47" t="s">
        <v>303</v>
      </c>
    </row>
    <row r="42" spans="1:55" x14ac:dyDescent="0.3">
      <c r="A42" s="25" t="s">
        <v>299</v>
      </c>
      <c r="B42" s="51" t="s">
        <v>255</v>
      </c>
      <c r="C42" s="52" t="s">
        <v>251</v>
      </c>
      <c r="D42" s="68" t="s">
        <v>315</v>
      </c>
      <c r="E42" s="69" t="s">
        <v>302</v>
      </c>
      <c r="F42" s="124">
        <v>0.8</v>
      </c>
      <c r="G42" s="124">
        <v>0.8</v>
      </c>
      <c r="H42" s="71" t="s">
        <v>303</v>
      </c>
      <c r="I42" s="72">
        <v>8.75</v>
      </c>
      <c r="J42" s="72">
        <v>0</v>
      </c>
      <c r="K42" s="72">
        <f t="shared" si="3"/>
        <v>8.75</v>
      </c>
      <c r="L42" s="73">
        <v>125000</v>
      </c>
      <c r="M42" s="74">
        <v>5000000</v>
      </c>
      <c r="N42" s="73" t="s">
        <v>303</v>
      </c>
      <c r="O42" s="75" t="str">
        <f>ChurchillMatrix[[#This Row],[Experience Level]] &amp; "|" &amp; ChurchillMatrix[[#This Row],[Project Type]] &amp; "|" &amp; ChurchillMatrix[[#This Row],[Loan Type]] &amp; "|" &amp; ChurchillMatrix[[#This Row],[FICO]] &amp; "|" &amp; ChurchillMatrix[[#This Row],[Number of Units]]</f>
        <v>Institutional (10+) ($10m)|Bridge (No Rehab)|Purchase|&gt;=700|&lt;=4 Units</v>
      </c>
      <c r="R42" s="60" t="s">
        <v>304</v>
      </c>
      <c r="S42" s="51" t="s">
        <v>318</v>
      </c>
      <c r="T42" s="52" t="s">
        <v>251</v>
      </c>
      <c r="U42" s="85" t="s">
        <v>316</v>
      </c>
      <c r="V42" s="120" t="s">
        <v>305</v>
      </c>
      <c r="W42" s="78">
        <v>0.8</v>
      </c>
      <c r="X42" s="78">
        <v>0.9</v>
      </c>
      <c r="Y42" s="78">
        <v>0.75</v>
      </c>
      <c r="Z42" s="79">
        <v>100000</v>
      </c>
      <c r="AA42" s="80">
        <v>2500000</v>
      </c>
      <c r="AB42" s="79">
        <v>30000</v>
      </c>
      <c r="AC42" s="81">
        <v>50000</v>
      </c>
      <c r="AD42" s="82" t="str">
        <f>ConstructiveMatrix[[#This Row],[Borrower Experience]] &amp; "|" &amp; ConstructiveMatrix[[#This Row],[Project Type]] &amp; "|" &amp; ConstructiveMatrix[[#This Row],[Loan Type]] &amp; "|" &amp; ConstructiveMatrix[[#This Row],[Dwelling Type]] &amp; "|" &amp; ConstructiveMatrix[[#This Row],[FICO]]</f>
        <v>Platinum (5+)|Fix and Flip (Heavy Rehab)|Purchase|Other (2-4 unit)|680-739</v>
      </c>
    </row>
    <row r="43" spans="1:55" ht="15" thickBot="1" x14ac:dyDescent="0.35">
      <c r="A43" s="25" t="s">
        <v>299</v>
      </c>
      <c r="B43" s="51" t="s">
        <v>255</v>
      </c>
      <c r="C43" s="86" t="s">
        <v>251</v>
      </c>
      <c r="D43" s="87" t="s">
        <v>315</v>
      </c>
      <c r="E43" s="88" t="s">
        <v>310</v>
      </c>
      <c r="F43" s="89">
        <v>0.8</v>
      </c>
      <c r="G43" s="89">
        <v>0.8</v>
      </c>
      <c r="H43" s="89" t="s">
        <v>303</v>
      </c>
      <c r="I43" s="90">
        <v>8.75</v>
      </c>
      <c r="J43" s="90">
        <v>1</v>
      </c>
      <c r="K43" s="90">
        <f t="shared" si="3"/>
        <v>9.75</v>
      </c>
      <c r="L43" s="91">
        <v>125000</v>
      </c>
      <c r="M43" s="92">
        <v>5000000</v>
      </c>
      <c r="N43" s="91" t="s">
        <v>303</v>
      </c>
      <c r="O43" s="93" t="str">
        <f>ChurchillMatrix[[#This Row],[Experience Level]] &amp; "|" &amp; ChurchillMatrix[[#This Row],[Project Type]] &amp; "|" &amp; ChurchillMatrix[[#This Row],[Loan Type]] &amp; "|" &amp; ChurchillMatrix[[#This Row],[FICO]] &amp; "|" &amp; ChurchillMatrix[[#This Row],[Number of Units]]</f>
        <v>Institutional (10+) ($10m)|Bridge (No Rehab)|Purchase|&gt;=700|5-19 Units</v>
      </c>
      <c r="R43" s="60" t="s">
        <v>304</v>
      </c>
      <c r="S43" s="51" t="s">
        <v>318</v>
      </c>
      <c r="T43" s="86" t="s">
        <v>251</v>
      </c>
      <c r="U43" s="94" t="s">
        <v>316</v>
      </c>
      <c r="V43" s="122" t="s">
        <v>311</v>
      </c>
      <c r="W43" s="96">
        <v>0.8</v>
      </c>
      <c r="X43" s="96">
        <v>0.9</v>
      </c>
      <c r="Y43" s="96">
        <v>0.75</v>
      </c>
      <c r="Z43" s="97">
        <v>100000</v>
      </c>
      <c r="AA43" s="98">
        <v>2500000</v>
      </c>
      <c r="AB43" s="97">
        <v>30000</v>
      </c>
      <c r="AC43" s="99">
        <v>50000</v>
      </c>
      <c r="AD43" s="100" t="str">
        <f>ConstructiveMatrix[[#This Row],[Borrower Experience]] &amp; "|" &amp; ConstructiveMatrix[[#This Row],[Project Type]] &amp; "|" &amp; ConstructiveMatrix[[#This Row],[Loan Type]] &amp; "|" &amp; ConstructiveMatrix[[#This Row],[Dwelling Type]] &amp; "|" &amp; ConstructiveMatrix[[#This Row],[FICO]]</f>
        <v>Platinum (5+)|Fix and Flip (Heavy Rehab)|Purchase|Other (2-4 unit)|740+</v>
      </c>
    </row>
    <row r="44" spans="1:55" x14ac:dyDescent="0.3">
      <c r="A44" s="25" t="s">
        <v>299</v>
      </c>
      <c r="B44" s="51" t="s">
        <v>255</v>
      </c>
      <c r="C44" s="27" t="s">
        <v>249</v>
      </c>
      <c r="D44" s="28" t="s">
        <v>301</v>
      </c>
      <c r="E44" s="29" t="s">
        <v>302</v>
      </c>
      <c r="F44" s="31" t="s">
        <v>303</v>
      </c>
      <c r="G44" s="31" t="s">
        <v>303</v>
      </c>
      <c r="H44" s="31" t="s">
        <v>303</v>
      </c>
      <c r="I44" s="32" t="s">
        <v>303</v>
      </c>
      <c r="J44" s="32" t="s">
        <v>303</v>
      </c>
      <c r="K44" s="32" t="s">
        <v>303</v>
      </c>
      <c r="L44" s="33" t="s">
        <v>303</v>
      </c>
      <c r="M44" s="34" t="s">
        <v>303</v>
      </c>
      <c r="N44" s="33" t="s">
        <v>303</v>
      </c>
      <c r="O44" s="35" t="str">
        <f>ChurchillMatrix[[#This Row],[Experience Level]] &amp; "|" &amp; ChurchillMatrix[[#This Row],[Project Type]] &amp; "|" &amp; ChurchillMatrix[[#This Row],[Loan Type]] &amp; "|" &amp; ChurchillMatrix[[#This Row],[FICO]] &amp; "|" &amp; ChurchillMatrix[[#This Row],[Number of Units]]</f>
        <v>Institutional (10+) ($10m)|Bridge (No Rehab)|Cash Out Refinance|660 - 679|&lt;=4 Units</v>
      </c>
      <c r="R44" s="60" t="s">
        <v>304</v>
      </c>
      <c r="S44" s="51" t="s">
        <v>318</v>
      </c>
      <c r="T44" s="101" t="s">
        <v>249</v>
      </c>
      <c r="U44" s="37" t="s">
        <v>250</v>
      </c>
      <c r="V44" s="123" t="s">
        <v>305</v>
      </c>
      <c r="W44" s="39">
        <v>0.75</v>
      </c>
      <c r="X44" s="39">
        <v>0.85</v>
      </c>
      <c r="Y44" s="39">
        <v>0.7</v>
      </c>
      <c r="Z44" s="40">
        <v>100000</v>
      </c>
      <c r="AA44" s="41">
        <v>2500000</v>
      </c>
      <c r="AB44" s="40">
        <v>30000</v>
      </c>
      <c r="AC44" s="42">
        <v>50000</v>
      </c>
      <c r="AD44" s="43" t="str">
        <f>ConstructiveMatrix[[#This Row],[Borrower Experience]] &amp; "|" &amp; ConstructiveMatrix[[#This Row],[Project Type]] &amp; "|" &amp; ConstructiveMatrix[[#This Row],[Loan Type]] &amp; "|" &amp; ConstructiveMatrix[[#This Row],[Dwelling Type]] &amp; "|" &amp; ConstructiveMatrix[[#This Row],[FICO]]</f>
        <v>Platinum (5+)|Fix and Flip (Heavy Rehab)|Cash Out Refinance|Single Family|680-739</v>
      </c>
    </row>
    <row r="45" spans="1:55" x14ac:dyDescent="0.3">
      <c r="A45" s="25" t="s">
        <v>299</v>
      </c>
      <c r="B45" s="51" t="s">
        <v>255</v>
      </c>
      <c r="C45" s="52" t="s">
        <v>249</v>
      </c>
      <c r="D45" s="53" t="s">
        <v>301</v>
      </c>
      <c r="E45" s="54" t="s">
        <v>310</v>
      </c>
      <c r="F45" s="55" t="s">
        <v>303</v>
      </c>
      <c r="G45" s="55" t="s">
        <v>303</v>
      </c>
      <c r="H45" s="55" t="s">
        <v>303</v>
      </c>
      <c r="I45" s="56" t="s">
        <v>303</v>
      </c>
      <c r="J45" s="56" t="s">
        <v>303</v>
      </c>
      <c r="K45" s="56" t="s">
        <v>303</v>
      </c>
      <c r="L45" s="57" t="s">
        <v>303</v>
      </c>
      <c r="M45" s="58" t="s">
        <v>303</v>
      </c>
      <c r="N45" s="57" t="s">
        <v>303</v>
      </c>
      <c r="O45" s="59" t="str">
        <f>ChurchillMatrix[[#This Row],[Experience Level]] &amp; "|" &amp; ChurchillMatrix[[#This Row],[Project Type]] &amp; "|" &amp; ChurchillMatrix[[#This Row],[Loan Type]] &amp; "|" &amp; ChurchillMatrix[[#This Row],[FICO]] &amp; "|" &amp; ChurchillMatrix[[#This Row],[Number of Units]]</f>
        <v>Institutional (10+) ($10m)|Bridge (No Rehab)|Cash Out Refinance|660 - 679|5-19 Units</v>
      </c>
      <c r="R45" s="60" t="s">
        <v>304</v>
      </c>
      <c r="S45" s="51" t="s">
        <v>318</v>
      </c>
      <c r="T45" s="102" t="s">
        <v>249</v>
      </c>
      <c r="U45" s="61" t="s">
        <v>250</v>
      </c>
      <c r="V45" s="121" t="s">
        <v>311</v>
      </c>
      <c r="W45" s="63">
        <v>0.75</v>
      </c>
      <c r="X45" s="63">
        <v>0.85</v>
      </c>
      <c r="Y45" s="63">
        <v>0.7</v>
      </c>
      <c r="Z45" s="64">
        <v>100000</v>
      </c>
      <c r="AA45" s="65">
        <v>2500000</v>
      </c>
      <c r="AB45" s="64">
        <v>30000</v>
      </c>
      <c r="AC45" s="66">
        <v>50000</v>
      </c>
      <c r="AD45" s="67" t="str">
        <f>ConstructiveMatrix[[#This Row],[Borrower Experience]] &amp; "|" &amp; ConstructiveMatrix[[#This Row],[Project Type]] &amp; "|" &amp; ConstructiveMatrix[[#This Row],[Loan Type]] &amp; "|" &amp; ConstructiveMatrix[[#This Row],[Dwelling Type]] &amp; "|" &amp; ConstructiveMatrix[[#This Row],[FICO]]</f>
        <v>Platinum (5+)|Fix and Flip (Heavy Rehab)|Cash Out Refinance|Single Family|740+</v>
      </c>
    </row>
    <row r="46" spans="1:55" x14ac:dyDescent="0.3">
      <c r="A46" s="25" t="s">
        <v>299</v>
      </c>
      <c r="B46" s="51" t="s">
        <v>255</v>
      </c>
      <c r="C46" s="52" t="s">
        <v>249</v>
      </c>
      <c r="D46" s="68" t="s">
        <v>313</v>
      </c>
      <c r="E46" s="69" t="s">
        <v>302</v>
      </c>
      <c r="F46" s="71">
        <v>0.8</v>
      </c>
      <c r="G46" s="71">
        <v>0.8</v>
      </c>
      <c r="H46" s="71" t="s">
        <v>303</v>
      </c>
      <c r="I46" s="72">
        <v>8.75</v>
      </c>
      <c r="J46" s="72">
        <v>0.75</v>
      </c>
      <c r="K46" s="72">
        <f t="shared" ref="K46:K55" si="4">I46+J46</f>
        <v>9.5</v>
      </c>
      <c r="L46" s="73">
        <v>125000</v>
      </c>
      <c r="M46" s="74">
        <v>5000000</v>
      </c>
      <c r="N46" s="73">
        <v>500000</v>
      </c>
      <c r="O46" s="75" t="str">
        <f>ChurchillMatrix[[#This Row],[Experience Level]] &amp; "|" &amp; ChurchillMatrix[[#This Row],[Project Type]] &amp; "|" &amp; ChurchillMatrix[[#This Row],[Loan Type]] &amp; "|" &amp; ChurchillMatrix[[#This Row],[FICO]] &amp; "|" &amp; ChurchillMatrix[[#This Row],[Number of Units]]</f>
        <v>Institutional (10+) ($10m)|Bridge (No Rehab)|Cash Out Refinance|680 - 699|&lt;=4 Units</v>
      </c>
      <c r="R46" s="60" t="s">
        <v>304</v>
      </c>
      <c r="S46" s="51" t="s">
        <v>318</v>
      </c>
      <c r="T46" s="102" t="s">
        <v>249</v>
      </c>
      <c r="U46" s="76" t="s">
        <v>259</v>
      </c>
      <c r="V46" s="120" t="s">
        <v>305</v>
      </c>
      <c r="W46" s="78">
        <v>0.65</v>
      </c>
      <c r="X46" s="78">
        <v>0.85</v>
      </c>
      <c r="Y46" s="78">
        <v>0.6</v>
      </c>
      <c r="Z46" s="79">
        <v>100000</v>
      </c>
      <c r="AA46" s="80">
        <v>2500000</v>
      </c>
      <c r="AB46" s="79">
        <v>30000</v>
      </c>
      <c r="AC46" s="81">
        <v>50000</v>
      </c>
      <c r="AD46" s="82" t="str">
        <f>ConstructiveMatrix[[#This Row],[Borrower Experience]] &amp; "|" &amp; ConstructiveMatrix[[#This Row],[Project Type]] &amp; "|" &amp; ConstructiveMatrix[[#This Row],[Loan Type]] &amp; "|" &amp; ConstructiveMatrix[[#This Row],[Dwelling Type]] &amp; "|" &amp; ConstructiveMatrix[[#This Row],[FICO]]</f>
        <v>Platinum (5+)|Fix and Flip (Heavy Rehab)|Cash Out Refinance|Non-Warrantable Condo|680-739</v>
      </c>
    </row>
    <row r="47" spans="1:55" x14ac:dyDescent="0.3">
      <c r="A47" s="25" t="s">
        <v>299</v>
      </c>
      <c r="B47" s="51" t="s">
        <v>255</v>
      </c>
      <c r="C47" s="52" t="s">
        <v>249</v>
      </c>
      <c r="D47" s="53" t="s">
        <v>313</v>
      </c>
      <c r="E47" s="54" t="s">
        <v>310</v>
      </c>
      <c r="F47" s="55">
        <v>0.8</v>
      </c>
      <c r="G47" s="55">
        <v>0.8</v>
      </c>
      <c r="H47" s="55" t="s">
        <v>303</v>
      </c>
      <c r="I47" s="56">
        <v>8.75</v>
      </c>
      <c r="J47" s="56">
        <v>1.75</v>
      </c>
      <c r="K47" s="56">
        <f t="shared" si="4"/>
        <v>10.5</v>
      </c>
      <c r="L47" s="57">
        <v>125000</v>
      </c>
      <c r="M47" s="58">
        <v>5000000</v>
      </c>
      <c r="N47" s="57">
        <v>500000</v>
      </c>
      <c r="O47" s="59" t="str">
        <f>ChurchillMatrix[[#This Row],[Experience Level]] &amp; "|" &amp; ChurchillMatrix[[#This Row],[Project Type]] &amp; "|" &amp; ChurchillMatrix[[#This Row],[Loan Type]] &amp; "|" &amp; ChurchillMatrix[[#This Row],[FICO]] &amp; "|" &amp; ChurchillMatrix[[#This Row],[Number of Units]]</f>
        <v>Institutional (10+) ($10m)|Bridge (No Rehab)|Cash Out Refinance|680 - 699|5-19 Units</v>
      </c>
      <c r="R47" s="60" t="s">
        <v>304</v>
      </c>
      <c r="S47" s="51" t="s">
        <v>318</v>
      </c>
      <c r="T47" s="102" t="s">
        <v>249</v>
      </c>
      <c r="U47" s="83" t="s">
        <v>259</v>
      </c>
      <c r="V47" s="121" t="s">
        <v>311</v>
      </c>
      <c r="W47" s="63">
        <v>0.65</v>
      </c>
      <c r="X47" s="63">
        <v>0.85</v>
      </c>
      <c r="Y47" s="63">
        <v>0.6</v>
      </c>
      <c r="Z47" s="64">
        <v>100000</v>
      </c>
      <c r="AA47" s="65">
        <v>2500000</v>
      </c>
      <c r="AB47" s="64">
        <v>30000</v>
      </c>
      <c r="AC47" s="66">
        <v>50000</v>
      </c>
      <c r="AD47" s="67" t="str">
        <f>ConstructiveMatrix[[#This Row],[Borrower Experience]] &amp; "|" &amp; ConstructiveMatrix[[#This Row],[Project Type]] &amp; "|" &amp; ConstructiveMatrix[[#This Row],[Loan Type]] &amp; "|" &amp; ConstructiveMatrix[[#This Row],[Dwelling Type]] &amp; "|" &amp; ConstructiveMatrix[[#This Row],[FICO]]</f>
        <v>Platinum (5+)|Fix and Flip (Heavy Rehab)|Cash Out Refinance|Non-Warrantable Condo|740+</v>
      </c>
    </row>
    <row r="48" spans="1:55" x14ac:dyDescent="0.3">
      <c r="A48" s="25" t="s">
        <v>299</v>
      </c>
      <c r="B48" s="51" t="s">
        <v>255</v>
      </c>
      <c r="C48" s="52" t="s">
        <v>249</v>
      </c>
      <c r="D48" s="68" t="s">
        <v>315</v>
      </c>
      <c r="E48" s="69" t="s">
        <v>302</v>
      </c>
      <c r="F48" s="71">
        <v>0.8</v>
      </c>
      <c r="G48" s="71">
        <v>0.8</v>
      </c>
      <c r="H48" s="71" t="s">
        <v>303</v>
      </c>
      <c r="I48" s="72">
        <v>8.75</v>
      </c>
      <c r="J48" s="72">
        <v>0.5</v>
      </c>
      <c r="K48" s="72">
        <f t="shared" si="4"/>
        <v>9.25</v>
      </c>
      <c r="L48" s="73">
        <v>125000</v>
      </c>
      <c r="M48" s="74">
        <v>5000000</v>
      </c>
      <c r="N48" s="73">
        <v>500000</v>
      </c>
      <c r="O48" s="75" t="str">
        <f>ChurchillMatrix[[#This Row],[Experience Level]] &amp; "|" &amp; ChurchillMatrix[[#This Row],[Project Type]] &amp; "|" &amp; ChurchillMatrix[[#This Row],[Loan Type]] &amp; "|" &amp; ChurchillMatrix[[#This Row],[FICO]] &amp; "|" &amp; ChurchillMatrix[[#This Row],[Number of Units]]</f>
        <v>Institutional (10+) ($10m)|Bridge (No Rehab)|Cash Out Refinance|&gt;=700|&lt;=4 Units</v>
      </c>
      <c r="R48" s="60" t="s">
        <v>304</v>
      </c>
      <c r="S48" s="51" t="s">
        <v>318</v>
      </c>
      <c r="T48" s="102" t="s">
        <v>249</v>
      </c>
      <c r="U48" s="85" t="s">
        <v>316</v>
      </c>
      <c r="V48" s="120" t="s">
        <v>305</v>
      </c>
      <c r="W48" s="78">
        <v>0.75</v>
      </c>
      <c r="X48" s="78">
        <v>0.85</v>
      </c>
      <c r="Y48" s="78">
        <v>0.7</v>
      </c>
      <c r="Z48" s="79">
        <v>100000</v>
      </c>
      <c r="AA48" s="80">
        <v>2500000</v>
      </c>
      <c r="AB48" s="79">
        <v>30000</v>
      </c>
      <c r="AC48" s="81">
        <v>50000</v>
      </c>
      <c r="AD48" s="82" t="str">
        <f>ConstructiveMatrix[[#This Row],[Borrower Experience]] &amp; "|" &amp; ConstructiveMatrix[[#This Row],[Project Type]] &amp; "|" &amp; ConstructiveMatrix[[#This Row],[Loan Type]] &amp; "|" &amp; ConstructiveMatrix[[#This Row],[Dwelling Type]] &amp; "|" &amp; ConstructiveMatrix[[#This Row],[FICO]]</f>
        <v>Platinum (5+)|Fix and Flip (Heavy Rehab)|Cash Out Refinance|Other (2-4 unit)|680-739</v>
      </c>
    </row>
    <row r="49" spans="1:30" ht="15" thickBot="1" x14ac:dyDescent="0.35">
      <c r="A49" s="25" t="s">
        <v>299</v>
      </c>
      <c r="B49" s="51" t="s">
        <v>255</v>
      </c>
      <c r="C49" s="86" t="s">
        <v>249</v>
      </c>
      <c r="D49" s="87" t="s">
        <v>315</v>
      </c>
      <c r="E49" s="88" t="s">
        <v>310</v>
      </c>
      <c r="F49" s="89">
        <v>0.8</v>
      </c>
      <c r="G49" s="89">
        <v>0.8</v>
      </c>
      <c r="H49" s="89" t="s">
        <v>303</v>
      </c>
      <c r="I49" s="90">
        <v>8.75</v>
      </c>
      <c r="J49" s="90">
        <v>1.5</v>
      </c>
      <c r="K49" s="90">
        <f t="shared" si="4"/>
        <v>10.25</v>
      </c>
      <c r="L49" s="91">
        <v>125000</v>
      </c>
      <c r="M49" s="92">
        <v>5000000</v>
      </c>
      <c r="N49" s="91">
        <v>500000</v>
      </c>
      <c r="O49" s="93" t="str">
        <f>ChurchillMatrix[[#This Row],[Experience Level]] &amp; "|" &amp; ChurchillMatrix[[#This Row],[Project Type]] &amp; "|" &amp; ChurchillMatrix[[#This Row],[Loan Type]] &amp; "|" &amp; ChurchillMatrix[[#This Row],[FICO]] &amp; "|" &amp; ChurchillMatrix[[#This Row],[Number of Units]]</f>
        <v>Institutional (10+) ($10m)|Bridge (No Rehab)|Cash Out Refinance|&gt;=700|5-19 Units</v>
      </c>
      <c r="R49" s="60" t="s">
        <v>304</v>
      </c>
      <c r="S49" s="51" t="s">
        <v>318</v>
      </c>
      <c r="T49" s="103" t="s">
        <v>249</v>
      </c>
      <c r="U49" s="94" t="s">
        <v>316</v>
      </c>
      <c r="V49" s="122" t="s">
        <v>311</v>
      </c>
      <c r="W49" s="96">
        <v>0.75</v>
      </c>
      <c r="X49" s="96">
        <v>0.85</v>
      </c>
      <c r="Y49" s="96">
        <v>0.7</v>
      </c>
      <c r="Z49" s="97">
        <v>100000</v>
      </c>
      <c r="AA49" s="98">
        <v>2500000</v>
      </c>
      <c r="AB49" s="97">
        <v>30000</v>
      </c>
      <c r="AC49" s="99">
        <v>50000</v>
      </c>
      <c r="AD49" s="100" t="str">
        <f>ConstructiveMatrix[[#This Row],[Borrower Experience]] &amp; "|" &amp; ConstructiveMatrix[[#This Row],[Project Type]] &amp; "|" &amp; ConstructiveMatrix[[#This Row],[Loan Type]] &amp; "|" &amp; ConstructiveMatrix[[#This Row],[Dwelling Type]] &amp; "|" &amp; ConstructiveMatrix[[#This Row],[FICO]]</f>
        <v>Platinum (5+)|Fix and Flip (Heavy Rehab)|Cash Out Refinance|Other (2-4 unit)|740+</v>
      </c>
    </row>
    <row r="50" spans="1:30" x14ac:dyDescent="0.3">
      <c r="A50" s="25" t="s">
        <v>299</v>
      </c>
      <c r="B50" s="51" t="s">
        <v>255</v>
      </c>
      <c r="C50" s="27" t="s">
        <v>256</v>
      </c>
      <c r="D50" s="28" t="s">
        <v>301</v>
      </c>
      <c r="E50" s="29" t="s">
        <v>302</v>
      </c>
      <c r="F50" s="31">
        <v>0.8</v>
      </c>
      <c r="G50" s="31">
        <v>0.8</v>
      </c>
      <c r="H50" s="31" t="s">
        <v>303</v>
      </c>
      <c r="I50" s="32">
        <v>8.75</v>
      </c>
      <c r="J50" s="32">
        <v>0.25</v>
      </c>
      <c r="K50" s="32">
        <f t="shared" si="4"/>
        <v>9</v>
      </c>
      <c r="L50" s="33">
        <v>125000</v>
      </c>
      <c r="M50" s="34">
        <v>5000000</v>
      </c>
      <c r="N50" s="33" t="s">
        <v>303</v>
      </c>
      <c r="O50" s="35" t="str">
        <f>ChurchillMatrix[[#This Row],[Experience Level]] &amp; "|" &amp; ChurchillMatrix[[#This Row],[Project Type]] &amp; "|" &amp; ChurchillMatrix[[#This Row],[Loan Type]] &amp; "|" &amp; ChurchillMatrix[[#This Row],[FICO]] &amp; "|" &amp; ChurchillMatrix[[#This Row],[Number of Units]]</f>
        <v>Institutional (10+) ($10m)|Bridge (No Rehab)|Rate and Term Refinance|660 - 679|&lt;=4 Units</v>
      </c>
      <c r="R50" s="60" t="s">
        <v>304</v>
      </c>
      <c r="S50" s="51" t="s">
        <v>318</v>
      </c>
      <c r="T50" s="27" t="s">
        <v>256</v>
      </c>
      <c r="U50" s="37" t="s">
        <v>250</v>
      </c>
      <c r="V50" s="123" t="s">
        <v>305</v>
      </c>
      <c r="W50" s="39">
        <v>0.8</v>
      </c>
      <c r="X50" s="39">
        <v>0.9</v>
      </c>
      <c r="Y50" s="39">
        <v>0.75</v>
      </c>
      <c r="Z50" s="40">
        <v>100000</v>
      </c>
      <c r="AA50" s="41">
        <v>2500000</v>
      </c>
      <c r="AB50" s="40">
        <v>30000</v>
      </c>
      <c r="AC50" s="42">
        <v>50000</v>
      </c>
      <c r="AD50" s="43" t="str">
        <f>ConstructiveMatrix[[#This Row],[Borrower Experience]] &amp; "|" &amp; ConstructiveMatrix[[#This Row],[Project Type]] &amp; "|" &amp; ConstructiveMatrix[[#This Row],[Loan Type]] &amp; "|" &amp; ConstructiveMatrix[[#This Row],[Dwelling Type]] &amp; "|" &amp; ConstructiveMatrix[[#This Row],[FICO]]</f>
        <v>Platinum (5+)|Fix and Flip (Heavy Rehab)|Rate and Term Refinance|Single Family|680-739</v>
      </c>
    </row>
    <row r="51" spans="1:30" x14ac:dyDescent="0.3">
      <c r="A51" s="25" t="s">
        <v>299</v>
      </c>
      <c r="B51" s="51" t="s">
        <v>255</v>
      </c>
      <c r="C51" s="104" t="s">
        <v>256</v>
      </c>
      <c r="D51" s="53" t="s">
        <v>301</v>
      </c>
      <c r="E51" s="54" t="s">
        <v>310</v>
      </c>
      <c r="F51" s="55">
        <v>0.8</v>
      </c>
      <c r="G51" s="55">
        <v>0.8</v>
      </c>
      <c r="H51" s="55" t="s">
        <v>303</v>
      </c>
      <c r="I51" s="56">
        <v>8.75</v>
      </c>
      <c r="J51" s="56">
        <v>1.25</v>
      </c>
      <c r="K51" s="56">
        <f t="shared" si="4"/>
        <v>10</v>
      </c>
      <c r="L51" s="57">
        <v>125000</v>
      </c>
      <c r="M51" s="58">
        <v>5000000</v>
      </c>
      <c r="N51" s="57" t="s">
        <v>303</v>
      </c>
      <c r="O51" s="59" t="str">
        <f>ChurchillMatrix[[#This Row],[Experience Level]] &amp; "|" &amp; ChurchillMatrix[[#This Row],[Project Type]] &amp; "|" &amp; ChurchillMatrix[[#This Row],[Loan Type]] &amp; "|" &amp; ChurchillMatrix[[#This Row],[FICO]] &amp; "|" &amp; ChurchillMatrix[[#This Row],[Number of Units]]</f>
        <v>Institutional (10+) ($10m)|Bridge (No Rehab)|Rate and Term Refinance|660 - 679|5-19 Units</v>
      </c>
      <c r="R51" s="60" t="s">
        <v>304</v>
      </c>
      <c r="S51" s="51" t="s">
        <v>318</v>
      </c>
      <c r="T51" s="52" t="s">
        <v>256</v>
      </c>
      <c r="U51" s="61" t="s">
        <v>250</v>
      </c>
      <c r="V51" s="121" t="s">
        <v>311</v>
      </c>
      <c r="W51" s="63">
        <v>0.8</v>
      </c>
      <c r="X51" s="63">
        <v>0.9</v>
      </c>
      <c r="Y51" s="63">
        <v>0.75</v>
      </c>
      <c r="Z51" s="64">
        <v>100000</v>
      </c>
      <c r="AA51" s="65">
        <v>2500000</v>
      </c>
      <c r="AB51" s="64">
        <v>30000</v>
      </c>
      <c r="AC51" s="66">
        <v>50000</v>
      </c>
      <c r="AD51" s="67" t="str">
        <f>ConstructiveMatrix[[#This Row],[Borrower Experience]] &amp; "|" &amp; ConstructiveMatrix[[#This Row],[Project Type]] &amp; "|" &amp; ConstructiveMatrix[[#This Row],[Loan Type]] &amp; "|" &amp; ConstructiveMatrix[[#This Row],[Dwelling Type]] &amp; "|" &amp; ConstructiveMatrix[[#This Row],[FICO]]</f>
        <v>Platinum (5+)|Fix and Flip (Heavy Rehab)|Rate and Term Refinance|Single Family|740+</v>
      </c>
    </row>
    <row r="52" spans="1:30" x14ac:dyDescent="0.3">
      <c r="A52" s="25" t="s">
        <v>299</v>
      </c>
      <c r="B52" s="51" t="s">
        <v>255</v>
      </c>
      <c r="C52" s="52" t="s">
        <v>256</v>
      </c>
      <c r="D52" s="68" t="s">
        <v>313</v>
      </c>
      <c r="E52" s="69" t="s">
        <v>302</v>
      </c>
      <c r="F52" s="71">
        <v>0.8</v>
      </c>
      <c r="G52" s="71">
        <v>0.8</v>
      </c>
      <c r="H52" s="71" t="s">
        <v>303</v>
      </c>
      <c r="I52" s="72">
        <v>8.75</v>
      </c>
      <c r="J52" s="72">
        <v>0.25</v>
      </c>
      <c r="K52" s="72">
        <f t="shared" si="4"/>
        <v>9</v>
      </c>
      <c r="L52" s="73">
        <v>125000</v>
      </c>
      <c r="M52" s="74">
        <v>5000000</v>
      </c>
      <c r="N52" s="73" t="s">
        <v>303</v>
      </c>
      <c r="O52" s="75" t="str">
        <f>ChurchillMatrix[[#This Row],[Experience Level]] &amp; "|" &amp; ChurchillMatrix[[#This Row],[Project Type]] &amp; "|" &amp; ChurchillMatrix[[#This Row],[Loan Type]] &amp; "|" &amp; ChurchillMatrix[[#This Row],[FICO]] &amp; "|" &amp; ChurchillMatrix[[#This Row],[Number of Units]]</f>
        <v>Institutional (10+) ($10m)|Bridge (No Rehab)|Rate and Term Refinance|680 - 699|&lt;=4 Units</v>
      </c>
      <c r="R52" s="60" t="s">
        <v>304</v>
      </c>
      <c r="S52" s="51" t="s">
        <v>318</v>
      </c>
      <c r="T52" s="52" t="s">
        <v>256</v>
      </c>
      <c r="U52" s="76" t="s">
        <v>259</v>
      </c>
      <c r="V52" s="120" t="s">
        <v>305</v>
      </c>
      <c r="W52" s="78">
        <v>0.65</v>
      </c>
      <c r="X52" s="78">
        <v>0.9</v>
      </c>
      <c r="Y52" s="78">
        <v>0.65</v>
      </c>
      <c r="Z52" s="79">
        <v>100000</v>
      </c>
      <c r="AA52" s="80">
        <v>2500000</v>
      </c>
      <c r="AB52" s="79">
        <v>30000</v>
      </c>
      <c r="AC52" s="81">
        <v>50000</v>
      </c>
      <c r="AD52" s="82" t="str">
        <f>ConstructiveMatrix[[#This Row],[Borrower Experience]] &amp; "|" &amp; ConstructiveMatrix[[#This Row],[Project Type]] &amp; "|" &amp; ConstructiveMatrix[[#This Row],[Loan Type]] &amp; "|" &amp; ConstructiveMatrix[[#This Row],[Dwelling Type]] &amp; "|" &amp; ConstructiveMatrix[[#This Row],[FICO]]</f>
        <v>Platinum (5+)|Fix and Flip (Heavy Rehab)|Rate and Term Refinance|Non-Warrantable Condo|680-739</v>
      </c>
    </row>
    <row r="53" spans="1:30" x14ac:dyDescent="0.3">
      <c r="A53" s="25" t="s">
        <v>299</v>
      </c>
      <c r="B53" s="51" t="s">
        <v>255</v>
      </c>
      <c r="C53" s="104" t="s">
        <v>256</v>
      </c>
      <c r="D53" s="53" t="s">
        <v>313</v>
      </c>
      <c r="E53" s="54" t="s">
        <v>310</v>
      </c>
      <c r="F53" s="55">
        <v>0.8</v>
      </c>
      <c r="G53" s="55">
        <v>0.8</v>
      </c>
      <c r="H53" s="55" t="s">
        <v>303</v>
      </c>
      <c r="I53" s="56">
        <v>8.75</v>
      </c>
      <c r="J53" s="56">
        <v>1.25</v>
      </c>
      <c r="K53" s="56">
        <f t="shared" si="4"/>
        <v>10</v>
      </c>
      <c r="L53" s="57">
        <v>125000</v>
      </c>
      <c r="M53" s="58">
        <v>5000000</v>
      </c>
      <c r="N53" s="57" t="s">
        <v>303</v>
      </c>
      <c r="O53" s="59" t="str">
        <f>ChurchillMatrix[[#This Row],[Experience Level]] &amp; "|" &amp; ChurchillMatrix[[#This Row],[Project Type]] &amp; "|" &amp; ChurchillMatrix[[#This Row],[Loan Type]] &amp; "|" &amp; ChurchillMatrix[[#This Row],[FICO]] &amp; "|" &amp; ChurchillMatrix[[#This Row],[Number of Units]]</f>
        <v>Institutional (10+) ($10m)|Bridge (No Rehab)|Rate and Term Refinance|680 - 699|5-19 Units</v>
      </c>
      <c r="R53" s="60" t="s">
        <v>304</v>
      </c>
      <c r="S53" s="51" t="s">
        <v>318</v>
      </c>
      <c r="T53" s="52" t="s">
        <v>256</v>
      </c>
      <c r="U53" s="83" t="s">
        <v>259</v>
      </c>
      <c r="V53" s="121" t="s">
        <v>311</v>
      </c>
      <c r="W53" s="63">
        <v>0.65</v>
      </c>
      <c r="X53" s="63">
        <v>0.9</v>
      </c>
      <c r="Y53" s="63">
        <v>0.65</v>
      </c>
      <c r="Z53" s="64">
        <v>100000</v>
      </c>
      <c r="AA53" s="65">
        <v>2500000</v>
      </c>
      <c r="AB53" s="64">
        <v>30000</v>
      </c>
      <c r="AC53" s="66">
        <v>50000</v>
      </c>
      <c r="AD53" s="67" t="str">
        <f>ConstructiveMatrix[[#This Row],[Borrower Experience]] &amp; "|" &amp; ConstructiveMatrix[[#This Row],[Project Type]] &amp; "|" &amp; ConstructiveMatrix[[#This Row],[Loan Type]] &amp; "|" &amp; ConstructiveMatrix[[#This Row],[Dwelling Type]] &amp; "|" &amp; ConstructiveMatrix[[#This Row],[FICO]]</f>
        <v>Platinum (5+)|Fix and Flip (Heavy Rehab)|Rate and Term Refinance|Non-Warrantable Condo|740+</v>
      </c>
    </row>
    <row r="54" spans="1:30" x14ac:dyDescent="0.3">
      <c r="A54" s="25" t="s">
        <v>299</v>
      </c>
      <c r="B54" s="51" t="s">
        <v>255</v>
      </c>
      <c r="C54" s="52" t="s">
        <v>256</v>
      </c>
      <c r="D54" s="68" t="s">
        <v>315</v>
      </c>
      <c r="E54" s="69" t="s">
        <v>302</v>
      </c>
      <c r="F54" s="71">
        <v>0.8</v>
      </c>
      <c r="G54" s="71">
        <v>0.8</v>
      </c>
      <c r="H54" s="71" t="s">
        <v>303</v>
      </c>
      <c r="I54" s="72">
        <v>8.75</v>
      </c>
      <c r="J54" s="72">
        <v>0</v>
      </c>
      <c r="K54" s="72">
        <f t="shared" si="4"/>
        <v>8.75</v>
      </c>
      <c r="L54" s="73">
        <v>125000</v>
      </c>
      <c r="M54" s="74">
        <v>5000000</v>
      </c>
      <c r="N54" s="73" t="s">
        <v>303</v>
      </c>
      <c r="O54" s="75" t="str">
        <f>ChurchillMatrix[[#This Row],[Experience Level]] &amp; "|" &amp; ChurchillMatrix[[#This Row],[Project Type]] &amp; "|" &amp; ChurchillMatrix[[#This Row],[Loan Type]] &amp; "|" &amp; ChurchillMatrix[[#This Row],[FICO]] &amp; "|" &amp; ChurchillMatrix[[#This Row],[Number of Units]]</f>
        <v>Institutional (10+) ($10m)|Bridge (No Rehab)|Rate and Term Refinance|&gt;=700|&lt;=4 Units</v>
      </c>
      <c r="R54" s="60" t="s">
        <v>304</v>
      </c>
      <c r="S54" s="51" t="s">
        <v>318</v>
      </c>
      <c r="T54" s="52" t="s">
        <v>256</v>
      </c>
      <c r="U54" s="85" t="s">
        <v>316</v>
      </c>
      <c r="V54" s="120" t="s">
        <v>305</v>
      </c>
      <c r="W54" s="78">
        <v>0.8</v>
      </c>
      <c r="X54" s="78">
        <v>0.9</v>
      </c>
      <c r="Y54" s="78">
        <v>0.75</v>
      </c>
      <c r="Z54" s="79">
        <v>100000</v>
      </c>
      <c r="AA54" s="80">
        <v>2500000</v>
      </c>
      <c r="AB54" s="79">
        <v>30000</v>
      </c>
      <c r="AC54" s="81">
        <v>50000</v>
      </c>
      <c r="AD54" s="82" t="str">
        <f>ConstructiveMatrix[[#This Row],[Borrower Experience]] &amp; "|" &amp; ConstructiveMatrix[[#This Row],[Project Type]] &amp; "|" &amp; ConstructiveMatrix[[#This Row],[Loan Type]] &amp; "|" &amp; ConstructiveMatrix[[#This Row],[Dwelling Type]] &amp; "|" &amp; ConstructiveMatrix[[#This Row],[FICO]]</f>
        <v>Platinum (5+)|Fix and Flip (Heavy Rehab)|Rate and Term Refinance|Other (2-4 unit)|680-739</v>
      </c>
    </row>
    <row r="55" spans="1:30" ht="15" thickBot="1" x14ac:dyDescent="0.35">
      <c r="A55" s="25" t="s">
        <v>299</v>
      </c>
      <c r="B55" s="111" t="s">
        <v>255</v>
      </c>
      <c r="C55" s="86" t="s">
        <v>256</v>
      </c>
      <c r="D55" s="87" t="s">
        <v>315</v>
      </c>
      <c r="E55" s="88" t="s">
        <v>310</v>
      </c>
      <c r="F55" s="89">
        <v>0.8</v>
      </c>
      <c r="G55" s="89">
        <v>0.8</v>
      </c>
      <c r="H55" s="89" t="s">
        <v>303</v>
      </c>
      <c r="I55" s="90">
        <v>8.75</v>
      </c>
      <c r="J55" s="90">
        <v>1</v>
      </c>
      <c r="K55" s="90">
        <f t="shared" si="4"/>
        <v>9.75</v>
      </c>
      <c r="L55" s="91">
        <v>125000</v>
      </c>
      <c r="M55" s="92">
        <v>5000000</v>
      </c>
      <c r="N55" s="91" t="s">
        <v>303</v>
      </c>
      <c r="O55" s="93" t="str">
        <f>ChurchillMatrix[[#This Row],[Experience Level]] &amp; "|" &amp; ChurchillMatrix[[#This Row],[Project Type]] &amp; "|" &amp; ChurchillMatrix[[#This Row],[Loan Type]] &amp; "|" &amp; ChurchillMatrix[[#This Row],[FICO]] &amp; "|" &amp; ChurchillMatrix[[#This Row],[Number of Units]]</f>
        <v>Institutional (10+) ($10m)|Bridge (No Rehab)|Rate and Term Refinance|&gt;=700|5-19 Units</v>
      </c>
      <c r="R55" s="60" t="s">
        <v>304</v>
      </c>
      <c r="S55" s="111" t="s">
        <v>318</v>
      </c>
      <c r="T55" s="86" t="s">
        <v>256</v>
      </c>
      <c r="U55" s="94" t="s">
        <v>316</v>
      </c>
      <c r="V55" s="113" t="s">
        <v>311</v>
      </c>
      <c r="W55" s="114">
        <v>0.8</v>
      </c>
      <c r="X55" s="114">
        <v>0.9</v>
      </c>
      <c r="Y55" s="114">
        <v>0.75</v>
      </c>
      <c r="Z55" s="115">
        <v>100000</v>
      </c>
      <c r="AA55" s="116">
        <v>2500000</v>
      </c>
      <c r="AB55" s="115">
        <v>30000</v>
      </c>
      <c r="AC55" s="117">
        <v>50000</v>
      </c>
      <c r="AD55" s="100" t="str">
        <f>ConstructiveMatrix[[#This Row],[Borrower Experience]] &amp; "|" &amp; ConstructiveMatrix[[#This Row],[Project Type]] &amp; "|" &amp; ConstructiveMatrix[[#This Row],[Loan Type]] &amp; "|" &amp; ConstructiveMatrix[[#This Row],[Dwelling Type]] &amp; "|" &amp; ConstructiveMatrix[[#This Row],[FICO]]</f>
        <v>Platinum (5+)|Fix and Flip (Heavy Rehab)|Rate and Term Refinance|Other (2-4 unit)|740+</v>
      </c>
    </row>
    <row r="56" spans="1:30" ht="15" customHeight="1" x14ac:dyDescent="0.3">
      <c r="A56" s="125" t="s">
        <v>326</v>
      </c>
      <c r="B56" s="126" t="s">
        <v>300</v>
      </c>
      <c r="C56" s="27" t="s">
        <v>251</v>
      </c>
      <c r="D56" s="28" t="s">
        <v>301</v>
      </c>
      <c r="E56" s="29" t="s">
        <v>302</v>
      </c>
      <c r="F56" s="112">
        <v>0.85</v>
      </c>
      <c r="G56" s="112">
        <v>0.9</v>
      </c>
      <c r="H56" s="31">
        <v>0.75</v>
      </c>
      <c r="I56" s="32">
        <v>8.75</v>
      </c>
      <c r="J56" s="32">
        <v>0.25</v>
      </c>
      <c r="K56" s="32">
        <f>I56+J56</f>
        <v>9</v>
      </c>
      <c r="L56" s="33">
        <v>125000</v>
      </c>
      <c r="M56" s="34">
        <v>5000000</v>
      </c>
      <c r="N56" s="33" t="s">
        <v>303</v>
      </c>
      <c r="O56" s="35" t="str">
        <f>ChurchillMatrix[[#This Row],[Experience Level]] &amp; "|" &amp; ChurchillMatrix[[#This Row],[Project Type]] &amp; "|" &amp; ChurchillMatrix[[#This Row],[Loan Type]] &amp; "|" &amp; ChurchillMatrix[[#This Row],[FICO]] &amp; "|" &amp; ChurchillMatrix[[#This Row],[Number of Units]]</f>
        <v>Experienced (3-9) ($5m)|Fix and Flip (Light Rehab)|Purchase|660 - 679|&lt;=4 Units</v>
      </c>
      <c r="R56" s="127" t="s">
        <v>327</v>
      </c>
      <c r="S56" s="126" t="s">
        <v>255</v>
      </c>
      <c r="T56" s="27" t="s">
        <v>251</v>
      </c>
      <c r="U56" s="37" t="s">
        <v>250</v>
      </c>
      <c r="V56" s="123" t="s">
        <v>305</v>
      </c>
      <c r="W56" s="39">
        <v>0.75</v>
      </c>
      <c r="X56" s="39" t="s">
        <v>303</v>
      </c>
      <c r="Y56" s="39" t="s">
        <v>303</v>
      </c>
      <c r="Z56" s="40">
        <v>100000</v>
      </c>
      <c r="AA56" s="41">
        <v>2500000</v>
      </c>
      <c r="AB56" s="40">
        <v>50000</v>
      </c>
      <c r="AC56" s="42" t="s">
        <v>303</v>
      </c>
      <c r="AD56" s="43" t="str">
        <f>ConstructiveMatrix[[#This Row],[Borrower Experience]] &amp; "|" &amp; ConstructiveMatrix[[#This Row],[Project Type]] &amp; "|" &amp; ConstructiveMatrix[[#This Row],[Loan Type]] &amp; "|" &amp; ConstructiveMatrix[[#This Row],[Dwelling Type]] &amp; "|" &amp; ConstructiveMatrix[[#This Row],[FICO]]</f>
        <v>Gold (3-4)|Bridge (No Rehab)|Purchase|Single Family|680-739</v>
      </c>
    </row>
    <row r="57" spans="1:30" x14ac:dyDescent="0.3">
      <c r="A57" s="128" t="s">
        <v>326</v>
      </c>
      <c r="B57" s="129" t="s">
        <v>300</v>
      </c>
      <c r="C57" s="52" t="s">
        <v>251</v>
      </c>
      <c r="D57" s="53" t="s">
        <v>301</v>
      </c>
      <c r="E57" s="54" t="s">
        <v>310</v>
      </c>
      <c r="F57" s="55">
        <v>0.8</v>
      </c>
      <c r="G57" s="55">
        <v>0.8</v>
      </c>
      <c r="H57" s="55">
        <v>0.75</v>
      </c>
      <c r="I57" s="56">
        <v>8.75</v>
      </c>
      <c r="J57" s="56">
        <v>1.25</v>
      </c>
      <c r="K57" s="56">
        <f t="shared" ref="K57:K61" si="5">I57+J57</f>
        <v>10</v>
      </c>
      <c r="L57" s="57">
        <v>125000</v>
      </c>
      <c r="M57" s="58">
        <v>5000000</v>
      </c>
      <c r="N57" s="57" t="s">
        <v>303</v>
      </c>
      <c r="O57" s="59" t="str">
        <f>ChurchillMatrix[[#This Row],[Experience Level]] &amp; "|" &amp; ChurchillMatrix[[#This Row],[Project Type]] &amp; "|" &amp; ChurchillMatrix[[#This Row],[Loan Type]] &amp; "|" &amp; ChurchillMatrix[[#This Row],[FICO]] &amp; "|" &amp; ChurchillMatrix[[#This Row],[Number of Units]]</f>
        <v>Experienced (3-9) ($5m)|Fix and Flip (Light Rehab)|Purchase|660 - 679|5-19 Units</v>
      </c>
      <c r="R57" s="130" t="s">
        <v>327</v>
      </c>
      <c r="S57" s="129" t="s">
        <v>255</v>
      </c>
      <c r="T57" s="52" t="s">
        <v>251</v>
      </c>
      <c r="U57" s="61" t="s">
        <v>250</v>
      </c>
      <c r="V57" s="121" t="s">
        <v>311</v>
      </c>
      <c r="W57" s="63">
        <v>0.75</v>
      </c>
      <c r="X57" s="63" t="s">
        <v>303</v>
      </c>
      <c r="Y57" s="63" t="s">
        <v>303</v>
      </c>
      <c r="Z57" s="64">
        <v>100000</v>
      </c>
      <c r="AA57" s="65">
        <v>2500000</v>
      </c>
      <c r="AB57" s="64">
        <v>50000</v>
      </c>
      <c r="AC57" s="66" t="s">
        <v>303</v>
      </c>
      <c r="AD57" s="67" t="str">
        <f>ConstructiveMatrix[[#This Row],[Borrower Experience]] &amp; "|" &amp; ConstructiveMatrix[[#This Row],[Project Type]] &amp; "|" &amp; ConstructiveMatrix[[#This Row],[Loan Type]] &amp; "|" &amp; ConstructiveMatrix[[#This Row],[Dwelling Type]] &amp; "|" &amp; ConstructiveMatrix[[#This Row],[FICO]]</f>
        <v>Gold (3-4)|Bridge (No Rehab)|Purchase|Single Family|740+</v>
      </c>
    </row>
    <row r="58" spans="1:30" x14ac:dyDescent="0.3">
      <c r="A58" s="128" t="s">
        <v>326</v>
      </c>
      <c r="B58" s="129" t="s">
        <v>300</v>
      </c>
      <c r="C58" s="52" t="s">
        <v>251</v>
      </c>
      <c r="D58" s="68" t="s">
        <v>313</v>
      </c>
      <c r="E58" s="69" t="s">
        <v>302</v>
      </c>
      <c r="F58" s="131">
        <v>0.85</v>
      </c>
      <c r="G58" s="124">
        <v>0.9</v>
      </c>
      <c r="H58" s="71">
        <v>0.75</v>
      </c>
      <c r="I58" s="72">
        <v>8.75</v>
      </c>
      <c r="J58" s="72">
        <v>0.25</v>
      </c>
      <c r="K58" s="72">
        <f t="shared" si="5"/>
        <v>9</v>
      </c>
      <c r="L58" s="73">
        <v>125000</v>
      </c>
      <c r="M58" s="74">
        <v>5000000</v>
      </c>
      <c r="N58" s="73" t="s">
        <v>303</v>
      </c>
      <c r="O58" s="75" t="str">
        <f>ChurchillMatrix[[#This Row],[Experience Level]] &amp; "|" &amp; ChurchillMatrix[[#This Row],[Project Type]] &amp; "|" &amp; ChurchillMatrix[[#This Row],[Loan Type]] &amp; "|" &amp; ChurchillMatrix[[#This Row],[FICO]] &amp; "|" &amp; ChurchillMatrix[[#This Row],[Number of Units]]</f>
        <v>Experienced (3-9) ($5m)|Fix and Flip (Light Rehab)|Purchase|680 - 699|&lt;=4 Units</v>
      </c>
      <c r="R58" s="130" t="s">
        <v>327</v>
      </c>
      <c r="S58" s="129" t="s">
        <v>255</v>
      </c>
      <c r="T58" s="52" t="s">
        <v>251</v>
      </c>
      <c r="U58" s="76" t="s">
        <v>259</v>
      </c>
      <c r="V58" s="120" t="s">
        <v>305</v>
      </c>
      <c r="W58" s="78">
        <v>0.65</v>
      </c>
      <c r="X58" s="78" t="s">
        <v>303</v>
      </c>
      <c r="Y58" s="78" t="s">
        <v>303</v>
      </c>
      <c r="Z58" s="79">
        <v>100000</v>
      </c>
      <c r="AA58" s="80">
        <v>2500000</v>
      </c>
      <c r="AB58" s="79">
        <v>50000</v>
      </c>
      <c r="AC58" s="81" t="s">
        <v>303</v>
      </c>
      <c r="AD58" s="82" t="str">
        <f>ConstructiveMatrix[[#This Row],[Borrower Experience]] &amp; "|" &amp; ConstructiveMatrix[[#This Row],[Project Type]] &amp; "|" &amp; ConstructiveMatrix[[#This Row],[Loan Type]] &amp; "|" &amp; ConstructiveMatrix[[#This Row],[Dwelling Type]] &amp; "|" &amp; ConstructiveMatrix[[#This Row],[FICO]]</f>
        <v>Gold (3-4)|Bridge (No Rehab)|Purchase|Non-Warrantable Condo|680-739</v>
      </c>
    </row>
    <row r="59" spans="1:30" x14ac:dyDescent="0.3">
      <c r="A59" s="128" t="s">
        <v>326</v>
      </c>
      <c r="B59" s="129" t="s">
        <v>300</v>
      </c>
      <c r="C59" s="52" t="s">
        <v>251</v>
      </c>
      <c r="D59" s="53" t="s">
        <v>313</v>
      </c>
      <c r="E59" s="54" t="s">
        <v>310</v>
      </c>
      <c r="F59" s="55">
        <v>0.8</v>
      </c>
      <c r="G59" s="55">
        <v>0.8</v>
      </c>
      <c r="H59" s="55">
        <v>0.75</v>
      </c>
      <c r="I59" s="56">
        <v>8.75</v>
      </c>
      <c r="J59" s="56">
        <v>1.25</v>
      </c>
      <c r="K59" s="56">
        <f t="shared" si="5"/>
        <v>10</v>
      </c>
      <c r="L59" s="57">
        <v>125000</v>
      </c>
      <c r="M59" s="58">
        <v>5000000</v>
      </c>
      <c r="N59" s="57" t="s">
        <v>303</v>
      </c>
      <c r="O59" s="59" t="str">
        <f>ChurchillMatrix[[#This Row],[Experience Level]] &amp; "|" &amp; ChurchillMatrix[[#This Row],[Project Type]] &amp; "|" &amp; ChurchillMatrix[[#This Row],[Loan Type]] &amp; "|" &amp; ChurchillMatrix[[#This Row],[FICO]] &amp; "|" &amp; ChurchillMatrix[[#This Row],[Number of Units]]</f>
        <v>Experienced (3-9) ($5m)|Fix and Flip (Light Rehab)|Purchase|680 - 699|5-19 Units</v>
      </c>
      <c r="R59" s="130" t="s">
        <v>327</v>
      </c>
      <c r="S59" s="129" t="s">
        <v>255</v>
      </c>
      <c r="T59" s="52" t="s">
        <v>251</v>
      </c>
      <c r="U59" s="83" t="s">
        <v>259</v>
      </c>
      <c r="V59" s="121" t="s">
        <v>311</v>
      </c>
      <c r="W59" s="63">
        <v>0.65</v>
      </c>
      <c r="X59" s="63" t="s">
        <v>303</v>
      </c>
      <c r="Y59" s="63" t="s">
        <v>303</v>
      </c>
      <c r="Z59" s="64">
        <v>100000</v>
      </c>
      <c r="AA59" s="65">
        <v>2500000</v>
      </c>
      <c r="AB59" s="64">
        <v>50000</v>
      </c>
      <c r="AC59" s="66" t="s">
        <v>303</v>
      </c>
      <c r="AD59" s="67" t="str">
        <f>ConstructiveMatrix[[#This Row],[Borrower Experience]] &amp; "|" &amp; ConstructiveMatrix[[#This Row],[Project Type]] &amp; "|" &amp; ConstructiveMatrix[[#This Row],[Loan Type]] &amp; "|" &amp; ConstructiveMatrix[[#This Row],[Dwelling Type]] &amp; "|" &amp; ConstructiveMatrix[[#This Row],[FICO]]</f>
        <v>Gold (3-4)|Bridge (No Rehab)|Purchase|Non-Warrantable Condo|740+</v>
      </c>
    </row>
    <row r="60" spans="1:30" x14ac:dyDescent="0.3">
      <c r="A60" s="128" t="s">
        <v>326</v>
      </c>
      <c r="B60" s="129" t="s">
        <v>300</v>
      </c>
      <c r="C60" s="52" t="s">
        <v>251</v>
      </c>
      <c r="D60" s="68" t="s">
        <v>315</v>
      </c>
      <c r="E60" s="69" t="s">
        <v>302</v>
      </c>
      <c r="F60" s="131">
        <v>0.85</v>
      </c>
      <c r="G60" s="124">
        <v>0.9</v>
      </c>
      <c r="H60" s="71">
        <v>0.75</v>
      </c>
      <c r="I60" s="72">
        <v>8.75</v>
      </c>
      <c r="J60" s="72">
        <v>0</v>
      </c>
      <c r="K60" s="72">
        <f t="shared" si="5"/>
        <v>8.75</v>
      </c>
      <c r="L60" s="73">
        <v>125000</v>
      </c>
      <c r="M60" s="74">
        <v>5000000</v>
      </c>
      <c r="N60" s="73" t="s">
        <v>303</v>
      </c>
      <c r="O60" s="75" t="str">
        <f>ChurchillMatrix[[#This Row],[Experience Level]] &amp; "|" &amp; ChurchillMatrix[[#This Row],[Project Type]] &amp; "|" &amp; ChurchillMatrix[[#This Row],[Loan Type]] &amp; "|" &amp; ChurchillMatrix[[#This Row],[FICO]] &amp; "|" &amp; ChurchillMatrix[[#This Row],[Number of Units]]</f>
        <v>Experienced (3-9) ($5m)|Fix and Flip (Light Rehab)|Purchase|&gt;=700|&lt;=4 Units</v>
      </c>
      <c r="R60" s="130" t="s">
        <v>327</v>
      </c>
      <c r="S60" s="129" t="s">
        <v>255</v>
      </c>
      <c r="T60" s="52" t="s">
        <v>251</v>
      </c>
      <c r="U60" s="85" t="s">
        <v>316</v>
      </c>
      <c r="V60" s="120" t="s">
        <v>305</v>
      </c>
      <c r="W60" s="78">
        <v>0.75</v>
      </c>
      <c r="X60" s="78" t="s">
        <v>303</v>
      </c>
      <c r="Y60" s="78" t="s">
        <v>303</v>
      </c>
      <c r="Z60" s="79">
        <v>100000</v>
      </c>
      <c r="AA60" s="80">
        <v>2500000</v>
      </c>
      <c r="AB60" s="79">
        <v>50000</v>
      </c>
      <c r="AC60" s="81" t="s">
        <v>303</v>
      </c>
      <c r="AD60" s="82" t="str">
        <f>ConstructiveMatrix[[#This Row],[Borrower Experience]] &amp; "|" &amp; ConstructiveMatrix[[#This Row],[Project Type]] &amp; "|" &amp; ConstructiveMatrix[[#This Row],[Loan Type]] &amp; "|" &amp; ConstructiveMatrix[[#This Row],[Dwelling Type]] &amp; "|" &amp; ConstructiveMatrix[[#This Row],[FICO]]</f>
        <v>Gold (3-4)|Bridge (No Rehab)|Purchase|Other (2-4 unit)|680-739</v>
      </c>
    </row>
    <row r="61" spans="1:30" ht="15" thickBot="1" x14ac:dyDescent="0.35">
      <c r="A61" s="128" t="s">
        <v>326</v>
      </c>
      <c r="B61" s="129" t="s">
        <v>300</v>
      </c>
      <c r="C61" s="86" t="s">
        <v>251</v>
      </c>
      <c r="D61" s="87" t="s">
        <v>315</v>
      </c>
      <c r="E61" s="88" t="s">
        <v>310</v>
      </c>
      <c r="F61" s="89">
        <v>0.8</v>
      </c>
      <c r="G61" s="89">
        <v>0.8</v>
      </c>
      <c r="H61" s="89">
        <v>0.75</v>
      </c>
      <c r="I61" s="90">
        <v>8.75</v>
      </c>
      <c r="J61" s="90">
        <v>1</v>
      </c>
      <c r="K61" s="90">
        <f t="shared" si="5"/>
        <v>9.75</v>
      </c>
      <c r="L61" s="91">
        <v>125000</v>
      </c>
      <c r="M61" s="92">
        <v>5000000</v>
      </c>
      <c r="N61" s="91" t="s">
        <v>303</v>
      </c>
      <c r="O61" s="93" t="str">
        <f>ChurchillMatrix[[#This Row],[Experience Level]] &amp; "|" &amp; ChurchillMatrix[[#This Row],[Project Type]] &amp; "|" &amp; ChurchillMatrix[[#This Row],[Loan Type]] &amp; "|" &amp; ChurchillMatrix[[#This Row],[FICO]] &amp; "|" &amp; ChurchillMatrix[[#This Row],[Number of Units]]</f>
        <v>Experienced (3-9) ($5m)|Fix and Flip (Light Rehab)|Purchase|&gt;=700|5-19 Units</v>
      </c>
      <c r="R61" s="130" t="s">
        <v>327</v>
      </c>
      <c r="S61" s="129" t="s">
        <v>255</v>
      </c>
      <c r="T61" s="86" t="s">
        <v>251</v>
      </c>
      <c r="U61" s="94" t="s">
        <v>316</v>
      </c>
      <c r="V61" s="122" t="s">
        <v>311</v>
      </c>
      <c r="W61" s="96">
        <v>0.75</v>
      </c>
      <c r="X61" s="96" t="s">
        <v>303</v>
      </c>
      <c r="Y61" s="96" t="s">
        <v>303</v>
      </c>
      <c r="Z61" s="97">
        <v>100000</v>
      </c>
      <c r="AA61" s="98">
        <v>2500000</v>
      </c>
      <c r="AB61" s="97">
        <v>50000</v>
      </c>
      <c r="AC61" s="99" t="s">
        <v>303</v>
      </c>
      <c r="AD61" s="100" t="str">
        <f>ConstructiveMatrix[[#This Row],[Borrower Experience]] &amp; "|" &amp; ConstructiveMatrix[[#This Row],[Project Type]] &amp; "|" &amp; ConstructiveMatrix[[#This Row],[Loan Type]] &amp; "|" &amp; ConstructiveMatrix[[#This Row],[Dwelling Type]] &amp; "|" &amp; ConstructiveMatrix[[#This Row],[FICO]]</f>
        <v>Gold (3-4)|Bridge (No Rehab)|Purchase|Other (2-4 unit)|740+</v>
      </c>
    </row>
    <row r="62" spans="1:30" x14ac:dyDescent="0.3">
      <c r="A62" s="128" t="s">
        <v>326</v>
      </c>
      <c r="B62" s="129" t="s">
        <v>300</v>
      </c>
      <c r="C62" s="27" t="s">
        <v>249</v>
      </c>
      <c r="D62" s="28" t="s">
        <v>301</v>
      </c>
      <c r="E62" s="29" t="s">
        <v>302</v>
      </c>
      <c r="F62" s="31" t="s">
        <v>303</v>
      </c>
      <c r="G62" s="31" t="s">
        <v>303</v>
      </c>
      <c r="H62" s="31" t="s">
        <v>303</v>
      </c>
      <c r="I62" s="32" t="s">
        <v>303</v>
      </c>
      <c r="J62" s="32" t="s">
        <v>303</v>
      </c>
      <c r="K62" s="32" t="s">
        <v>303</v>
      </c>
      <c r="L62" s="33" t="s">
        <v>303</v>
      </c>
      <c r="M62" s="34" t="s">
        <v>303</v>
      </c>
      <c r="N62" s="33" t="s">
        <v>303</v>
      </c>
      <c r="O62" s="35" t="str">
        <f>ChurchillMatrix[[#This Row],[Experience Level]] &amp; "|" &amp; ChurchillMatrix[[#This Row],[Project Type]] &amp; "|" &amp; ChurchillMatrix[[#This Row],[Loan Type]] &amp; "|" &amp; ChurchillMatrix[[#This Row],[FICO]] &amp; "|" &amp; ChurchillMatrix[[#This Row],[Number of Units]]</f>
        <v>Experienced (3-9) ($5m)|Fix and Flip (Light Rehab)|Cash Out Refinance|660 - 679|&lt;=4 Units</v>
      </c>
      <c r="R62" s="130" t="s">
        <v>327</v>
      </c>
      <c r="S62" s="129" t="s">
        <v>255</v>
      </c>
      <c r="T62" s="101" t="s">
        <v>249</v>
      </c>
      <c r="U62" s="37" t="s">
        <v>250</v>
      </c>
      <c r="V62" s="123" t="s">
        <v>305</v>
      </c>
      <c r="W62" s="39">
        <v>0.7</v>
      </c>
      <c r="X62" s="39" t="s">
        <v>303</v>
      </c>
      <c r="Y62" s="39" t="s">
        <v>303</v>
      </c>
      <c r="Z62" s="40">
        <v>100000</v>
      </c>
      <c r="AA62" s="41">
        <v>2500000</v>
      </c>
      <c r="AB62" s="40">
        <v>50000</v>
      </c>
      <c r="AC62" s="42" t="s">
        <v>303</v>
      </c>
      <c r="AD62" s="43" t="str">
        <f>ConstructiveMatrix[[#This Row],[Borrower Experience]] &amp; "|" &amp; ConstructiveMatrix[[#This Row],[Project Type]] &amp; "|" &amp; ConstructiveMatrix[[#This Row],[Loan Type]] &amp; "|" &amp; ConstructiveMatrix[[#This Row],[Dwelling Type]] &amp; "|" &amp; ConstructiveMatrix[[#This Row],[FICO]]</f>
        <v>Gold (3-4)|Bridge (No Rehab)|Cash Out Refinance|Single Family|680-739</v>
      </c>
    </row>
    <row r="63" spans="1:30" x14ac:dyDescent="0.3">
      <c r="A63" s="128" t="s">
        <v>326</v>
      </c>
      <c r="B63" s="129" t="s">
        <v>300</v>
      </c>
      <c r="C63" s="52" t="s">
        <v>249</v>
      </c>
      <c r="D63" s="53" t="s">
        <v>301</v>
      </c>
      <c r="E63" s="54" t="s">
        <v>310</v>
      </c>
      <c r="F63" s="55" t="s">
        <v>303</v>
      </c>
      <c r="G63" s="55" t="s">
        <v>303</v>
      </c>
      <c r="H63" s="55" t="s">
        <v>303</v>
      </c>
      <c r="I63" s="56" t="s">
        <v>303</v>
      </c>
      <c r="J63" s="56" t="s">
        <v>303</v>
      </c>
      <c r="K63" s="56" t="s">
        <v>303</v>
      </c>
      <c r="L63" s="57" t="s">
        <v>303</v>
      </c>
      <c r="M63" s="58" t="s">
        <v>303</v>
      </c>
      <c r="N63" s="57" t="s">
        <v>303</v>
      </c>
      <c r="O63" s="59" t="str">
        <f>ChurchillMatrix[[#This Row],[Experience Level]] &amp; "|" &amp; ChurchillMatrix[[#This Row],[Project Type]] &amp; "|" &amp; ChurchillMatrix[[#This Row],[Loan Type]] &amp; "|" &amp; ChurchillMatrix[[#This Row],[FICO]] &amp; "|" &amp; ChurchillMatrix[[#This Row],[Number of Units]]</f>
        <v>Experienced (3-9) ($5m)|Fix and Flip (Light Rehab)|Cash Out Refinance|660 - 679|5-19 Units</v>
      </c>
      <c r="R63" s="130" t="s">
        <v>327</v>
      </c>
      <c r="S63" s="129" t="s">
        <v>255</v>
      </c>
      <c r="T63" s="102" t="s">
        <v>249</v>
      </c>
      <c r="U63" s="61" t="s">
        <v>250</v>
      </c>
      <c r="V63" s="121" t="s">
        <v>311</v>
      </c>
      <c r="W63" s="63">
        <v>0.7</v>
      </c>
      <c r="X63" s="63" t="s">
        <v>303</v>
      </c>
      <c r="Y63" s="63" t="s">
        <v>303</v>
      </c>
      <c r="Z63" s="64">
        <v>100000</v>
      </c>
      <c r="AA63" s="65">
        <v>2500000</v>
      </c>
      <c r="AB63" s="64">
        <v>50000</v>
      </c>
      <c r="AC63" s="66" t="s">
        <v>303</v>
      </c>
      <c r="AD63" s="67" t="str">
        <f>ConstructiveMatrix[[#This Row],[Borrower Experience]] &amp; "|" &amp; ConstructiveMatrix[[#This Row],[Project Type]] &amp; "|" &amp; ConstructiveMatrix[[#This Row],[Loan Type]] &amp; "|" &amp; ConstructiveMatrix[[#This Row],[Dwelling Type]] &amp; "|" &amp; ConstructiveMatrix[[#This Row],[FICO]]</f>
        <v>Gold (3-4)|Bridge (No Rehab)|Cash Out Refinance|Single Family|740+</v>
      </c>
    </row>
    <row r="64" spans="1:30" x14ac:dyDescent="0.3">
      <c r="A64" s="128" t="s">
        <v>326</v>
      </c>
      <c r="B64" s="129" t="s">
        <v>300</v>
      </c>
      <c r="C64" s="52" t="s">
        <v>249</v>
      </c>
      <c r="D64" s="68" t="s">
        <v>313</v>
      </c>
      <c r="E64" s="69" t="s">
        <v>302</v>
      </c>
      <c r="F64" s="71">
        <v>0.85</v>
      </c>
      <c r="G64" s="71">
        <v>0.9</v>
      </c>
      <c r="H64" s="71">
        <v>0.75</v>
      </c>
      <c r="I64" s="72">
        <v>8.75</v>
      </c>
      <c r="J64" s="72">
        <v>0.75</v>
      </c>
      <c r="K64" s="72">
        <f t="shared" ref="K64:K79" si="6">I64+J64</f>
        <v>9.5</v>
      </c>
      <c r="L64" s="73">
        <v>125000</v>
      </c>
      <c r="M64" s="74">
        <v>5000000</v>
      </c>
      <c r="N64" s="73">
        <v>500000</v>
      </c>
      <c r="O64" s="75" t="str">
        <f>ChurchillMatrix[[#This Row],[Experience Level]] &amp; "|" &amp; ChurchillMatrix[[#This Row],[Project Type]] &amp; "|" &amp; ChurchillMatrix[[#This Row],[Loan Type]] &amp; "|" &amp; ChurchillMatrix[[#This Row],[FICO]] &amp; "|" &amp; ChurchillMatrix[[#This Row],[Number of Units]]</f>
        <v>Experienced (3-9) ($5m)|Fix and Flip (Light Rehab)|Cash Out Refinance|680 - 699|&lt;=4 Units</v>
      </c>
      <c r="R64" s="130" t="s">
        <v>327</v>
      </c>
      <c r="S64" s="129" t="s">
        <v>255</v>
      </c>
      <c r="T64" s="102" t="s">
        <v>249</v>
      </c>
      <c r="U64" s="76" t="s">
        <v>259</v>
      </c>
      <c r="V64" s="120" t="s">
        <v>305</v>
      </c>
      <c r="W64" s="78">
        <v>0.6</v>
      </c>
      <c r="X64" s="78" t="s">
        <v>303</v>
      </c>
      <c r="Y64" s="78" t="s">
        <v>303</v>
      </c>
      <c r="Z64" s="79">
        <v>100000</v>
      </c>
      <c r="AA64" s="80">
        <v>2500000</v>
      </c>
      <c r="AB64" s="79">
        <v>50000</v>
      </c>
      <c r="AC64" s="81" t="s">
        <v>303</v>
      </c>
      <c r="AD64" s="82" t="str">
        <f>ConstructiveMatrix[[#This Row],[Borrower Experience]] &amp; "|" &amp; ConstructiveMatrix[[#This Row],[Project Type]] &amp; "|" &amp; ConstructiveMatrix[[#This Row],[Loan Type]] &amp; "|" &amp; ConstructiveMatrix[[#This Row],[Dwelling Type]] &amp; "|" &amp; ConstructiveMatrix[[#This Row],[FICO]]</f>
        <v>Gold (3-4)|Bridge (No Rehab)|Cash Out Refinance|Non-Warrantable Condo|680-739</v>
      </c>
    </row>
    <row r="65" spans="1:30" x14ac:dyDescent="0.3">
      <c r="A65" s="128" t="s">
        <v>326</v>
      </c>
      <c r="B65" s="129" t="s">
        <v>300</v>
      </c>
      <c r="C65" s="52" t="s">
        <v>249</v>
      </c>
      <c r="D65" s="53" t="s">
        <v>313</v>
      </c>
      <c r="E65" s="54" t="s">
        <v>310</v>
      </c>
      <c r="F65" s="55">
        <v>0.8</v>
      </c>
      <c r="G65" s="55">
        <v>0.8</v>
      </c>
      <c r="H65" s="55">
        <v>0.75</v>
      </c>
      <c r="I65" s="56">
        <v>8.75</v>
      </c>
      <c r="J65" s="56">
        <v>1.75</v>
      </c>
      <c r="K65" s="56">
        <f t="shared" si="6"/>
        <v>10.5</v>
      </c>
      <c r="L65" s="57">
        <v>125000</v>
      </c>
      <c r="M65" s="58">
        <v>5000000</v>
      </c>
      <c r="N65" s="57">
        <v>500000</v>
      </c>
      <c r="O65" s="59" t="str">
        <f>ChurchillMatrix[[#This Row],[Experience Level]] &amp; "|" &amp; ChurchillMatrix[[#This Row],[Project Type]] &amp; "|" &amp; ChurchillMatrix[[#This Row],[Loan Type]] &amp; "|" &amp; ChurchillMatrix[[#This Row],[FICO]] &amp; "|" &amp; ChurchillMatrix[[#This Row],[Number of Units]]</f>
        <v>Experienced (3-9) ($5m)|Fix and Flip (Light Rehab)|Cash Out Refinance|680 - 699|5-19 Units</v>
      </c>
      <c r="R65" s="130" t="s">
        <v>327</v>
      </c>
      <c r="S65" s="129" t="s">
        <v>255</v>
      </c>
      <c r="T65" s="102" t="s">
        <v>249</v>
      </c>
      <c r="U65" s="83" t="s">
        <v>259</v>
      </c>
      <c r="V65" s="121" t="s">
        <v>311</v>
      </c>
      <c r="W65" s="63">
        <v>0.6</v>
      </c>
      <c r="X65" s="63" t="s">
        <v>303</v>
      </c>
      <c r="Y65" s="63" t="s">
        <v>303</v>
      </c>
      <c r="Z65" s="64">
        <v>100000</v>
      </c>
      <c r="AA65" s="65">
        <v>2500000</v>
      </c>
      <c r="AB65" s="64">
        <v>50000</v>
      </c>
      <c r="AC65" s="66" t="s">
        <v>303</v>
      </c>
      <c r="AD65" s="67" t="str">
        <f>ConstructiveMatrix[[#This Row],[Borrower Experience]] &amp; "|" &amp; ConstructiveMatrix[[#This Row],[Project Type]] &amp; "|" &amp; ConstructiveMatrix[[#This Row],[Loan Type]] &amp; "|" &amp; ConstructiveMatrix[[#This Row],[Dwelling Type]] &amp; "|" &amp; ConstructiveMatrix[[#This Row],[FICO]]</f>
        <v>Gold (3-4)|Bridge (No Rehab)|Cash Out Refinance|Non-Warrantable Condo|740+</v>
      </c>
    </row>
    <row r="66" spans="1:30" x14ac:dyDescent="0.3">
      <c r="A66" s="128" t="s">
        <v>326</v>
      </c>
      <c r="B66" s="129" t="s">
        <v>300</v>
      </c>
      <c r="C66" s="52" t="s">
        <v>249</v>
      </c>
      <c r="D66" s="68" t="s">
        <v>315</v>
      </c>
      <c r="E66" s="69" t="s">
        <v>302</v>
      </c>
      <c r="F66" s="71">
        <v>0.85</v>
      </c>
      <c r="G66" s="71">
        <v>0.9</v>
      </c>
      <c r="H66" s="71">
        <v>0.75</v>
      </c>
      <c r="I66" s="72">
        <v>8.75</v>
      </c>
      <c r="J66" s="72">
        <v>0.5</v>
      </c>
      <c r="K66" s="72">
        <f t="shared" si="6"/>
        <v>9.25</v>
      </c>
      <c r="L66" s="73">
        <v>125000</v>
      </c>
      <c r="M66" s="74">
        <v>5000000</v>
      </c>
      <c r="N66" s="73">
        <v>500000</v>
      </c>
      <c r="O66" s="75" t="str">
        <f>ChurchillMatrix[[#This Row],[Experience Level]] &amp; "|" &amp; ChurchillMatrix[[#This Row],[Project Type]] &amp; "|" &amp; ChurchillMatrix[[#This Row],[Loan Type]] &amp; "|" &amp; ChurchillMatrix[[#This Row],[FICO]] &amp; "|" &amp; ChurchillMatrix[[#This Row],[Number of Units]]</f>
        <v>Experienced (3-9) ($5m)|Fix and Flip (Light Rehab)|Cash Out Refinance|&gt;=700|&lt;=4 Units</v>
      </c>
      <c r="R66" s="130" t="s">
        <v>327</v>
      </c>
      <c r="S66" s="129" t="s">
        <v>255</v>
      </c>
      <c r="T66" s="102" t="s">
        <v>249</v>
      </c>
      <c r="U66" s="85" t="s">
        <v>316</v>
      </c>
      <c r="V66" s="120" t="s">
        <v>305</v>
      </c>
      <c r="W66" s="78">
        <v>0.7</v>
      </c>
      <c r="X66" s="78" t="s">
        <v>303</v>
      </c>
      <c r="Y66" s="78" t="s">
        <v>303</v>
      </c>
      <c r="Z66" s="79">
        <v>100000</v>
      </c>
      <c r="AA66" s="80">
        <v>2500000</v>
      </c>
      <c r="AB66" s="79">
        <v>50000</v>
      </c>
      <c r="AC66" s="81" t="s">
        <v>303</v>
      </c>
      <c r="AD66" s="82" t="str">
        <f>ConstructiveMatrix[[#This Row],[Borrower Experience]] &amp; "|" &amp; ConstructiveMatrix[[#This Row],[Project Type]] &amp; "|" &amp; ConstructiveMatrix[[#This Row],[Loan Type]] &amp; "|" &amp; ConstructiveMatrix[[#This Row],[Dwelling Type]] &amp; "|" &amp; ConstructiveMatrix[[#This Row],[FICO]]</f>
        <v>Gold (3-4)|Bridge (No Rehab)|Cash Out Refinance|Other (2-4 unit)|680-739</v>
      </c>
    </row>
    <row r="67" spans="1:30" ht="15" thickBot="1" x14ac:dyDescent="0.35">
      <c r="A67" s="128" t="s">
        <v>326</v>
      </c>
      <c r="B67" s="129" t="s">
        <v>300</v>
      </c>
      <c r="C67" s="86" t="s">
        <v>249</v>
      </c>
      <c r="D67" s="87" t="s">
        <v>315</v>
      </c>
      <c r="E67" s="88" t="s">
        <v>310</v>
      </c>
      <c r="F67" s="89">
        <v>0.8</v>
      </c>
      <c r="G67" s="89">
        <v>0.8</v>
      </c>
      <c r="H67" s="89">
        <v>0.75</v>
      </c>
      <c r="I67" s="90">
        <v>8.75</v>
      </c>
      <c r="J67" s="90">
        <v>1.5</v>
      </c>
      <c r="K67" s="90">
        <f t="shared" si="6"/>
        <v>10.25</v>
      </c>
      <c r="L67" s="91">
        <v>125000</v>
      </c>
      <c r="M67" s="92">
        <v>5000000</v>
      </c>
      <c r="N67" s="91">
        <v>500000</v>
      </c>
      <c r="O67" s="93" t="str">
        <f>ChurchillMatrix[[#This Row],[Experience Level]] &amp; "|" &amp; ChurchillMatrix[[#This Row],[Project Type]] &amp; "|" &amp; ChurchillMatrix[[#This Row],[Loan Type]] &amp; "|" &amp; ChurchillMatrix[[#This Row],[FICO]] &amp; "|" &amp; ChurchillMatrix[[#This Row],[Number of Units]]</f>
        <v>Experienced (3-9) ($5m)|Fix and Flip (Light Rehab)|Cash Out Refinance|&gt;=700|5-19 Units</v>
      </c>
      <c r="R67" s="130" t="s">
        <v>327</v>
      </c>
      <c r="S67" s="129" t="s">
        <v>255</v>
      </c>
      <c r="T67" s="103" t="s">
        <v>249</v>
      </c>
      <c r="U67" s="94" t="s">
        <v>316</v>
      </c>
      <c r="V67" s="122" t="s">
        <v>311</v>
      </c>
      <c r="W67" s="96">
        <v>0.7</v>
      </c>
      <c r="X67" s="96" t="s">
        <v>303</v>
      </c>
      <c r="Y67" s="96" t="s">
        <v>303</v>
      </c>
      <c r="Z67" s="97">
        <v>100000</v>
      </c>
      <c r="AA67" s="98">
        <v>2500000</v>
      </c>
      <c r="AB67" s="97">
        <v>50000</v>
      </c>
      <c r="AC67" s="99" t="s">
        <v>303</v>
      </c>
      <c r="AD67" s="100" t="str">
        <f>ConstructiveMatrix[[#This Row],[Borrower Experience]] &amp; "|" &amp; ConstructiveMatrix[[#This Row],[Project Type]] &amp; "|" &amp; ConstructiveMatrix[[#This Row],[Loan Type]] &amp; "|" &amp; ConstructiveMatrix[[#This Row],[Dwelling Type]] &amp; "|" &amp; ConstructiveMatrix[[#This Row],[FICO]]</f>
        <v>Gold (3-4)|Bridge (No Rehab)|Cash Out Refinance|Other (2-4 unit)|740+</v>
      </c>
    </row>
    <row r="68" spans="1:30" x14ac:dyDescent="0.3">
      <c r="A68" s="128" t="s">
        <v>326</v>
      </c>
      <c r="B68" s="129" t="s">
        <v>300</v>
      </c>
      <c r="C68" s="27" t="s">
        <v>256</v>
      </c>
      <c r="D68" s="28" t="s">
        <v>301</v>
      </c>
      <c r="E68" s="29" t="s">
        <v>302</v>
      </c>
      <c r="F68" s="31">
        <v>0.85</v>
      </c>
      <c r="G68" s="31">
        <v>0.9</v>
      </c>
      <c r="H68" s="31">
        <v>0.75</v>
      </c>
      <c r="I68" s="32">
        <v>8.75</v>
      </c>
      <c r="J68" s="32">
        <v>0.25</v>
      </c>
      <c r="K68" s="32">
        <f t="shared" si="6"/>
        <v>9</v>
      </c>
      <c r="L68" s="33">
        <v>125000</v>
      </c>
      <c r="M68" s="34">
        <v>5000000</v>
      </c>
      <c r="N68" s="33" t="s">
        <v>303</v>
      </c>
      <c r="O68" s="35" t="str">
        <f>ChurchillMatrix[[#This Row],[Experience Level]] &amp; "|" &amp; ChurchillMatrix[[#This Row],[Project Type]] &amp; "|" &amp; ChurchillMatrix[[#This Row],[Loan Type]] &amp; "|" &amp; ChurchillMatrix[[#This Row],[FICO]] &amp; "|" &amp; ChurchillMatrix[[#This Row],[Number of Units]]</f>
        <v>Experienced (3-9) ($5m)|Fix and Flip (Light Rehab)|Rate and Term Refinance|660 - 679|&lt;=4 Units</v>
      </c>
      <c r="R68" s="130" t="s">
        <v>327</v>
      </c>
      <c r="S68" s="129" t="s">
        <v>255</v>
      </c>
      <c r="T68" s="27" t="s">
        <v>256</v>
      </c>
      <c r="U68" s="37" t="s">
        <v>250</v>
      </c>
      <c r="V68" s="123" t="s">
        <v>305</v>
      </c>
      <c r="W68" s="39">
        <v>0.75</v>
      </c>
      <c r="X68" s="39" t="s">
        <v>303</v>
      </c>
      <c r="Y68" s="39" t="s">
        <v>303</v>
      </c>
      <c r="Z68" s="40">
        <v>100000</v>
      </c>
      <c r="AA68" s="41">
        <v>2500000</v>
      </c>
      <c r="AB68" s="40">
        <v>50000</v>
      </c>
      <c r="AC68" s="42" t="s">
        <v>303</v>
      </c>
      <c r="AD68" s="43" t="str">
        <f>ConstructiveMatrix[[#This Row],[Borrower Experience]] &amp; "|" &amp; ConstructiveMatrix[[#This Row],[Project Type]] &amp; "|" &amp; ConstructiveMatrix[[#This Row],[Loan Type]] &amp; "|" &amp; ConstructiveMatrix[[#This Row],[Dwelling Type]] &amp; "|" &amp; ConstructiveMatrix[[#This Row],[FICO]]</f>
        <v>Gold (3-4)|Bridge (No Rehab)|Rate and Term Refinance|Single Family|680-739</v>
      </c>
    </row>
    <row r="69" spans="1:30" x14ac:dyDescent="0.3">
      <c r="A69" s="128" t="s">
        <v>326</v>
      </c>
      <c r="B69" s="129" t="s">
        <v>300</v>
      </c>
      <c r="C69" s="104" t="s">
        <v>256</v>
      </c>
      <c r="D69" s="53" t="s">
        <v>301</v>
      </c>
      <c r="E69" s="54" t="s">
        <v>310</v>
      </c>
      <c r="F69" s="55">
        <v>0.8</v>
      </c>
      <c r="G69" s="55">
        <v>0.8</v>
      </c>
      <c r="H69" s="55">
        <v>0.75</v>
      </c>
      <c r="I69" s="56">
        <v>8.75</v>
      </c>
      <c r="J69" s="56">
        <v>1.25</v>
      </c>
      <c r="K69" s="56">
        <f t="shared" si="6"/>
        <v>10</v>
      </c>
      <c r="L69" s="57">
        <v>125000</v>
      </c>
      <c r="M69" s="58">
        <v>5000000</v>
      </c>
      <c r="N69" s="57" t="s">
        <v>303</v>
      </c>
      <c r="O69" s="59" t="str">
        <f>ChurchillMatrix[[#This Row],[Experience Level]] &amp; "|" &amp; ChurchillMatrix[[#This Row],[Project Type]] &amp; "|" &amp; ChurchillMatrix[[#This Row],[Loan Type]] &amp; "|" &amp; ChurchillMatrix[[#This Row],[FICO]] &amp; "|" &amp; ChurchillMatrix[[#This Row],[Number of Units]]</f>
        <v>Experienced (3-9) ($5m)|Fix and Flip (Light Rehab)|Rate and Term Refinance|660 - 679|5-19 Units</v>
      </c>
      <c r="R69" s="130" t="s">
        <v>327</v>
      </c>
      <c r="S69" s="129" t="s">
        <v>255</v>
      </c>
      <c r="T69" s="52" t="s">
        <v>256</v>
      </c>
      <c r="U69" s="61" t="s">
        <v>250</v>
      </c>
      <c r="V69" s="121" t="s">
        <v>311</v>
      </c>
      <c r="W69" s="63">
        <v>0.75</v>
      </c>
      <c r="X69" s="63" t="s">
        <v>303</v>
      </c>
      <c r="Y69" s="63" t="s">
        <v>303</v>
      </c>
      <c r="Z69" s="64">
        <v>100000</v>
      </c>
      <c r="AA69" s="65">
        <v>2500000</v>
      </c>
      <c r="AB69" s="64">
        <v>50000</v>
      </c>
      <c r="AC69" s="66" t="s">
        <v>303</v>
      </c>
      <c r="AD69" s="67" t="str">
        <f>ConstructiveMatrix[[#This Row],[Borrower Experience]] &amp; "|" &amp; ConstructiveMatrix[[#This Row],[Project Type]] &amp; "|" &amp; ConstructiveMatrix[[#This Row],[Loan Type]] &amp; "|" &amp; ConstructiveMatrix[[#This Row],[Dwelling Type]] &amp; "|" &amp; ConstructiveMatrix[[#This Row],[FICO]]</f>
        <v>Gold (3-4)|Bridge (No Rehab)|Rate and Term Refinance|Single Family|740+</v>
      </c>
    </row>
    <row r="70" spans="1:30" x14ac:dyDescent="0.3">
      <c r="A70" s="128" t="s">
        <v>326</v>
      </c>
      <c r="B70" s="129" t="s">
        <v>300</v>
      </c>
      <c r="C70" s="52" t="s">
        <v>256</v>
      </c>
      <c r="D70" s="68" t="s">
        <v>313</v>
      </c>
      <c r="E70" s="69" t="s">
        <v>302</v>
      </c>
      <c r="F70" s="71">
        <v>0.85</v>
      </c>
      <c r="G70" s="71">
        <v>0.9</v>
      </c>
      <c r="H70" s="71">
        <v>0.75</v>
      </c>
      <c r="I70" s="72">
        <v>8.75</v>
      </c>
      <c r="J70" s="72">
        <v>0.25</v>
      </c>
      <c r="K70" s="72">
        <f t="shared" si="6"/>
        <v>9</v>
      </c>
      <c r="L70" s="73">
        <v>125000</v>
      </c>
      <c r="M70" s="74">
        <v>5000000</v>
      </c>
      <c r="N70" s="73" t="s">
        <v>303</v>
      </c>
      <c r="O70" s="75" t="str">
        <f>ChurchillMatrix[[#This Row],[Experience Level]] &amp; "|" &amp; ChurchillMatrix[[#This Row],[Project Type]] &amp; "|" &amp; ChurchillMatrix[[#This Row],[Loan Type]] &amp; "|" &amp; ChurchillMatrix[[#This Row],[FICO]] &amp; "|" &amp; ChurchillMatrix[[#This Row],[Number of Units]]</f>
        <v>Experienced (3-9) ($5m)|Fix and Flip (Light Rehab)|Rate and Term Refinance|680 - 699|&lt;=4 Units</v>
      </c>
      <c r="R70" s="130" t="s">
        <v>327</v>
      </c>
      <c r="S70" s="129" t="s">
        <v>255</v>
      </c>
      <c r="T70" s="52" t="s">
        <v>256</v>
      </c>
      <c r="U70" s="76" t="s">
        <v>259</v>
      </c>
      <c r="V70" s="120" t="s">
        <v>305</v>
      </c>
      <c r="W70" s="78">
        <v>0.65</v>
      </c>
      <c r="X70" s="78" t="s">
        <v>303</v>
      </c>
      <c r="Y70" s="78" t="s">
        <v>303</v>
      </c>
      <c r="Z70" s="79">
        <v>100000</v>
      </c>
      <c r="AA70" s="80">
        <v>2500000</v>
      </c>
      <c r="AB70" s="79">
        <v>50000</v>
      </c>
      <c r="AC70" s="81" t="s">
        <v>303</v>
      </c>
      <c r="AD70" s="82" t="str">
        <f>ConstructiveMatrix[[#This Row],[Borrower Experience]] &amp; "|" &amp; ConstructiveMatrix[[#This Row],[Project Type]] &amp; "|" &amp; ConstructiveMatrix[[#This Row],[Loan Type]] &amp; "|" &amp; ConstructiveMatrix[[#This Row],[Dwelling Type]] &amp; "|" &amp; ConstructiveMatrix[[#This Row],[FICO]]</f>
        <v>Gold (3-4)|Bridge (No Rehab)|Rate and Term Refinance|Non-Warrantable Condo|680-739</v>
      </c>
    </row>
    <row r="71" spans="1:30" x14ac:dyDescent="0.3">
      <c r="A71" s="128" t="s">
        <v>326</v>
      </c>
      <c r="B71" s="129" t="s">
        <v>300</v>
      </c>
      <c r="C71" s="104" t="s">
        <v>256</v>
      </c>
      <c r="D71" s="53" t="s">
        <v>313</v>
      </c>
      <c r="E71" s="54" t="s">
        <v>310</v>
      </c>
      <c r="F71" s="55">
        <v>0.8</v>
      </c>
      <c r="G71" s="55">
        <v>0.8</v>
      </c>
      <c r="H71" s="55">
        <v>0.75</v>
      </c>
      <c r="I71" s="56">
        <v>8.75</v>
      </c>
      <c r="J71" s="56">
        <v>1.25</v>
      </c>
      <c r="K71" s="56">
        <f t="shared" si="6"/>
        <v>10</v>
      </c>
      <c r="L71" s="57">
        <v>125000</v>
      </c>
      <c r="M71" s="58">
        <v>5000000</v>
      </c>
      <c r="N71" s="57" t="s">
        <v>303</v>
      </c>
      <c r="O71" s="59" t="str">
        <f>ChurchillMatrix[[#This Row],[Experience Level]] &amp; "|" &amp; ChurchillMatrix[[#This Row],[Project Type]] &amp; "|" &amp; ChurchillMatrix[[#This Row],[Loan Type]] &amp; "|" &amp; ChurchillMatrix[[#This Row],[FICO]] &amp; "|" &amp; ChurchillMatrix[[#This Row],[Number of Units]]</f>
        <v>Experienced (3-9) ($5m)|Fix and Flip (Light Rehab)|Rate and Term Refinance|680 - 699|5-19 Units</v>
      </c>
      <c r="R71" s="130" t="s">
        <v>327</v>
      </c>
      <c r="S71" s="129" t="s">
        <v>255</v>
      </c>
      <c r="T71" s="52" t="s">
        <v>256</v>
      </c>
      <c r="U71" s="83" t="s">
        <v>259</v>
      </c>
      <c r="V71" s="121" t="s">
        <v>311</v>
      </c>
      <c r="W71" s="63">
        <v>0.65</v>
      </c>
      <c r="X71" s="63" t="s">
        <v>303</v>
      </c>
      <c r="Y71" s="63" t="s">
        <v>303</v>
      </c>
      <c r="Z71" s="64">
        <v>100000</v>
      </c>
      <c r="AA71" s="65">
        <v>2500000</v>
      </c>
      <c r="AB71" s="64">
        <v>50000</v>
      </c>
      <c r="AC71" s="66" t="s">
        <v>303</v>
      </c>
      <c r="AD71" s="67" t="str">
        <f>ConstructiveMatrix[[#This Row],[Borrower Experience]] &amp; "|" &amp; ConstructiveMatrix[[#This Row],[Project Type]] &amp; "|" &amp; ConstructiveMatrix[[#This Row],[Loan Type]] &amp; "|" &amp; ConstructiveMatrix[[#This Row],[Dwelling Type]] &amp; "|" &amp; ConstructiveMatrix[[#This Row],[FICO]]</f>
        <v>Gold (3-4)|Bridge (No Rehab)|Rate and Term Refinance|Non-Warrantable Condo|740+</v>
      </c>
    </row>
    <row r="72" spans="1:30" x14ac:dyDescent="0.3">
      <c r="A72" s="128" t="s">
        <v>326</v>
      </c>
      <c r="B72" s="129" t="s">
        <v>300</v>
      </c>
      <c r="C72" s="52" t="s">
        <v>256</v>
      </c>
      <c r="D72" s="68" t="s">
        <v>315</v>
      </c>
      <c r="E72" s="69" t="s">
        <v>302</v>
      </c>
      <c r="F72" s="71">
        <v>0.85</v>
      </c>
      <c r="G72" s="71">
        <v>0.9</v>
      </c>
      <c r="H72" s="71">
        <v>0.75</v>
      </c>
      <c r="I72" s="72">
        <v>8.75</v>
      </c>
      <c r="J72" s="72">
        <v>0</v>
      </c>
      <c r="K72" s="72">
        <f t="shared" si="6"/>
        <v>8.75</v>
      </c>
      <c r="L72" s="73">
        <v>125000</v>
      </c>
      <c r="M72" s="74">
        <v>5000000</v>
      </c>
      <c r="N72" s="73" t="s">
        <v>303</v>
      </c>
      <c r="O72" s="75" t="str">
        <f>ChurchillMatrix[[#This Row],[Experience Level]] &amp; "|" &amp; ChurchillMatrix[[#This Row],[Project Type]] &amp; "|" &amp; ChurchillMatrix[[#This Row],[Loan Type]] &amp; "|" &amp; ChurchillMatrix[[#This Row],[FICO]] &amp; "|" &amp; ChurchillMatrix[[#This Row],[Number of Units]]</f>
        <v>Experienced (3-9) ($5m)|Fix and Flip (Light Rehab)|Rate and Term Refinance|&gt;=700|&lt;=4 Units</v>
      </c>
      <c r="R72" s="130" t="s">
        <v>327</v>
      </c>
      <c r="S72" s="129" t="s">
        <v>255</v>
      </c>
      <c r="T72" s="52" t="s">
        <v>256</v>
      </c>
      <c r="U72" s="85" t="s">
        <v>316</v>
      </c>
      <c r="V72" s="120" t="s">
        <v>305</v>
      </c>
      <c r="W72" s="78">
        <v>0.75</v>
      </c>
      <c r="X72" s="78" t="s">
        <v>303</v>
      </c>
      <c r="Y72" s="78" t="s">
        <v>303</v>
      </c>
      <c r="Z72" s="79">
        <v>100000</v>
      </c>
      <c r="AA72" s="80">
        <v>2500000</v>
      </c>
      <c r="AB72" s="79">
        <v>50000</v>
      </c>
      <c r="AC72" s="81" t="s">
        <v>303</v>
      </c>
      <c r="AD72" s="82" t="str">
        <f>ConstructiveMatrix[[#This Row],[Borrower Experience]] &amp; "|" &amp; ConstructiveMatrix[[#This Row],[Project Type]] &amp; "|" &amp; ConstructiveMatrix[[#This Row],[Loan Type]] &amp; "|" &amp; ConstructiveMatrix[[#This Row],[Dwelling Type]] &amp; "|" &amp; ConstructiveMatrix[[#This Row],[FICO]]</f>
        <v>Gold (3-4)|Bridge (No Rehab)|Rate and Term Refinance|Other (2-4 unit)|680-739</v>
      </c>
    </row>
    <row r="73" spans="1:30" ht="15" thickBot="1" x14ac:dyDescent="0.35">
      <c r="A73" s="128" t="s">
        <v>326</v>
      </c>
      <c r="B73" s="132" t="s">
        <v>300</v>
      </c>
      <c r="C73" s="86" t="s">
        <v>256</v>
      </c>
      <c r="D73" s="87" t="s">
        <v>315</v>
      </c>
      <c r="E73" s="88" t="s">
        <v>310</v>
      </c>
      <c r="F73" s="89">
        <v>0.8</v>
      </c>
      <c r="G73" s="89">
        <v>0.8</v>
      </c>
      <c r="H73" s="89">
        <v>0.75</v>
      </c>
      <c r="I73" s="90">
        <v>8.75</v>
      </c>
      <c r="J73" s="90">
        <v>1</v>
      </c>
      <c r="K73" s="90">
        <f t="shared" si="6"/>
        <v>9.75</v>
      </c>
      <c r="L73" s="91">
        <v>125000</v>
      </c>
      <c r="M73" s="92">
        <v>5000000</v>
      </c>
      <c r="N73" s="91" t="s">
        <v>303</v>
      </c>
      <c r="O73" s="93" t="str">
        <f>ChurchillMatrix[[#This Row],[Experience Level]] &amp; "|" &amp; ChurchillMatrix[[#This Row],[Project Type]] &amp; "|" &amp; ChurchillMatrix[[#This Row],[Loan Type]] &amp; "|" &amp; ChurchillMatrix[[#This Row],[FICO]] &amp; "|" &amp; ChurchillMatrix[[#This Row],[Number of Units]]</f>
        <v>Experienced (3-9) ($5m)|Fix and Flip (Light Rehab)|Rate and Term Refinance|&gt;=700|5-19 Units</v>
      </c>
      <c r="R73" s="130" t="s">
        <v>327</v>
      </c>
      <c r="S73" s="132" t="s">
        <v>255</v>
      </c>
      <c r="T73" s="86" t="s">
        <v>256</v>
      </c>
      <c r="U73" s="94" t="s">
        <v>316</v>
      </c>
      <c r="V73" s="113" t="s">
        <v>311</v>
      </c>
      <c r="W73" s="114">
        <v>0.75</v>
      </c>
      <c r="X73" s="114" t="s">
        <v>303</v>
      </c>
      <c r="Y73" s="114" t="s">
        <v>303</v>
      </c>
      <c r="Z73" s="115">
        <v>100000</v>
      </c>
      <c r="AA73" s="116">
        <v>2500000</v>
      </c>
      <c r="AB73" s="115">
        <v>50000</v>
      </c>
      <c r="AC73" s="117" t="s">
        <v>303</v>
      </c>
      <c r="AD73" s="100" t="str">
        <f>ConstructiveMatrix[[#This Row],[Borrower Experience]] &amp; "|" &amp; ConstructiveMatrix[[#This Row],[Project Type]] &amp; "|" &amp; ConstructiveMatrix[[#This Row],[Loan Type]] &amp; "|" &amp; ConstructiveMatrix[[#This Row],[Dwelling Type]] &amp; "|" &amp; ConstructiveMatrix[[#This Row],[FICO]]</f>
        <v>Gold (3-4)|Bridge (No Rehab)|Rate and Term Refinance|Other (2-4 unit)|740+</v>
      </c>
    </row>
    <row r="74" spans="1:30" ht="15" customHeight="1" x14ac:dyDescent="0.3">
      <c r="A74" s="128" t="s">
        <v>326</v>
      </c>
      <c r="B74" s="126" t="s">
        <v>318</v>
      </c>
      <c r="C74" s="27" t="s">
        <v>251</v>
      </c>
      <c r="D74" s="28" t="s">
        <v>301</v>
      </c>
      <c r="E74" s="29" t="s">
        <v>302</v>
      </c>
      <c r="F74" s="112">
        <v>0.85</v>
      </c>
      <c r="G74" s="112">
        <v>0.85</v>
      </c>
      <c r="H74" s="31">
        <v>0.7</v>
      </c>
      <c r="I74" s="32">
        <v>9</v>
      </c>
      <c r="J74" s="32">
        <v>0.25</v>
      </c>
      <c r="K74" s="32">
        <f t="shared" si="6"/>
        <v>9.25</v>
      </c>
      <c r="L74" s="33">
        <v>125000</v>
      </c>
      <c r="M74" s="34">
        <v>5000000</v>
      </c>
      <c r="N74" s="33" t="s">
        <v>303</v>
      </c>
      <c r="O74" s="35" t="str">
        <f>ChurchillMatrix[[#This Row],[Experience Level]] &amp; "|" &amp; ChurchillMatrix[[#This Row],[Project Type]] &amp; "|" &amp; ChurchillMatrix[[#This Row],[Loan Type]] &amp; "|" &amp; ChurchillMatrix[[#This Row],[FICO]] &amp; "|" &amp; ChurchillMatrix[[#This Row],[Number of Units]]</f>
        <v>Experienced (3-9) ($5m)|Fix and Flip (Heavy Rehab)|Purchase|660 - 679|&lt;=4 Units</v>
      </c>
      <c r="R74" s="130" t="s">
        <v>327</v>
      </c>
      <c r="S74" s="126" t="s">
        <v>300</v>
      </c>
      <c r="T74" s="27" t="s">
        <v>251</v>
      </c>
      <c r="U74" s="37" t="s">
        <v>250</v>
      </c>
      <c r="V74" s="123" t="s">
        <v>305</v>
      </c>
      <c r="W74" s="39">
        <v>0.85</v>
      </c>
      <c r="X74" s="39">
        <v>0.85</v>
      </c>
      <c r="Y74" s="39">
        <v>0.75</v>
      </c>
      <c r="Z74" s="40">
        <v>100000</v>
      </c>
      <c r="AA74" s="41">
        <v>2500000</v>
      </c>
      <c r="AB74" s="40">
        <v>30000</v>
      </c>
      <c r="AC74" s="42">
        <v>50000</v>
      </c>
      <c r="AD74" s="43" t="str">
        <f>ConstructiveMatrix[[#This Row],[Borrower Experience]] &amp; "|" &amp; ConstructiveMatrix[[#This Row],[Project Type]] &amp; "|" &amp; ConstructiveMatrix[[#This Row],[Loan Type]] &amp; "|" &amp; ConstructiveMatrix[[#This Row],[Dwelling Type]] &amp; "|" &amp; ConstructiveMatrix[[#This Row],[FICO]]</f>
        <v>Gold (3-4)|Fix and Flip (Light Rehab)|Purchase|Single Family|680-739</v>
      </c>
    </row>
    <row r="75" spans="1:30" x14ac:dyDescent="0.3">
      <c r="A75" s="128" t="s">
        <v>326</v>
      </c>
      <c r="B75" s="129" t="s">
        <v>318</v>
      </c>
      <c r="C75" s="52" t="s">
        <v>251</v>
      </c>
      <c r="D75" s="53" t="s">
        <v>301</v>
      </c>
      <c r="E75" s="54" t="s">
        <v>310</v>
      </c>
      <c r="F75" s="55">
        <v>0.8</v>
      </c>
      <c r="G75" s="55">
        <v>0.8</v>
      </c>
      <c r="H75" s="55">
        <v>0.7</v>
      </c>
      <c r="I75" s="56">
        <v>9</v>
      </c>
      <c r="J75" s="56">
        <v>1.25</v>
      </c>
      <c r="K75" s="56">
        <f t="shared" si="6"/>
        <v>10.25</v>
      </c>
      <c r="L75" s="57">
        <v>125000</v>
      </c>
      <c r="M75" s="58">
        <v>5000000</v>
      </c>
      <c r="N75" s="57" t="s">
        <v>303</v>
      </c>
      <c r="O75" s="59" t="str">
        <f>ChurchillMatrix[[#This Row],[Experience Level]] &amp; "|" &amp; ChurchillMatrix[[#This Row],[Project Type]] &amp; "|" &amp; ChurchillMatrix[[#This Row],[Loan Type]] &amp; "|" &amp; ChurchillMatrix[[#This Row],[FICO]] &amp; "|" &amp; ChurchillMatrix[[#This Row],[Number of Units]]</f>
        <v>Experienced (3-9) ($5m)|Fix and Flip (Heavy Rehab)|Purchase|660 - 679|5-19 Units</v>
      </c>
      <c r="R75" s="130" t="s">
        <v>327</v>
      </c>
      <c r="S75" s="129" t="s">
        <v>300</v>
      </c>
      <c r="T75" s="52" t="s">
        <v>251</v>
      </c>
      <c r="U75" s="61" t="s">
        <v>250</v>
      </c>
      <c r="V75" s="121" t="s">
        <v>311</v>
      </c>
      <c r="W75" s="63">
        <v>0.85</v>
      </c>
      <c r="X75" s="63">
        <v>0.85</v>
      </c>
      <c r="Y75" s="63">
        <v>0.75</v>
      </c>
      <c r="Z75" s="64">
        <v>100000</v>
      </c>
      <c r="AA75" s="65">
        <v>2500000</v>
      </c>
      <c r="AB75" s="64">
        <v>30000</v>
      </c>
      <c r="AC75" s="66">
        <v>50000</v>
      </c>
      <c r="AD75" s="67" t="str">
        <f>ConstructiveMatrix[[#This Row],[Borrower Experience]] &amp; "|" &amp; ConstructiveMatrix[[#This Row],[Project Type]] &amp; "|" &amp; ConstructiveMatrix[[#This Row],[Loan Type]] &amp; "|" &amp; ConstructiveMatrix[[#This Row],[Dwelling Type]] &amp; "|" &amp; ConstructiveMatrix[[#This Row],[FICO]]</f>
        <v>Gold (3-4)|Fix and Flip (Light Rehab)|Purchase|Single Family|740+</v>
      </c>
    </row>
    <row r="76" spans="1:30" x14ac:dyDescent="0.3">
      <c r="A76" s="128" t="s">
        <v>326</v>
      </c>
      <c r="B76" s="129" t="s">
        <v>318</v>
      </c>
      <c r="C76" s="52" t="s">
        <v>251</v>
      </c>
      <c r="D76" s="68" t="s">
        <v>313</v>
      </c>
      <c r="E76" s="69" t="s">
        <v>302</v>
      </c>
      <c r="F76" s="131">
        <v>0.85</v>
      </c>
      <c r="G76" s="131">
        <v>0.85</v>
      </c>
      <c r="H76" s="71">
        <v>0.7</v>
      </c>
      <c r="I76" s="72">
        <v>9</v>
      </c>
      <c r="J76" s="72">
        <v>0.25</v>
      </c>
      <c r="K76" s="72">
        <f t="shared" si="6"/>
        <v>9.25</v>
      </c>
      <c r="L76" s="73">
        <v>125000</v>
      </c>
      <c r="M76" s="74">
        <v>5000000</v>
      </c>
      <c r="N76" s="73" t="s">
        <v>303</v>
      </c>
      <c r="O76" s="75" t="str">
        <f>ChurchillMatrix[[#This Row],[Experience Level]] &amp; "|" &amp; ChurchillMatrix[[#This Row],[Project Type]] &amp; "|" &amp; ChurchillMatrix[[#This Row],[Loan Type]] &amp; "|" &amp; ChurchillMatrix[[#This Row],[FICO]] &amp; "|" &amp; ChurchillMatrix[[#This Row],[Number of Units]]</f>
        <v>Experienced (3-9) ($5m)|Fix and Flip (Heavy Rehab)|Purchase|680 - 699|&lt;=4 Units</v>
      </c>
      <c r="R76" s="130" t="s">
        <v>327</v>
      </c>
      <c r="S76" s="129" t="s">
        <v>300</v>
      </c>
      <c r="T76" s="52" t="s">
        <v>251</v>
      </c>
      <c r="U76" s="76" t="s">
        <v>259</v>
      </c>
      <c r="V76" s="120" t="s">
        <v>305</v>
      </c>
      <c r="W76" s="78">
        <v>0.65</v>
      </c>
      <c r="X76" s="78">
        <v>0.85</v>
      </c>
      <c r="Y76" s="78">
        <v>0.65</v>
      </c>
      <c r="Z76" s="79">
        <v>100000</v>
      </c>
      <c r="AA76" s="80">
        <v>2500000</v>
      </c>
      <c r="AB76" s="79">
        <v>30000</v>
      </c>
      <c r="AC76" s="81">
        <v>50000</v>
      </c>
      <c r="AD76" s="82" t="str">
        <f>ConstructiveMatrix[[#This Row],[Borrower Experience]] &amp; "|" &amp; ConstructiveMatrix[[#This Row],[Project Type]] &amp; "|" &amp; ConstructiveMatrix[[#This Row],[Loan Type]] &amp; "|" &amp; ConstructiveMatrix[[#This Row],[Dwelling Type]] &amp; "|" &amp; ConstructiveMatrix[[#This Row],[FICO]]</f>
        <v>Gold (3-4)|Fix and Flip (Light Rehab)|Purchase|Non-Warrantable Condo|680-739</v>
      </c>
    </row>
    <row r="77" spans="1:30" x14ac:dyDescent="0.3">
      <c r="A77" s="128" t="s">
        <v>326</v>
      </c>
      <c r="B77" s="129" t="s">
        <v>318</v>
      </c>
      <c r="C77" s="52" t="s">
        <v>251</v>
      </c>
      <c r="D77" s="53" t="s">
        <v>313</v>
      </c>
      <c r="E77" s="54" t="s">
        <v>310</v>
      </c>
      <c r="F77" s="55">
        <v>0.8</v>
      </c>
      <c r="G77" s="55">
        <v>0.8</v>
      </c>
      <c r="H77" s="55">
        <v>0.7</v>
      </c>
      <c r="I77" s="56">
        <v>9</v>
      </c>
      <c r="J77" s="56">
        <v>1.25</v>
      </c>
      <c r="K77" s="56">
        <f t="shared" si="6"/>
        <v>10.25</v>
      </c>
      <c r="L77" s="57">
        <v>125000</v>
      </c>
      <c r="M77" s="58">
        <v>5000000</v>
      </c>
      <c r="N77" s="57" t="s">
        <v>303</v>
      </c>
      <c r="O77" s="59" t="str">
        <f>ChurchillMatrix[[#This Row],[Experience Level]] &amp; "|" &amp; ChurchillMatrix[[#This Row],[Project Type]] &amp; "|" &amp; ChurchillMatrix[[#This Row],[Loan Type]] &amp; "|" &amp; ChurchillMatrix[[#This Row],[FICO]] &amp; "|" &amp; ChurchillMatrix[[#This Row],[Number of Units]]</f>
        <v>Experienced (3-9) ($5m)|Fix and Flip (Heavy Rehab)|Purchase|680 - 699|5-19 Units</v>
      </c>
      <c r="R77" s="130" t="s">
        <v>327</v>
      </c>
      <c r="S77" s="129" t="s">
        <v>300</v>
      </c>
      <c r="T77" s="52" t="s">
        <v>251</v>
      </c>
      <c r="U77" s="83" t="s">
        <v>259</v>
      </c>
      <c r="V77" s="121" t="s">
        <v>311</v>
      </c>
      <c r="W77" s="63">
        <v>0.65</v>
      </c>
      <c r="X77" s="63">
        <v>0.85</v>
      </c>
      <c r="Y77" s="63">
        <v>0.65</v>
      </c>
      <c r="Z77" s="64">
        <v>100000</v>
      </c>
      <c r="AA77" s="65">
        <v>2500000</v>
      </c>
      <c r="AB77" s="64">
        <v>30000</v>
      </c>
      <c r="AC77" s="66">
        <v>50000</v>
      </c>
      <c r="AD77" s="67" t="str">
        <f>ConstructiveMatrix[[#This Row],[Borrower Experience]] &amp; "|" &amp; ConstructiveMatrix[[#This Row],[Project Type]] &amp; "|" &amp; ConstructiveMatrix[[#This Row],[Loan Type]] &amp; "|" &amp; ConstructiveMatrix[[#This Row],[Dwelling Type]] &amp; "|" &amp; ConstructiveMatrix[[#This Row],[FICO]]</f>
        <v>Gold (3-4)|Fix and Flip (Light Rehab)|Purchase|Non-Warrantable Condo|740+</v>
      </c>
    </row>
    <row r="78" spans="1:30" x14ac:dyDescent="0.3">
      <c r="A78" s="128" t="s">
        <v>326</v>
      </c>
      <c r="B78" s="129" t="s">
        <v>318</v>
      </c>
      <c r="C78" s="52" t="s">
        <v>251</v>
      </c>
      <c r="D78" s="68" t="s">
        <v>315</v>
      </c>
      <c r="E78" s="69" t="s">
        <v>302</v>
      </c>
      <c r="F78" s="131">
        <v>0.85</v>
      </c>
      <c r="G78" s="131">
        <v>0.85</v>
      </c>
      <c r="H78" s="71">
        <v>0.7</v>
      </c>
      <c r="I78" s="72">
        <v>9</v>
      </c>
      <c r="J78" s="72">
        <v>0</v>
      </c>
      <c r="K78" s="72">
        <f t="shared" si="6"/>
        <v>9</v>
      </c>
      <c r="L78" s="73">
        <v>125000</v>
      </c>
      <c r="M78" s="74">
        <v>5000000</v>
      </c>
      <c r="N78" s="73" t="s">
        <v>303</v>
      </c>
      <c r="O78" s="75" t="str">
        <f>ChurchillMatrix[[#This Row],[Experience Level]] &amp; "|" &amp; ChurchillMatrix[[#This Row],[Project Type]] &amp; "|" &amp; ChurchillMatrix[[#This Row],[Loan Type]] &amp; "|" &amp; ChurchillMatrix[[#This Row],[FICO]] &amp; "|" &amp; ChurchillMatrix[[#This Row],[Number of Units]]</f>
        <v>Experienced (3-9) ($5m)|Fix and Flip (Heavy Rehab)|Purchase|&gt;=700|&lt;=4 Units</v>
      </c>
      <c r="R78" s="130" t="s">
        <v>327</v>
      </c>
      <c r="S78" s="129" t="s">
        <v>300</v>
      </c>
      <c r="T78" s="52" t="s">
        <v>251</v>
      </c>
      <c r="U78" s="85" t="s">
        <v>316</v>
      </c>
      <c r="V78" s="120" t="s">
        <v>305</v>
      </c>
      <c r="W78" s="78">
        <v>0.85</v>
      </c>
      <c r="X78" s="78">
        <v>0.85</v>
      </c>
      <c r="Y78" s="78">
        <v>0.75</v>
      </c>
      <c r="Z78" s="79">
        <v>100000</v>
      </c>
      <c r="AA78" s="80">
        <v>2500000</v>
      </c>
      <c r="AB78" s="79">
        <v>30000</v>
      </c>
      <c r="AC78" s="81">
        <v>50000</v>
      </c>
      <c r="AD78" s="82" t="str">
        <f>ConstructiveMatrix[[#This Row],[Borrower Experience]] &amp; "|" &amp; ConstructiveMatrix[[#This Row],[Project Type]] &amp; "|" &amp; ConstructiveMatrix[[#This Row],[Loan Type]] &amp; "|" &amp; ConstructiveMatrix[[#This Row],[Dwelling Type]] &amp; "|" &amp; ConstructiveMatrix[[#This Row],[FICO]]</f>
        <v>Gold (3-4)|Fix and Flip (Light Rehab)|Purchase|Other (2-4 unit)|680-739</v>
      </c>
    </row>
    <row r="79" spans="1:30" ht="15" thickBot="1" x14ac:dyDescent="0.35">
      <c r="A79" s="128" t="s">
        <v>326</v>
      </c>
      <c r="B79" s="129" t="s">
        <v>318</v>
      </c>
      <c r="C79" s="86" t="s">
        <v>251</v>
      </c>
      <c r="D79" s="87" t="s">
        <v>315</v>
      </c>
      <c r="E79" s="88" t="s">
        <v>310</v>
      </c>
      <c r="F79" s="89">
        <v>0.8</v>
      </c>
      <c r="G79" s="89">
        <v>0.8</v>
      </c>
      <c r="H79" s="89">
        <v>0.7</v>
      </c>
      <c r="I79" s="90">
        <v>9</v>
      </c>
      <c r="J79" s="90">
        <v>1</v>
      </c>
      <c r="K79" s="90">
        <f t="shared" si="6"/>
        <v>10</v>
      </c>
      <c r="L79" s="91">
        <v>125000</v>
      </c>
      <c r="M79" s="92">
        <v>5000000</v>
      </c>
      <c r="N79" s="91" t="s">
        <v>303</v>
      </c>
      <c r="O79" s="93" t="str">
        <f>ChurchillMatrix[[#This Row],[Experience Level]] &amp; "|" &amp; ChurchillMatrix[[#This Row],[Project Type]] &amp; "|" &amp; ChurchillMatrix[[#This Row],[Loan Type]] &amp; "|" &amp; ChurchillMatrix[[#This Row],[FICO]] &amp; "|" &amp; ChurchillMatrix[[#This Row],[Number of Units]]</f>
        <v>Experienced (3-9) ($5m)|Fix and Flip (Heavy Rehab)|Purchase|&gt;=700|5-19 Units</v>
      </c>
      <c r="R79" s="130" t="s">
        <v>327</v>
      </c>
      <c r="S79" s="129" t="s">
        <v>300</v>
      </c>
      <c r="T79" s="86" t="s">
        <v>251</v>
      </c>
      <c r="U79" s="94" t="s">
        <v>316</v>
      </c>
      <c r="V79" s="122" t="s">
        <v>311</v>
      </c>
      <c r="W79" s="96">
        <v>0.85</v>
      </c>
      <c r="X79" s="96">
        <v>0.85</v>
      </c>
      <c r="Y79" s="96">
        <v>0.75</v>
      </c>
      <c r="Z79" s="97">
        <v>100000</v>
      </c>
      <c r="AA79" s="98">
        <v>2500000</v>
      </c>
      <c r="AB79" s="97">
        <v>30000</v>
      </c>
      <c r="AC79" s="99">
        <v>50000</v>
      </c>
      <c r="AD79" s="100" t="str">
        <f>ConstructiveMatrix[[#This Row],[Borrower Experience]] &amp; "|" &amp; ConstructiveMatrix[[#This Row],[Project Type]] &amp; "|" &amp; ConstructiveMatrix[[#This Row],[Loan Type]] &amp; "|" &amp; ConstructiveMatrix[[#This Row],[Dwelling Type]] &amp; "|" &amp; ConstructiveMatrix[[#This Row],[FICO]]</f>
        <v>Gold (3-4)|Fix and Flip (Light Rehab)|Purchase|Other (2-4 unit)|740+</v>
      </c>
    </row>
    <row r="80" spans="1:30" x14ac:dyDescent="0.3">
      <c r="A80" s="128" t="s">
        <v>326</v>
      </c>
      <c r="B80" s="129" t="s">
        <v>318</v>
      </c>
      <c r="C80" s="27" t="s">
        <v>249</v>
      </c>
      <c r="D80" s="28" t="s">
        <v>301</v>
      </c>
      <c r="E80" s="29" t="s">
        <v>302</v>
      </c>
      <c r="F80" s="31" t="s">
        <v>303</v>
      </c>
      <c r="G80" s="31" t="s">
        <v>303</v>
      </c>
      <c r="H80" s="31" t="s">
        <v>303</v>
      </c>
      <c r="I80" s="32" t="s">
        <v>303</v>
      </c>
      <c r="J80" s="32" t="s">
        <v>303</v>
      </c>
      <c r="K80" s="32" t="s">
        <v>303</v>
      </c>
      <c r="L80" s="33" t="s">
        <v>303</v>
      </c>
      <c r="M80" s="34" t="s">
        <v>303</v>
      </c>
      <c r="N80" s="33" t="s">
        <v>303</v>
      </c>
      <c r="O80" s="35" t="str">
        <f>ChurchillMatrix[[#This Row],[Experience Level]] &amp; "|" &amp; ChurchillMatrix[[#This Row],[Project Type]] &amp; "|" &amp; ChurchillMatrix[[#This Row],[Loan Type]] &amp; "|" &amp; ChurchillMatrix[[#This Row],[FICO]] &amp; "|" &amp; ChurchillMatrix[[#This Row],[Number of Units]]</f>
        <v>Experienced (3-9) ($5m)|Fix and Flip (Heavy Rehab)|Cash Out Refinance|660 - 679|&lt;=4 Units</v>
      </c>
      <c r="R80" s="130" t="s">
        <v>327</v>
      </c>
      <c r="S80" s="129" t="s">
        <v>300</v>
      </c>
      <c r="T80" s="101" t="s">
        <v>249</v>
      </c>
      <c r="U80" s="37" t="s">
        <v>250</v>
      </c>
      <c r="V80" s="123" t="s">
        <v>305</v>
      </c>
      <c r="W80" s="39">
        <v>0.8</v>
      </c>
      <c r="X80" s="39">
        <v>0.8</v>
      </c>
      <c r="Y80" s="39">
        <v>0.7</v>
      </c>
      <c r="Z80" s="40">
        <v>100000</v>
      </c>
      <c r="AA80" s="41">
        <v>2500000</v>
      </c>
      <c r="AB80" s="40">
        <v>30000</v>
      </c>
      <c r="AC80" s="42">
        <v>50000</v>
      </c>
      <c r="AD80" s="43" t="str">
        <f>ConstructiveMatrix[[#This Row],[Borrower Experience]] &amp; "|" &amp; ConstructiveMatrix[[#This Row],[Project Type]] &amp; "|" &amp; ConstructiveMatrix[[#This Row],[Loan Type]] &amp; "|" &amp; ConstructiveMatrix[[#This Row],[Dwelling Type]] &amp; "|" &amp; ConstructiveMatrix[[#This Row],[FICO]]</f>
        <v>Gold (3-4)|Fix and Flip (Light Rehab)|Cash Out Refinance|Single Family|680-739</v>
      </c>
    </row>
    <row r="81" spans="1:30" x14ac:dyDescent="0.3">
      <c r="A81" s="128" t="s">
        <v>326</v>
      </c>
      <c r="B81" s="129" t="s">
        <v>318</v>
      </c>
      <c r="C81" s="52" t="s">
        <v>249</v>
      </c>
      <c r="D81" s="53" t="s">
        <v>301</v>
      </c>
      <c r="E81" s="54" t="s">
        <v>310</v>
      </c>
      <c r="F81" s="55" t="s">
        <v>303</v>
      </c>
      <c r="G81" s="55" t="s">
        <v>303</v>
      </c>
      <c r="H81" s="55" t="s">
        <v>303</v>
      </c>
      <c r="I81" s="56" t="s">
        <v>303</v>
      </c>
      <c r="J81" s="56" t="s">
        <v>303</v>
      </c>
      <c r="K81" s="56" t="s">
        <v>303</v>
      </c>
      <c r="L81" s="57" t="s">
        <v>303</v>
      </c>
      <c r="M81" s="58" t="s">
        <v>303</v>
      </c>
      <c r="N81" s="57" t="s">
        <v>303</v>
      </c>
      <c r="O81" s="59" t="str">
        <f>ChurchillMatrix[[#This Row],[Experience Level]] &amp; "|" &amp; ChurchillMatrix[[#This Row],[Project Type]] &amp; "|" &amp; ChurchillMatrix[[#This Row],[Loan Type]] &amp; "|" &amp; ChurchillMatrix[[#This Row],[FICO]] &amp; "|" &amp; ChurchillMatrix[[#This Row],[Number of Units]]</f>
        <v>Experienced (3-9) ($5m)|Fix and Flip (Heavy Rehab)|Cash Out Refinance|660 - 679|5-19 Units</v>
      </c>
      <c r="R81" s="130" t="s">
        <v>327</v>
      </c>
      <c r="S81" s="129" t="s">
        <v>300</v>
      </c>
      <c r="T81" s="102" t="s">
        <v>249</v>
      </c>
      <c r="U81" s="61" t="s">
        <v>250</v>
      </c>
      <c r="V81" s="121" t="s">
        <v>311</v>
      </c>
      <c r="W81" s="63">
        <v>0.8</v>
      </c>
      <c r="X81" s="63">
        <v>0.8</v>
      </c>
      <c r="Y81" s="63">
        <v>0.7</v>
      </c>
      <c r="Z81" s="64">
        <v>100000</v>
      </c>
      <c r="AA81" s="65">
        <v>2500000</v>
      </c>
      <c r="AB81" s="64">
        <v>30000</v>
      </c>
      <c r="AC81" s="66">
        <v>50000</v>
      </c>
      <c r="AD81" s="67" t="str">
        <f>ConstructiveMatrix[[#This Row],[Borrower Experience]] &amp; "|" &amp; ConstructiveMatrix[[#This Row],[Project Type]] &amp; "|" &amp; ConstructiveMatrix[[#This Row],[Loan Type]] &amp; "|" &amp; ConstructiveMatrix[[#This Row],[Dwelling Type]] &amp; "|" &amp; ConstructiveMatrix[[#This Row],[FICO]]</f>
        <v>Gold (3-4)|Fix and Flip (Light Rehab)|Cash Out Refinance|Single Family|740+</v>
      </c>
    </row>
    <row r="82" spans="1:30" x14ac:dyDescent="0.3">
      <c r="A82" s="128" t="s">
        <v>326</v>
      </c>
      <c r="B82" s="129" t="s">
        <v>318</v>
      </c>
      <c r="C82" s="52" t="s">
        <v>249</v>
      </c>
      <c r="D82" s="68" t="s">
        <v>313</v>
      </c>
      <c r="E82" s="69" t="s">
        <v>302</v>
      </c>
      <c r="F82" s="71">
        <v>0.85</v>
      </c>
      <c r="G82" s="71">
        <v>0.85</v>
      </c>
      <c r="H82" s="71">
        <v>0.7</v>
      </c>
      <c r="I82" s="72">
        <v>9</v>
      </c>
      <c r="J82" s="72">
        <v>0.75</v>
      </c>
      <c r="K82" s="72">
        <f t="shared" ref="K82:K97" si="7">I82+J82</f>
        <v>9.75</v>
      </c>
      <c r="L82" s="73">
        <v>125000</v>
      </c>
      <c r="M82" s="74">
        <v>5000000</v>
      </c>
      <c r="N82" s="73">
        <v>500000</v>
      </c>
      <c r="O82" s="75" t="str">
        <f>ChurchillMatrix[[#This Row],[Experience Level]] &amp; "|" &amp; ChurchillMatrix[[#This Row],[Project Type]] &amp; "|" &amp; ChurchillMatrix[[#This Row],[Loan Type]] &amp; "|" &amp; ChurchillMatrix[[#This Row],[FICO]] &amp; "|" &amp; ChurchillMatrix[[#This Row],[Number of Units]]</f>
        <v>Experienced (3-9) ($5m)|Fix and Flip (Heavy Rehab)|Cash Out Refinance|680 - 699|&lt;=4 Units</v>
      </c>
      <c r="R82" s="130" t="s">
        <v>327</v>
      </c>
      <c r="S82" s="129" t="s">
        <v>300</v>
      </c>
      <c r="T82" s="102" t="s">
        <v>249</v>
      </c>
      <c r="U82" s="76" t="s">
        <v>259</v>
      </c>
      <c r="V82" s="120" t="s">
        <v>305</v>
      </c>
      <c r="W82" s="78">
        <v>0.65</v>
      </c>
      <c r="X82" s="78">
        <v>0.8</v>
      </c>
      <c r="Y82" s="78">
        <v>0.6</v>
      </c>
      <c r="Z82" s="79">
        <v>100000</v>
      </c>
      <c r="AA82" s="80">
        <v>2500000</v>
      </c>
      <c r="AB82" s="79">
        <v>30000</v>
      </c>
      <c r="AC82" s="81">
        <v>50000</v>
      </c>
      <c r="AD82" s="82" t="str">
        <f>ConstructiveMatrix[[#This Row],[Borrower Experience]] &amp; "|" &amp; ConstructiveMatrix[[#This Row],[Project Type]] &amp; "|" &amp; ConstructiveMatrix[[#This Row],[Loan Type]] &amp; "|" &amp; ConstructiveMatrix[[#This Row],[Dwelling Type]] &amp; "|" &amp; ConstructiveMatrix[[#This Row],[FICO]]</f>
        <v>Gold (3-4)|Fix and Flip (Light Rehab)|Cash Out Refinance|Non-Warrantable Condo|680-739</v>
      </c>
    </row>
    <row r="83" spans="1:30" x14ac:dyDescent="0.3">
      <c r="A83" s="128" t="s">
        <v>326</v>
      </c>
      <c r="B83" s="129" t="s">
        <v>318</v>
      </c>
      <c r="C83" s="52" t="s">
        <v>249</v>
      </c>
      <c r="D83" s="53" t="s">
        <v>313</v>
      </c>
      <c r="E83" s="54" t="s">
        <v>310</v>
      </c>
      <c r="F83" s="55">
        <v>0.8</v>
      </c>
      <c r="G83" s="55">
        <v>0.8</v>
      </c>
      <c r="H83" s="55">
        <v>0.7</v>
      </c>
      <c r="I83" s="56">
        <v>9</v>
      </c>
      <c r="J83" s="56">
        <v>1.75</v>
      </c>
      <c r="K83" s="56">
        <f t="shared" si="7"/>
        <v>10.75</v>
      </c>
      <c r="L83" s="57">
        <v>125000</v>
      </c>
      <c r="M83" s="58">
        <v>5000000</v>
      </c>
      <c r="N83" s="57">
        <v>500000</v>
      </c>
      <c r="O83" s="59" t="str">
        <f>ChurchillMatrix[[#This Row],[Experience Level]] &amp; "|" &amp; ChurchillMatrix[[#This Row],[Project Type]] &amp; "|" &amp; ChurchillMatrix[[#This Row],[Loan Type]] &amp; "|" &amp; ChurchillMatrix[[#This Row],[FICO]] &amp; "|" &amp; ChurchillMatrix[[#This Row],[Number of Units]]</f>
        <v>Experienced (3-9) ($5m)|Fix and Flip (Heavy Rehab)|Cash Out Refinance|680 - 699|5-19 Units</v>
      </c>
      <c r="R83" s="130" t="s">
        <v>327</v>
      </c>
      <c r="S83" s="129" t="s">
        <v>300</v>
      </c>
      <c r="T83" s="102" t="s">
        <v>249</v>
      </c>
      <c r="U83" s="83" t="s">
        <v>259</v>
      </c>
      <c r="V83" s="121" t="s">
        <v>311</v>
      </c>
      <c r="W83" s="63">
        <v>0.65</v>
      </c>
      <c r="X83" s="63">
        <v>0.8</v>
      </c>
      <c r="Y83" s="63">
        <v>0.6</v>
      </c>
      <c r="Z83" s="64">
        <v>100000</v>
      </c>
      <c r="AA83" s="65">
        <v>2500000</v>
      </c>
      <c r="AB83" s="64">
        <v>30000</v>
      </c>
      <c r="AC83" s="66">
        <v>50000</v>
      </c>
      <c r="AD83" s="67" t="str">
        <f>ConstructiveMatrix[[#This Row],[Borrower Experience]] &amp; "|" &amp; ConstructiveMatrix[[#This Row],[Project Type]] &amp; "|" &amp; ConstructiveMatrix[[#This Row],[Loan Type]] &amp; "|" &amp; ConstructiveMatrix[[#This Row],[Dwelling Type]] &amp; "|" &amp; ConstructiveMatrix[[#This Row],[FICO]]</f>
        <v>Gold (3-4)|Fix and Flip (Light Rehab)|Cash Out Refinance|Non-Warrantable Condo|740+</v>
      </c>
    </row>
    <row r="84" spans="1:30" x14ac:dyDescent="0.3">
      <c r="A84" s="128" t="s">
        <v>326</v>
      </c>
      <c r="B84" s="129" t="s">
        <v>318</v>
      </c>
      <c r="C84" s="52" t="s">
        <v>249</v>
      </c>
      <c r="D84" s="68" t="s">
        <v>315</v>
      </c>
      <c r="E84" s="69" t="s">
        <v>302</v>
      </c>
      <c r="F84" s="71">
        <v>0.85</v>
      </c>
      <c r="G84" s="71">
        <v>0.85</v>
      </c>
      <c r="H84" s="71">
        <v>0.7</v>
      </c>
      <c r="I84" s="72">
        <v>9</v>
      </c>
      <c r="J84" s="72">
        <v>0.5</v>
      </c>
      <c r="K84" s="72">
        <f t="shared" si="7"/>
        <v>9.5</v>
      </c>
      <c r="L84" s="73">
        <v>125000</v>
      </c>
      <c r="M84" s="74">
        <v>5000000</v>
      </c>
      <c r="N84" s="73">
        <v>500000</v>
      </c>
      <c r="O84" s="75" t="str">
        <f>ChurchillMatrix[[#This Row],[Experience Level]] &amp; "|" &amp; ChurchillMatrix[[#This Row],[Project Type]] &amp; "|" &amp; ChurchillMatrix[[#This Row],[Loan Type]] &amp; "|" &amp; ChurchillMatrix[[#This Row],[FICO]] &amp; "|" &amp; ChurchillMatrix[[#This Row],[Number of Units]]</f>
        <v>Experienced (3-9) ($5m)|Fix and Flip (Heavy Rehab)|Cash Out Refinance|&gt;=700|&lt;=4 Units</v>
      </c>
      <c r="R84" s="130" t="s">
        <v>327</v>
      </c>
      <c r="S84" s="129" t="s">
        <v>300</v>
      </c>
      <c r="T84" s="102" t="s">
        <v>249</v>
      </c>
      <c r="U84" s="85" t="s">
        <v>316</v>
      </c>
      <c r="V84" s="120" t="s">
        <v>305</v>
      </c>
      <c r="W84" s="78">
        <v>0.8</v>
      </c>
      <c r="X84" s="78">
        <v>0.8</v>
      </c>
      <c r="Y84" s="78">
        <v>0.7</v>
      </c>
      <c r="Z84" s="79">
        <v>100000</v>
      </c>
      <c r="AA84" s="80">
        <v>2500000</v>
      </c>
      <c r="AB84" s="79">
        <v>30000</v>
      </c>
      <c r="AC84" s="81">
        <v>50000</v>
      </c>
      <c r="AD84" s="82" t="str">
        <f>ConstructiveMatrix[[#This Row],[Borrower Experience]] &amp; "|" &amp; ConstructiveMatrix[[#This Row],[Project Type]] &amp; "|" &amp; ConstructiveMatrix[[#This Row],[Loan Type]] &amp; "|" &amp; ConstructiveMatrix[[#This Row],[Dwelling Type]] &amp; "|" &amp; ConstructiveMatrix[[#This Row],[FICO]]</f>
        <v>Gold (3-4)|Fix and Flip (Light Rehab)|Cash Out Refinance|Other (2-4 unit)|680-739</v>
      </c>
    </row>
    <row r="85" spans="1:30" ht="15" thickBot="1" x14ac:dyDescent="0.35">
      <c r="A85" s="128" t="s">
        <v>326</v>
      </c>
      <c r="B85" s="129" t="s">
        <v>318</v>
      </c>
      <c r="C85" s="86" t="s">
        <v>249</v>
      </c>
      <c r="D85" s="87" t="s">
        <v>315</v>
      </c>
      <c r="E85" s="88" t="s">
        <v>310</v>
      </c>
      <c r="F85" s="89">
        <v>0.8</v>
      </c>
      <c r="G85" s="89">
        <v>0.8</v>
      </c>
      <c r="H85" s="89">
        <v>0.7</v>
      </c>
      <c r="I85" s="90">
        <v>9</v>
      </c>
      <c r="J85" s="90">
        <v>1.5</v>
      </c>
      <c r="K85" s="90">
        <f t="shared" si="7"/>
        <v>10.5</v>
      </c>
      <c r="L85" s="91">
        <v>125000</v>
      </c>
      <c r="M85" s="92">
        <v>5000000</v>
      </c>
      <c r="N85" s="91">
        <v>500000</v>
      </c>
      <c r="O85" s="93" t="str">
        <f>ChurchillMatrix[[#This Row],[Experience Level]] &amp; "|" &amp; ChurchillMatrix[[#This Row],[Project Type]] &amp; "|" &amp; ChurchillMatrix[[#This Row],[Loan Type]] &amp; "|" &amp; ChurchillMatrix[[#This Row],[FICO]] &amp; "|" &amp; ChurchillMatrix[[#This Row],[Number of Units]]</f>
        <v>Experienced (3-9) ($5m)|Fix and Flip (Heavy Rehab)|Cash Out Refinance|&gt;=700|5-19 Units</v>
      </c>
      <c r="R85" s="130" t="s">
        <v>327</v>
      </c>
      <c r="S85" s="129" t="s">
        <v>300</v>
      </c>
      <c r="T85" s="103" t="s">
        <v>249</v>
      </c>
      <c r="U85" s="94" t="s">
        <v>316</v>
      </c>
      <c r="V85" s="122" t="s">
        <v>311</v>
      </c>
      <c r="W85" s="96">
        <v>0.8</v>
      </c>
      <c r="X85" s="96">
        <v>0.8</v>
      </c>
      <c r="Y85" s="96">
        <v>0.7</v>
      </c>
      <c r="Z85" s="97">
        <v>100000</v>
      </c>
      <c r="AA85" s="98">
        <v>2500000</v>
      </c>
      <c r="AB85" s="97">
        <v>30000</v>
      </c>
      <c r="AC85" s="99">
        <v>50000</v>
      </c>
      <c r="AD85" s="100" t="str">
        <f>ConstructiveMatrix[[#This Row],[Borrower Experience]] &amp; "|" &amp; ConstructiveMatrix[[#This Row],[Project Type]] &amp; "|" &amp; ConstructiveMatrix[[#This Row],[Loan Type]] &amp; "|" &amp; ConstructiveMatrix[[#This Row],[Dwelling Type]] &amp; "|" &amp; ConstructiveMatrix[[#This Row],[FICO]]</f>
        <v>Gold (3-4)|Fix and Flip (Light Rehab)|Cash Out Refinance|Other (2-4 unit)|740+</v>
      </c>
    </row>
    <row r="86" spans="1:30" x14ac:dyDescent="0.3">
      <c r="A86" s="128" t="s">
        <v>326</v>
      </c>
      <c r="B86" s="129" t="s">
        <v>318</v>
      </c>
      <c r="C86" s="27" t="s">
        <v>256</v>
      </c>
      <c r="D86" s="28" t="s">
        <v>301</v>
      </c>
      <c r="E86" s="29" t="s">
        <v>302</v>
      </c>
      <c r="F86" s="31">
        <v>0.85</v>
      </c>
      <c r="G86" s="31">
        <v>0.85</v>
      </c>
      <c r="H86" s="31">
        <v>0.7</v>
      </c>
      <c r="I86" s="32">
        <v>9</v>
      </c>
      <c r="J86" s="32">
        <v>0.25</v>
      </c>
      <c r="K86" s="32">
        <f t="shared" si="7"/>
        <v>9.25</v>
      </c>
      <c r="L86" s="33">
        <v>125000</v>
      </c>
      <c r="M86" s="34">
        <v>5000000</v>
      </c>
      <c r="N86" s="33" t="s">
        <v>303</v>
      </c>
      <c r="O86" s="35" t="str">
        <f>ChurchillMatrix[[#This Row],[Experience Level]] &amp; "|" &amp; ChurchillMatrix[[#This Row],[Project Type]] &amp; "|" &amp; ChurchillMatrix[[#This Row],[Loan Type]] &amp; "|" &amp; ChurchillMatrix[[#This Row],[FICO]] &amp; "|" &amp; ChurchillMatrix[[#This Row],[Number of Units]]</f>
        <v>Experienced (3-9) ($5m)|Fix and Flip (Heavy Rehab)|Rate and Term Refinance|660 - 679|&lt;=4 Units</v>
      </c>
      <c r="R86" s="130" t="s">
        <v>327</v>
      </c>
      <c r="S86" s="129" t="s">
        <v>300</v>
      </c>
      <c r="T86" s="27" t="s">
        <v>256</v>
      </c>
      <c r="U86" s="37" t="s">
        <v>250</v>
      </c>
      <c r="V86" s="123" t="s">
        <v>305</v>
      </c>
      <c r="W86" s="39">
        <v>0.85</v>
      </c>
      <c r="X86" s="39">
        <v>0.85</v>
      </c>
      <c r="Y86" s="39">
        <v>0.75</v>
      </c>
      <c r="Z86" s="40">
        <v>100000</v>
      </c>
      <c r="AA86" s="41">
        <v>2500000</v>
      </c>
      <c r="AB86" s="40">
        <v>30000</v>
      </c>
      <c r="AC86" s="42">
        <v>50000</v>
      </c>
      <c r="AD86" s="43" t="str">
        <f>ConstructiveMatrix[[#This Row],[Borrower Experience]] &amp; "|" &amp; ConstructiveMatrix[[#This Row],[Project Type]] &amp; "|" &amp; ConstructiveMatrix[[#This Row],[Loan Type]] &amp; "|" &amp; ConstructiveMatrix[[#This Row],[Dwelling Type]] &amp; "|" &amp; ConstructiveMatrix[[#This Row],[FICO]]</f>
        <v>Gold (3-4)|Fix and Flip (Light Rehab)|Rate and Term Refinance|Single Family|680-739</v>
      </c>
    </row>
    <row r="87" spans="1:30" x14ac:dyDescent="0.3">
      <c r="A87" s="128" t="s">
        <v>326</v>
      </c>
      <c r="B87" s="129" t="s">
        <v>318</v>
      </c>
      <c r="C87" s="104" t="s">
        <v>256</v>
      </c>
      <c r="D87" s="53" t="s">
        <v>301</v>
      </c>
      <c r="E87" s="54" t="s">
        <v>310</v>
      </c>
      <c r="F87" s="55">
        <v>0.8</v>
      </c>
      <c r="G87" s="55">
        <v>0.8</v>
      </c>
      <c r="H87" s="55">
        <v>0.7</v>
      </c>
      <c r="I87" s="56">
        <v>9</v>
      </c>
      <c r="J87" s="56">
        <v>1.25</v>
      </c>
      <c r="K87" s="56">
        <f t="shared" si="7"/>
        <v>10.25</v>
      </c>
      <c r="L87" s="57">
        <v>125000</v>
      </c>
      <c r="M87" s="58">
        <v>5000000</v>
      </c>
      <c r="N87" s="57" t="s">
        <v>303</v>
      </c>
      <c r="O87" s="59" t="str">
        <f>ChurchillMatrix[[#This Row],[Experience Level]] &amp; "|" &amp; ChurchillMatrix[[#This Row],[Project Type]] &amp; "|" &amp; ChurchillMatrix[[#This Row],[Loan Type]] &amp; "|" &amp; ChurchillMatrix[[#This Row],[FICO]] &amp; "|" &amp; ChurchillMatrix[[#This Row],[Number of Units]]</f>
        <v>Experienced (3-9) ($5m)|Fix and Flip (Heavy Rehab)|Rate and Term Refinance|660 - 679|5-19 Units</v>
      </c>
      <c r="R87" s="130" t="s">
        <v>327</v>
      </c>
      <c r="S87" s="129" t="s">
        <v>300</v>
      </c>
      <c r="T87" s="52" t="s">
        <v>256</v>
      </c>
      <c r="U87" s="61" t="s">
        <v>250</v>
      </c>
      <c r="V87" s="121" t="s">
        <v>311</v>
      </c>
      <c r="W87" s="63">
        <v>0.85</v>
      </c>
      <c r="X87" s="63">
        <v>0.85</v>
      </c>
      <c r="Y87" s="63">
        <v>0.75</v>
      </c>
      <c r="Z87" s="64">
        <v>100000</v>
      </c>
      <c r="AA87" s="65">
        <v>2500000</v>
      </c>
      <c r="AB87" s="64">
        <v>30000</v>
      </c>
      <c r="AC87" s="66">
        <v>50000</v>
      </c>
      <c r="AD87" s="67" t="str">
        <f>ConstructiveMatrix[[#This Row],[Borrower Experience]] &amp; "|" &amp; ConstructiveMatrix[[#This Row],[Project Type]] &amp; "|" &amp; ConstructiveMatrix[[#This Row],[Loan Type]] &amp; "|" &amp; ConstructiveMatrix[[#This Row],[Dwelling Type]] &amp; "|" &amp; ConstructiveMatrix[[#This Row],[FICO]]</f>
        <v>Gold (3-4)|Fix and Flip (Light Rehab)|Rate and Term Refinance|Single Family|740+</v>
      </c>
    </row>
    <row r="88" spans="1:30" x14ac:dyDescent="0.3">
      <c r="A88" s="128" t="s">
        <v>326</v>
      </c>
      <c r="B88" s="129" t="s">
        <v>318</v>
      </c>
      <c r="C88" s="52" t="s">
        <v>256</v>
      </c>
      <c r="D88" s="68" t="s">
        <v>313</v>
      </c>
      <c r="E88" s="69" t="s">
        <v>302</v>
      </c>
      <c r="F88" s="71">
        <v>0.85</v>
      </c>
      <c r="G88" s="71">
        <v>0.85</v>
      </c>
      <c r="H88" s="71">
        <v>0.7</v>
      </c>
      <c r="I88" s="72">
        <v>9</v>
      </c>
      <c r="J88" s="72">
        <v>0.25</v>
      </c>
      <c r="K88" s="72">
        <f t="shared" si="7"/>
        <v>9.25</v>
      </c>
      <c r="L88" s="73">
        <v>125000</v>
      </c>
      <c r="M88" s="74">
        <v>5000000</v>
      </c>
      <c r="N88" s="73" t="s">
        <v>303</v>
      </c>
      <c r="O88" s="75" t="str">
        <f>ChurchillMatrix[[#This Row],[Experience Level]] &amp; "|" &amp; ChurchillMatrix[[#This Row],[Project Type]] &amp; "|" &amp; ChurchillMatrix[[#This Row],[Loan Type]] &amp; "|" &amp; ChurchillMatrix[[#This Row],[FICO]] &amp; "|" &amp; ChurchillMatrix[[#This Row],[Number of Units]]</f>
        <v>Experienced (3-9) ($5m)|Fix and Flip (Heavy Rehab)|Rate and Term Refinance|680 - 699|&lt;=4 Units</v>
      </c>
      <c r="R88" s="130" t="s">
        <v>327</v>
      </c>
      <c r="S88" s="129" t="s">
        <v>300</v>
      </c>
      <c r="T88" s="52" t="s">
        <v>256</v>
      </c>
      <c r="U88" s="76" t="s">
        <v>259</v>
      </c>
      <c r="V88" s="120" t="s">
        <v>305</v>
      </c>
      <c r="W88" s="78">
        <v>0.65</v>
      </c>
      <c r="X88" s="78">
        <v>0.85</v>
      </c>
      <c r="Y88" s="78">
        <v>0.65</v>
      </c>
      <c r="Z88" s="79">
        <v>100000</v>
      </c>
      <c r="AA88" s="80">
        <v>2500000</v>
      </c>
      <c r="AB88" s="79">
        <v>30000</v>
      </c>
      <c r="AC88" s="81">
        <v>50000</v>
      </c>
      <c r="AD88" s="82" t="str">
        <f>ConstructiveMatrix[[#This Row],[Borrower Experience]] &amp; "|" &amp; ConstructiveMatrix[[#This Row],[Project Type]] &amp; "|" &amp; ConstructiveMatrix[[#This Row],[Loan Type]] &amp; "|" &amp; ConstructiveMatrix[[#This Row],[Dwelling Type]] &amp; "|" &amp; ConstructiveMatrix[[#This Row],[FICO]]</f>
        <v>Gold (3-4)|Fix and Flip (Light Rehab)|Rate and Term Refinance|Non-Warrantable Condo|680-739</v>
      </c>
    </row>
    <row r="89" spans="1:30" x14ac:dyDescent="0.3">
      <c r="A89" s="128" t="s">
        <v>326</v>
      </c>
      <c r="B89" s="129" t="s">
        <v>318</v>
      </c>
      <c r="C89" s="104" t="s">
        <v>256</v>
      </c>
      <c r="D89" s="53" t="s">
        <v>313</v>
      </c>
      <c r="E89" s="54" t="s">
        <v>310</v>
      </c>
      <c r="F89" s="55">
        <v>0.8</v>
      </c>
      <c r="G89" s="55">
        <v>0.8</v>
      </c>
      <c r="H89" s="55">
        <v>0.7</v>
      </c>
      <c r="I89" s="56">
        <v>9</v>
      </c>
      <c r="J89" s="56">
        <v>1.25</v>
      </c>
      <c r="K89" s="56">
        <f t="shared" si="7"/>
        <v>10.25</v>
      </c>
      <c r="L89" s="57">
        <v>125000</v>
      </c>
      <c r="M89" s="58">
        <v>5000000</v>
      </c>
      <c r="N89" s="57" t="s">
        <v>303</v>
      </c>
      <c r="O89" s="59" t="str">
        <f>ChurchillMatrix[[#This Row],[Experience Level]] &amp; "|" &amp; ChurchillMatrix[[#This Row],[Project Type]] &amp; "|" &amp; ChurchillMatrix[[#This Row],[Loan Type]] &amp; "|" &amp; ChurchillMatrix[[#This Row],[FICO]] &amp; "|" &amp; ChurchillMatrix[[#This Row],[Number of Units]]</f>
        <v>Experienced (3-9) ($5m)|Fix and Flip (Heavy Rehab)|Rate and Term Refinance|680 - 699|5-19 Units</v>
      </c>
      <c r="R89" s="130" t="s">
        <v>327</v>
      </c>
      <c r="S89" s="129" t="s">
        <v>300</v>
      </c>
      <c r="T89" s="52" t="s">
        <v>256</v>
      </c>
      <c r="U89" s="83" t="s">
        <v>259</v>
      </c>
      <c r="V89" s="121" t="s">
        <v>311</v>
      </c>
      <c r="W89" s="63">
        <v>0.65</v>
      </c>
      <c r="X89" s="63">
        <v>0.85</v>
      </c>
      <c r="Y89" s="63">
        <v>0.65</v>
      </c>
      <c r="Z89" s="64">
        <v>100000</v>
      </c>
      <c r="AA89" s="65">
        <v>2500000</v>
      </c>
      <c r="AB89" s="64">
        <v>30000</v>
      </c>
      <c r="AC89" s="66">
        <v>50000</v>
      </c>
      <c r="AD89" s="67" t="str">
        <f>ConstructiveMatrix[[#This Row],[Borrower Experience]] &amp; "|" &amp; ConstructiveMatrix[[#This Row],[Project Type]] &amp; "|" &amp; ConstructiveMatrix[[#This Row],[Loan Type]] &amp; "|" &amp; ConstructiveMatrix[[#This Row],[Dwelling Type]] &amp; "|" &amp; ConstructiveMatrix[[#This Row],[FICO]]</f>
        <v>Gold (3-4)|Fix and Flip (Light Rehab)|Rate and Term Refinance|Non-Warrantable Condo|740+</v>
      </c>
    </row>
    <row r="90" spans="1:30" x14ac:dyDescent="0.3">
      <c r="A90" s="128" t="s">
        <v>326</v>
      </c>
      <c r="B90" s="129" t="s">
        <v>318</v>
      </c>
      <c r="C90" s="52" t="s">
        <v>256</v>
      </c>
      <c r="D90" s="68" t="s">
        <v>315</v>
      </c>
      <c r="E90" s="69" t="s">
        <v>302</v>
      </c>
      <c r="F90" s="71">
        <v>0.85</v>
      </c>
      <c r="G90" s="71">
        <v>0.85</v>
      </c>
      <c r="H90" s="71">
        <v>0.7</v>
      </c>
      <c r="I90" s="72">
        <v>9</v>
      </c>
      <c r="J90" s="72">
        <v>0</v>
      </c>
      <c r="K90" s="72">
        <f t="shared" si="7"/>
        <v>9</v>
      </c>
      <c r="L90" s="73">
        <v>125000</v>
      </c>
      <c r="M90" s="74">
        <v>5000000</v>
      </c>
      <c r="N90" s="73" t="s">
        <v>303</v>
      </c>
      <c r="O90" s="75" t="str">
        <f>ChurchillMatrix[[#This Row],[Experience Level]] &amp; "|" &amp; ChurchillMatrix[[#This Row],[Project Type]] &amp; "|" &amp; ChurchillMatrix[[#This Row],[Loan Type]] &amp; "|" &amp; ChurchillMatrix[[#This Row],[FICO]] &amp; "|" &amp; ChurchillMatrix[[#This Row],[Number of Units]]</f>
        <v>Experienced (3-9) ($5m)|Fix and Flip (Heavy Rehab)|Rate and Term Refinance|&gt;=700|&lt;=4 Units</v>
      </c>
      <c r="R90" s="130" t="s">
        <v>327</v>
      </c>
      <c r="S90" s="129" t="s">
        <v>300</v>
      </c>
      <c r="T90" s="52" t="s">
        <v>256</v>
      </c>
      <c r="U90" s="85" t="s">
        <v>316</v>
      </c>
      <c r="V90" s="120" t="s">
        <v>305</v>
      </c>
      <c r="W90" s="78">
        <v>0.85</v>
      </c>
      <c r="X90" s="78">
        <v>0.85</v>
      </c>
      <c r="Y90" s="78">
        <v>0.75</v>
      </c>
      <c r="Z90" s="79">
        <v>100000</v>
      </c>
      <c r="AA90" s="80">
        <v>2500000</v>
      </c>
      <c r="AB90" s="79">
        <v>30000</v>
      </c>
      <c r="AC90" s="81">
        <v>50000</v>
      </c>
      <c r="AD90" s="82" t="str">
        <f>ConstructiveMatrix[[#This Row],[Borrower Experience]] &amp; "|" &amp; ConstructiveMatrix[[#This Row],[Project Type]] &amp; "|" &amp; ConstructiveMatrix[[#This Row],[Loan Type]] &amp; "|" &amp; ConstructiveMatrix[[#This Row],[Dwelling Type]] &amp; "|" &amp; ConstructiveMatrix[[#This Row],[FICO]]</f>
        <v>Gold (3-4)|Fix and Flip (Light Rehab)|Rate and Term Refinance|Other (2-4 unit)|680-739</v>
      </c>
    </row>
    <row r="91" spans="1:30" ht="15" thickBot="1" x14ac:dyDescent="0.35">
      <c r="A91" s="128" t="s">
        <v>326</v>
      </c>
      <c r="B91" s="132" t="s">
        <v>318</v>
      </c>
      <c r="C91" s="86" t="s">
        <v>256</v>
      </c>
      <c r="D91" s="87" t="s">
        <v>315</v>
      </c>
      <c r="E91" s="88" t="s">
        <v>310</v>
      </c>
      <c r="F91" s="89">
        <v>0.8</v>
      </c>
      <c r="G91" s="89">
        <v>0.8</v>
      </c>
      <c r="H91" s="89">
        <v>0.7</v>
      </c>
      <c r="I91" s="90">
        <v>9</v>
      </c>
      <c r="J91" s="90">
        <v>1</v>
      </c>
      <c r="K91" s="90">
        <f t="shared" si="7"/>
        <v>10</v>
      </c>
      <c r="L91" s="91">
        <v>125000</v>
      </c>
      <c r="M91" s="92">
        <v>5000000</v>
      </c>
      <c r="N91" s="91" t="s">
        <v>303</v>
      </c>
      <c r="O91" s="93" t="str">
        <f>ChurchillMatrix[[#This Row],[Experience Level]] &amp; "|" &amp; ChurchillMatrix[[#This Row],[Project Type]] &amp; "|" &amp; ChurchillMatrix[[#This Row],[Loan Type]] &amp; "|" &amp; ChurchillMatrix[[#This Row],[FICO]] &amp; "|" &amp; ChurchillMatrix[[#This Row],[Number of Units]]</f>
        <v>Experienced (3-9) ($5m)|Fix and Flip (Heavy Rehab)|Rate and Term Refinance|&gt;=700|5-19 Units</v>
      </c>
      <c r="R91" s="130" t="s">
        <v>327</v>
      </c>
      <c r="S91" s="132" t="s">
        <v>300</v>
      </c>
      <c r="T91" s="86" t="s">
        <v>256</v>
      </c>
      <c r="U91" s="94" t="s">
        <v>316</v>
      </c>
      <c r="V91" s="122" t="s">
        <v>311</v>
      </c>
      <c r="W91" s="96">
        <v>0.85</v>
      </c>
      <c r="X91" s="96">
        <v>0.85</v>
      </c>
      <c r="Y91" s="96">
        <v>0.75</v>
      </c>
      <c r="Z91" s="97">
        <v>100000</v>
      </c>
      <c r="AA91" s="98">
        <v>2500000</v>
      </c>
      <c r="AB91" s="97">
        <v>30000</v>
      </c>
      <c r="AC91" s="99">
        <v>50000</v>
      </c>
      <c r="AD91" s="100" t="str">
        <f>ConstructiveMatrix[[#This Row],[Borrower Experience]] &amp; "|" &amp; ConstructiveMatrix[[#This Row],[Project Type]] &amp; "|" &amp; ConstructiveMatrix[[#This Row],[Loan Type]] &amp; "|" &amp; ConstructiveMatrix[[#This Row],[Dwelling Type]] &amp; "|" &amp; ConstructiveMatrix[[#This Row],[FICO]]</f>
        <v>Gold (3-4)|Fix and Flip (Light Rehab)|Rate and Term Refinance|Other (2-4 unit)|740+</v>
      </c>
    </row>
    <row r="92" spans="1:30" ht="15" customHeight="1" x14ac:dyDescent="0.3">
      <c r="A92" s="128" t="s">
        <v>326</v>
      </c>
      <c r="B92" s="126" t="s">
        <v>255</v>
      </c>
      <c r="C92" s="27" t="s">
        <v>251</v>
      </c>
      <c r="D92" s="28" t="s">
        <v>301</v>
      </c>
      <c r="E92" s="29" t="s">
        <v>302</v>
      </c>
      <c r="F92" s="31">
        <v>0.75</v>
      </c>
      <c r="G92" s="31">
        <v>0.75</v>
      </c>
      <c r="H92" s="31" t="s">
        <v>303</v>
      </c>
      <c r="I92" s="32">
        <v>8.75</v>
      </c>
      <c r="J92" s="32">
        <v>0.25</v>
      </c>
      <c r="K92" s="32">
        <f t="shared" si="7"/>
        <v>9</v>
      </c>
      <c r="L92" s="33">
        <v>125000</v>
      </c>
      <c r="M92" s="34">
        <v>5000000</v>
      </c>
      <c r="N92" s="33" t="s">
        <v>303</v>
      </c>
      <c r="O92" s="35" t="str">
        <f>ChurchillMatrix[[#This Row],[Experience Level]] &amp; "|" &amp; ChurchillMatrix[[#This Row],[Project Type]] &amp; "|" &amp; ChurchillMatrix[[#This Row],[Loan Type]] &amp; "|" &amp; ChurchillMatrix[[#This Row],[FICO]] &amp; "|" &amp; ChurchillMatrix[[#This Row],[Number of Units]]</f>
        <v>Experienced (3-9) ($5m)|Bridge (No Rehab)|Purchase|660 - 679|&lt;=4 Units</v>
      </c>
      <c r="R92" s="130" t="s">
        <v>327</v>
      </c>
      <c r="S92" s="126" t="s">
        <v>318</v>
      </c>
      <c r="T92" s="27" t="s">
        <v>251</v>
      </c>
      <c r="U92" s="37" t="s">
        <v>250</v>
      </c>
      <c r="V92" s="123" t="s">
        <v>305</v>
      </c>
      <c r="W92" s="39">
        <v>0.8</v>
      </c>
      <c r="X92" s="39">
        <v>0.8</v>
      </c>
      <c r="Y92" s="39">
        <v>0.75</v>
      </c>
      <c r="Z92" s="40">
        <v>100000</v>
      </c>
      <c r="AA92" s="41">
        <v>2500000</v>
      </c>
      <c r="AB92" s="40">
        <v>30000</v>
      </c>
      <c r="AC92" s="42">
        <v>50000</v>
      </c>
      <c r="AD92" s="43" t="str">
        <f>ConstructiveMatrix[[#This Row],[Borrower Experience]] &amp; "|" &amp; ConstructiveMatrix[[#This Row],[Project Type]] &amp; "|" &amp; ConstructiveMatrix[[#This Row],[Loan Type]] &amp; "|" &amp; ConstructiveMatrix[[#This Row],[Dwelling Type]] &amp; "|" &amp; ConstructiveMatrix[[#This Row],[FICO]]</f>
        <v>Gold (3-4)|Fix and Flip (Heavy Rehab)|Purchase|Single Family|680-739</v>
      </c>
    </row>
    <row r="93" spans="1:30" x14ac:dyDescent="0.3">
      <c r="A93" s="128" t="s">
        <v>326</v>
      </c>
      <c r="B93" s="129" t="s">
        <v>255</v>
      </c>
      <c r="C93" s="52" t="s">
        <v>251</v>
      </c>
      <c r="D93" s="53" t="s">
        <v>301</v>
      </c>
      <c r="E93" s="54" t="s">
        <v>310</v>
      </c>
      <c r="F93" s="55">
        <v>0.75</v>
      </c>
      <c r="G93" s="55">
        <v>0.75</v>
      </c>
      <c r="H93" s="55" t="s">
        <v>303</v>
      </c>
      <c r="I93" s="56">
        <v>8.75</v>
      </c>
      <c r="J93" s="56">
        <v>1.25</v>
      </c>
      <c r="K93" s="56">
        <f t="shared" si="7"/>
        <v>10</v>
      </c>
      <c r="L93" s="57">
        <v>125000</v>
      </c>
      <c r="M93" s="58">
        <v>5000000</v>
      </c>
      <c r="N93" s="57" t="s">
        <v>303</v>
      </c>
      <c r="O93" s="59" t="str">
        <f>ChurchillMatrix[[#This Row],[Experience Level]] &amp; "|" &amp; ChurchillMatrix[[#This Row],[Project Type]] &amp; "|" &amp; ChurchillMatrix[[#This Row],[Loan Type]] &amp; "|" &amp; ChurchillMatrix[[#This Row],[FICO]] &amp; "|" &amp; ChurchillMatrix[[#This Row],[Number of Units]]</f>
        <v>Experienced (3-9) ($5m)|Bridge (No Rehab)|Purchase|660 - 679|5-19 Units</v>
      </c>
      <c r="R93" s="130" t="s">
        <v>327</v>
      </c>
      <c r="S93" s="129" t="s">
        <v>318</v>
      </c>
      <c r="T93" s="52" t="s">
        <v>251</v>
      </c>
      <c r="U93" s="61" t="s">
        <v>250</v>
      </c>
      <c r="V93" s="121" t="s">
        <v>311</v>
      </c>
      <c r="W93" s="63">
        <v>0.8</v>
      </c>
      <c r="X93" s="63">
        <v>0.8</v>
      </c>
      <c r="Y93" s="63">
        <v>0.75</v>
      </c>
      <c r="Z93" s="64">
        <v>100000</v>
      </c>
      <c r="AA93" s="65">
        <v>2500000</v>
      </c>
      <c r="AB93" s="64">
        <v>30000</v>
      </c>
      <c r="AC93" s="66">
        <v>50000</v>
      </c>
      <c r="AD93" s="67" t="str">
        <f>ConstructiveMatrix[[#This Row],[Borrower Experience]] &amp; "|" &amp; ConstructiveMatrix[[#This Row],[Project Type]] &amp; "|" &amp; ConstructiveMatrix[[#This Row],[Loan Type]] &amp; "|" &amp; ConstructiveMatrix[[#This Row],[Dwelling Type]] &amp; "|" &amp; ConstructiveMatrix[[#This Row],[FICO]]</f>
        <v>Gold (3-4)|Fix and Flip (Heavy Rehab)|Purchase|Single Family|740+</v>
      </c>
    </row>
    <row r="94" spans="1:30" x14ac:dyDescent="0.3">
      <c r="A94" s="128" t="s">
        <v>326</v>
      </c>
      <c r="B94" s="129" t="s">
        <v>255</v>
      </c>
      <c r="C94" s="52" t="s">
        <v>251</v>
      </c>
      <c r="D94" s="68" t="s">
        <v>313</v>
      </c>
      <c r="E94" s="69" t="s">
        <v>302</v>
      </c>
      <c r="F94" s="124">
        <v>0.75</v>
      </c>
      <c r="G94" s="124">
        <v>0.75</v>
      </c>
      <c r="H94" s="71" t="s">
        <v>303</v>
      </c>
      <c r="I94" s="72">
        <v>8.75</v>
      </c>
      <c r="J94" s="72">
        <v>0.25</v>
      </c>
      <c r="K94" s="72">
        <f t="shared" si="7"/>
        <v>9</v>
      </c>
      <c r="L94" s="73">
        <v>125000</v>
      </c>
      <c r="M94" s="74">
        <v>5000000</v>
      </c>
      <c r="N94" s="73" t="s">
        <v>303</v>
      </c>
      <c r="O94" s="75" t="str">
        <f>ChurchillMatrix[[#This Row],[Experience Level]] &amp; "|" &amp; ChurchillMatrix[[#This Row],[Project Type]] &amp; "|" &amp; ChurchillMatrix[[#This Row],[Loan Type]] &amp; "|" &amp; ChurchillMatrix[[#This Row],[FICO]] &amp; "|" &amp; ChurchillMatrix[[#This Row],[Number of Units]]</f>
        <v>Experienced (3-9) ($5m)|Bridge (No Rehab)|Purchase|680 - 699|&lt;=4 Units</v>
      </c>
      <c r="R94" s="130" t="s">
        <v>327</v>
      </c>
      <c r="S94" s="129" t="s">
        <v>318</v>
      </c>
      <c r="T94" s="52" t="s">
        <v>251</v>
      </c>
      <c r="U94" s="76" t="s">
        <v>259</v>
      </c>
      <c r="V94" s="120" t="s">
        <v>305</v>
      </c>
      <c r="W94" s="78">
        <v>0.65</v>
      </c>
      <c r="X94" s="78">
        <v>0.8</v>
      </c>
      <c r="Y94" s="78">
        <v>0.65</v>
      </c>
      <c r="Z94" s="79">
        <v>100000</v>
      </c>
      <c r="AA94" s="80">
        <v>2500000</v>
      </c>
      <c r="AB94" s="79">
        <v>30000</v>
      </c>
      <c r="AC94" s="81">
        <v>50000</v>
      </c>
      <c r="AD94" s="82" t="str">
        <f>ConstructiveMatrix[[#This Row],[Borrower Experience]] &amp; "|" &amp; ConstructiveMatrix[[#This Row],[Project Type]] &amp; "|" &amp; ConstructiveMatrix[[#This Row],[Loan Type]] &amp; "|" &amp; ConstructiveMatrix[[#This Row],[Dwelling Type]] &amp; "|" &amp; ConstructiveMatrix[[#This Row],[FICO]]</f>
        <v>Gold (3-4)|Fix and Flip (Heavy Rehab)|Purchase|Non-Warrantable Condo|680-739</v>
      </c>
    </row>
    <row r="95" spans="1:30" x14ac:dyDescent="0.3">
      <c r="A95" s="128" t="s">
        <v>326</v>
      </c>
      <c r="B95" s="129" t="s">
        <v>255</v>
      </c>
      <c r="C95" s="52" t="s">
        <v>251</v>
      </c>
      <c r="D95" s="53" t="s">
        <v>313</v>
      </c>
      <c r="E95" s="54" t="s">
        <v>310</v>
      </c>
      <c r="F95" s="55">
        <v>0.75</v>
      </c>
      <c r="G95" s="55">
        <v>0.75</v>
      </c>
      <c r="H95" s="55" t="s">
        <v>303</v>
      </c>
      <c r="I95" s="56">
        <v>8.75</v>
      </c>
      <c r="J95" s="56">
        <v>1.25</v>
      </c>
      <c r="K95" s="56">
        <f t="shared" si="7"/>
        <v>10</v>
      </c>
      <c r="L95" s="57">
        <v>125000</v>
      </c>
      <c r="M95" s="58">
        <v>5000000</v>
      </c>
      <c r="N95" s="57" t="s">
        <v>303</v>
      </c>
      <c r="O95" s="59" t="str">
        <f>ChurchillMatrix[[#This Row],[Experience Level]] &amp; "|" &amp; ChurchillMatrix[[#This Row],[Project Type]] &amp; "|" &amp; ChurchillMatrix[[#This Row],[Loan Type]] &amp; "|" &amp; ChurchillMatrix[[#This Row],[FICO]] &amp; "|" &amp; ChurchillMatrix[[#This Row],[Number of Units]]</f>
        <v>Experienced (3-9) ($5m)|Bridge (No Rehab)|Purchase|680 - 699|5-19 Units</v>
      </c>
      <c r="R95" s="130" t="s">
        <v>327</v>
      </c>
      <c r="S95" s="129" t="s">
        <v>318</v>
      </c>
      <c r="T95" s="52" t="s">
        <v>251</v>
      </c>
      <c r="U95" s="83" t="s">
        <v>259</v>
      </c>
      <c r="V95" s="121" t="s">
        <v>311</v>
      </c>
      <c r="W95" s="63">
        <v>0.65</v>
      </c>
      <c r="X95" s="63">
        <v>0.8</v>
      </c>
      <c r="Y95" s="63">
        <v>0.65</v>
      </c>
      <c r="Z95" s="64">
        <v>100000</v>
      </c>
      <c r="AA95" s="65">
        <v>2500000</v>
      </c>
      <c r="AB95" s="64">
        <v>30000</v>
      </c>
      <c r="AC95" s="66">
        <v>50000</v>
      </c>
      <c r="AD95" s="67" t="str">
        <f>ConstructiveMatrix[[#This Row],[Borrower Experience]] &amp; "|" &amp; ConstructiveMatrix[[#This Row],[Project Type]] &amp; "|" &amp; ConstructiveMatrix[[#This Row],[Loan Type]] &amp; "|" &amp; ConstructiveMatrix[[#This Row],[Dwelling Type]] &amp; "|" &amp; ConstructiveMatrix[[#This Row],[FICO]]</f>
        <v>Gold (3-4)|Fix and Flip (Heavy Rehab)|Purchase|Non-Warrantable Condo|740+</v>
      </c>
    </row>
    <row r="96" spans="1:30" x14ac:dyDescent="0.3">
      <c r="A96" s="128" t="s">
        <v>326</v>
      </c>
      <c r="B96" s="129" t="s">
        <v>255</v>
      </c>
      <c r="C96" s="52" t="s">
        <v>251</v>
      </c>
      <c r="D96" s="68" t="s">
        <v>315</v>
      </c>
      <c r="E96" s="69" t="s">
        <v>302</v>
      </c>
      <c r="F96" s="124">
        <v>0.75</v>
      </c>
      <c r="G96" s="124">
        <v>0.75</v>
      </c>
      <c r="H96" s="71" t="s">
        <v>303</v>
      </c>
      <c r="I96" s="72">
        <v>8.75</v>
      </c>
      <c r="J96" s="72">
        <v>0</v>
      </c>
      <c r="K96" s="72">
        <f t="shared" si="7"/>
        <v>8.75</v>
      </c>
      <c r="L96" s="73">
        <v>125000</v>
      </c>
      <c r="M96" s="74">
        <v>5000000</v>
      </c>
      <c r="N96" s="73" t="s">
        <v>303</v>
      </c>
      <c r="O96" s="75" t="str">
        <f>ChurchillMatrix[[#This Row],[Experience Level]] &amp; "|" &amp; ChurchillMatrix[[#This Row],[Project Type]] &amp; "|" &amp; ChurchillMatrix[[#This Row],[Loan Type]] &amp; "|" &amp; ChurchillMatrix[[#This Row],[FICO]] &amp; "|" &amp; ChurchillMatrix[[#This Row],[Number of Units]]</f>
        <v>Experienced (3-9) ($5m)|Bridge (No Rehab)|Purchase|&gt;=700|&lt;=4 Units</v>
      </c>
      <c r="R96" s="130" t="s">
        <v>327</v>
      </c>
      <c r="S96" s="129" t="s">
        <v>318</v>
      </c>
      <c r="T96" s="52" t="s">
        <v>251</v>
      </c>
      <c r="U96" s="85" t="s">
        <v>316</v>
      </c>
      <c r="V96" s="120" t="s">
        <v>305</v>
      </c>
      <c r="W96" s="78">
        <v>0.8</v>
      </c>
      <c r="X96" s="78">
        <v>0.8</v>
      </c>
      <c r="Y96" s="78">
        <v>0.75</v>
      </c>
      <c r="Z96" s="79">
        <v>100000</v>
      </c>
      <c r="AA96" s="80">
        <v>2500000</v>
      </c>
      <c r="AB96" s="79">
        <v>30000</v>
      </c>
      <c r="AC96" s="81">
        <v>50000</v>
      </c>
      <c r="AD96" s="82" t="str">
        <f>ConstructiveMatrix[[#This Row],[Borrower Experience]] &amp; "|" &amp; ConstructiveMatrix[[#This Row],[Project Type]] &amp; "|" &amp; ConstructiveMatrix[[#This Row],[Loan Type]] &amp; "|" &amp; ConstructiveMatrix[[#This Row],[Dwelling Type]] &amp; "|" &amp; ConstructiveMatrix[[#This Row],[FICO]]</f>
        <v>Gold (3-4)|Fix and Flip (Heavy Rehab)|Purchase|Other (2-4 unit)|680-739</v>
      </c>
    </row>
    <row r="97" spans="1:30" ht="15" thickBot="1" x14ac:dyDescent="0.35">
      <c r="A97" s="128" t="s">
        <v>326</v>
      </c>
      <c r="B97" s="129" t="s">
        <v>255</v>
      </c>
      <c r="C97" s="86" t="s">
        <v>251</v>
      </c>
      <c r="D97" s="87" t="s">
        <v>315</v>
      </c>
      <c r="E97" s="88" t="s">
        <v>310</v>
      </c>
      <c r="F97" s="89">
        <v>0.75</v>
      </c>
      <c r="G97" s="89">
        <v>0.75</v>
      </c>
      <c r="H97" s="89" t="s">
        <v>303</v>
      </c>
      <c r="I97" s="90">
        <v>8.75</v>
      </c>
      <c r="J97" s="90">
        <v>1</v>
      </c>
      <c r="K97" s="90">
        <f t="shared" si="7"/>
        <v>9.75</v>
      </c>
      <c r="L97" s="91">
        <v>125000</v>
      </c>
      <c r="M97" s="92">
        <v>5000000</v>
      </c>
      <c r="N97" s="91" t="s">
        <v>303</v>
      </c>
      <c r="O97" s="93" t="str">
        <f>ChurchillMatrix[[#This Row],[Experience Level]] &amp; "|" &amp; ChurchillMatrix[[#This Row],[Project Type]] &amp; "|" &amp; ChurchillMatrix[[#This Row],[Loan Type]] &amp; "|" &amp; ChurchillMatrix[[#This Row],[FICO]] &amp; "|" &amp; ChurchillMatrix[[#This Row],[Number of Units]]</f>
        <v>Experienced (3-9) ($5m)|Bridge (No Rehab)|Purchase|&gt;=700|5-19 Units</v>
      </c>
      <c r="R97" s="130" t="s">
        <v>327</v>
      </c>
      <c r="S97" s="129" t="s">
        <v>318</v>
      </c>
      <c r="T97" s="86" t="s">
        <v>251</v>
      </c>
      <c r="U97" s="94" t="s">
        <v>316</v>
      </c>
      <c r="V97" s="122" t="s">
        <v>311</v>
      </c>
      <c r="W97" s="96">
        <v>0.8</v>
      </c>
      <c r="X97" s="96">
        <v>0.8</v>
      </c>
      <c r="Y97" s="96">
        <v>0.75</v>
      </c>
      <c r="Z97" s="97">
        <v>100000</v>
      </c>
      <c r="AA97" s="98">
        <v>2500000</v>
      </c>
      <c r="AB97" s="97">
        <v>30000</v>
      </c>
      <c r="AC97" s="99">
        <v>50000</v>
      </c>
      <c r="AD97" s="100" t="str">
        <f>ConstructiveMatrix[[#This Row],[Borrower Experience]] &amp; "|" &amp; ConstructiveMatrix[[#This Row],[Project Type]] &amp; "|" &amp; ConstructiveMatrix[[#This Row],[Loan Type]] &amp; "|" &amp; ConstructiveMatrix[[#This Row],[Dwelling Type]] &amp; "|" &amp; ConstructiveMatrix[[#This Row],[FICO]]</f>
        <v>Gold (3-4)|Fix and Flip (Heavy Rehab)|Purchase|Other (2-4 unit)|740+</v>
      </c>
    </row>
    <row r="98" spans="1:30" x14ac:dyDescent="0.3">
      <c r="A98" s="128" t="s">
        <v>326</v>
      </c>
      <c r="B98" s="129" t="s">
        <v>255</v>
      </c>
      <c r="C98" s="27" t="s">
        <v>249</v>
      </c>
      <c r="D98" s="28" t="s">
        <v>301</v>
      </c>
      <c r="E98" s="29" t="s">
        <v>302</v>
      </c>
      <c r="F98" s="31" t="s">
        <v>303</v>
      </c>
      <c r="G98" s="31" t="s">
        <v>303</v>
      </c>
      <c r="H98" s="31" t="s">
        <v>303</v>
      </c>
      <c r="I98" s="32" t="s">
        <v>303</v>
      </c>
      <c r="J98" s="32" t="s">
        <v>303</v>
      </c>
      <c r="K98" s="32" t="s">
        <v>303</v>
      </c>
      <c r="L98" s="33" t="s">
        <v>303</v>
      </c>
      <c r="M98" s="34" t="s">
        <v>303</v>
      </c>
      <c r="N98" s="33" t="s">
        <v>303</v>
      </c>
      <c r="O98" s="35" t="str">
        <f>ChurchillMatrix[[#This Row],[Experience Level]] &amp; "|" &amp; ChurchillMatrix[[#This Row],[Project Type]] &amp; "|" &amp; ChurchillMatrix[[#This Row],[Loan Type]] &amp; "|" &amp; ChurchillMatrix[[#This Row],[FICO]] &amp; "|" &amp; ChurchillMatrix[[#This Row],[Number of Units]]</f>
        <v>Experienced (3-9) ($5m)|Bridge (No Rehab)|Cash Out Refinance|660 - 679|&lt;=4 Units</v>
      </c>
      <c r="R98" s="130" t="s">
        <v>327</v>
      </c>
      <c r="S98" s="129" t="s">
        <v>318</v>
      </c>
      <c r="T98" s="101" t="s">
        <v>249</v>
      </c>
      <c r="U98" s="37" t="s">
        <v>250</v>
      </c>
      <c r="V98" s="123" t="s">
        <v>305</v>
      </c>
      <c r="W98" s="39">
        <v>0.75</v>
      </c>
      <c r="X98" s="39">
        <v>0.75</v>
      </c>
      <c r="Y98" s="39">
        <v>0.7</v>
      </c>
      <c r="Z98" s="40">
        <v>100000</v>
      </c>
      <c r="AA98" s="41">
        <v>2500000</v>
      </c>
      <c r="AB98" s="40">
        <v>30000</v>
      </c>
      <c r="AC98" s="42">
        <v>50000</v>
      </c>
      <c r="AD98" s="43" t="str">
        <f>ConstructiveMatrix[[#This Row],[Borrower Experience]] &amp; "|" &amp; ConstructiveMatrix[[#This Row],[Project Type]] &amp; "|" &amp; ConstructiveMatrix[[#This Row],[Loan Type]] &amp; "|" &amp; ConstructiveMatrix[[#This Row],[Dwelling Type]] &amp; "|" &amp; ConstructiveMatrix[[#This Row],[FICO]]</f>
        <v>Gold (3-4)|Fix and Flip (Heavy Rehab)|Cash Out Refinance|Single Family|680-739</v>
      </c>
    </row>
    <row r="99" spans="1:30" x14ac:dyDescent="0.3">
      <c r="A99" s="128" t="s">
        <v>326</v>
      </c>
      <c r="B99" s="129" t="s">
        <v>255</v>
      </c>
      <c r="C99" s="52" t="s">
        <v>249</v>
      </c>
      <c r="D99" s="53" t="s">
        <v>301</v>
      </c>
      <c r="E99" s="54" t="s">
        <v>310</v>
      </c>
      <c r="F99" s="55" t="s">
        <v>303</v>
      </c>
      <c r="G99" s="55" t="s">
        <v>303</v>
      </c>
      <c r="H99" s="55" t="s">
        <v>303</v>
      </c>
      <c r="I99" s="56" t="s">
        <v>303</v>
      </c>
      <c r="J99" s="56" t="s">
        <v>303</v>
      </c>
      <c r="K99" s="56" t="s">
        <v>303</v>
      </c>
      <c r="L99" s="57" t="s">
        <v>303</v>
      </c>
      <c r="M99" s="58" t="s">
        <v>303</v>
      </c>
      <c r="N99" s="57" t="s">
        <v>303</v>
      </c>
      <c r="O99" s="59" t="str">
        <f>ChurchillMatrix[[#This Row],[Experience Level]] &amp; "|" &amp; ChurchillMatrix[[#This Row],[Project Type]] &amp; "|" &amp; ChurchillMatrix[[#This Row],[Loan Type]] &amp; "|" &amp; ChurchillMatrix[[#This Row],[FICO]] &amp; "|" &amp; ChurchillMatrix[[#This Row],[Number of Units]]</f>
        <v>Experienced (3-9) ($5m)|Bridge (No Rehab)|Cash Out Refinance|660 - 679|5-19 Units</v>
      </c>
      <c r="R99" s="130" t="s">
        <v>327</v>
      </c>
      <c r="S99" s="129" t="s">
        <v>318</v>
      </c>
      <c r="T99" s="102" t="s">
        <v>249</v>
      </c>
      <c r="U99" s="61" t="s">
        <v>250</v>
      </c>
      <c r="V99" s="121" t="s">
        <v>311</v>
      </c>
      <c r="W99" s="63">
        <v>0.75</v>
      </c>
      <c r="X99" s="63">
        <v>0.75</v>
      </c>
      <c r="Y99" s="63">
        <v>0.7</v>
      </c>
      <c r="Z99" s="64">
        <v>100000</v>
      </c>
      <c r="AA99" s="65">
        <v>2500000</v>
      </c>
      <c r="AB99" s="64">
        <v>30000</v>
      </c>
      <c r="AC99" s="66">
        <v>50000</v>
      </c>
      <c r="AD99" s="67" t="str">
        <f>ConstructiveMatrix[[#This Row],[Borrower Experience]] &amp; "|" &amp; ConstructiveMatrix[[#This Row],[Project Type]] &amp; "|" &amp; ConstructiveMatrix[[#This Row],[Loan Type]] &amp; "|" &amp; ConstructiveMatrix[[#This Row],[Dwelling Type]] &amp; "|" &amp; ConstructiveMatrix[[#This Row],[FICO]]</f>
        <v>Gold (3-4)|Fix and Flip (Heavy Rehab)|Cash Out Refinance|Single Family|740+</v>
      </c>
    </row>
    <row r="100" spans="1:30" x14ac:dyDescent="0.3">
      <c r="A100" s="128" t="s">
        <v>326</v>
      </c>
      <c r="B100" s="129" t="s">
        <v>255</v>
      </c>
      <c r="C100" s="52" t="s">
        <v>249</v>
      </c>
      <c r="D100" s="68" t="s">
        <v>313</v>
      </c>
      <c r="E100" s="69" t="s">
        <v>302</v>
      </c>
      <c r="F100" s="71">
        <v>0.75</v>
      </c>
      <c r="G100" s="71">
        <v>0.75</v>
      </c>
      <c r="H100" s="71" t="s">
        <v>303</v>
      </c>
      <c r="I100" s="72">
        <v>8.75</v>
      </c>
      <c r="J100" s="72">
        <v>0.75</v>
      </c>
      <c r="K100" s="72">
        <f t="shared" ref="K100:K109" si="8">I100+J100</f>
        <v>9.5</v>
      </c>
      <c r="L100" s="73">
        <v>125000</v>
      </c>
      <c r="M100" s="74">
        <v>5000000</v>
      </c>
      <c r="N100" s="73">
        <v>500000</v>
      </c>
      <c r="O100" s="75" t="str">
        <f>ChurchillMatrix[[#This Row],[Experience Level]] &amp; "|" &amp; ChurchillMatrix[[#This Row],[Project Type]] &amp; "|" &amp; ChurchillMatrix[[#This Row],[Loan Type]] &amp; "|" &amp; ChurchillMatrix[[#This Row],[FICO]] &amp; "|" &amp; ChurchillMatrix[[#This Row],[Number of Units]]</f>
        <v>Experienced (3-9) ($5m)|Bridge (No Rehab)|Cash Out Refinance|680 - 699|&lt;=4 Units</v>
      </c>
      <c r="R100" s="130" t="s">
        <v>327</v>
      </c>
      <c r="S100" s="129" t="s">
        <v>318</v>
      </c>
      <c r="T100" s="102" t="s">
        <v>249</v>
      </c>
      <c r="U100" s="76" t="s">
        <v>259</v>
      </c>
      <c r="V100" s="120" t="s">
        <v>305</v>
      </c>
      <c r="W100" s="78">
        <v>0.65</v>
      </c>
      <c r="X100" s="78">
        <v>0.75</v>
      </c>
      <c r="Y100" s="78">
        <v>0.6</v>
      </c>
      <c r="Z100" s="79">
        <v>100000</v>
      </c>
      <c r="AA100" s="80">
        <v>2500000</v>
      </c>
      <c r="AB100" s="79">
        <v>30000</v>
      </c>
      <c r="AC100" s="81">
        <v>50000</v>
      </c>
      <c r="AD100" s="82" t="str">
        <f>ConstructiveMatrix[[#This Row],[Borrower Experience]] &amp; "|" &amp; ConstructiveMatrix[[#This Row],[Project Type]] &amp; "|" &amp; ConstructiveMatrix[[#This Row],[Loan Type]] &amp; "|" &amp; ConstructiveMatrix[[#This Row],[Dwelling Type]] &amp; "|" &amp; ConstructiveMatrix[[#This Row],[FICO]]</f>
        <v>Gold (3-4)|Fix and Flip (Heavy Rehab)|Cash Out Refinance|Non-Warrantable Condo|680-739</v>
      </c>
    </row>
    <row r="101" spans="1:30" x14ac:dyDescent="0.3">
      <c r="A101" s="128" t="s">
        <v>326</v>
      </c>
      <c r="B101" s="129" t="s">
        <v>255</v>
      </c>
      <c r="C101" s="52" t="s">
        <v>249</v>
      </c>
      <c r="D101" s="53" t="s">
        <v>313</v>
      </c>
      <c r="E101" s="54" t="s">
        <v>310</v>
      </c>
      <c r="F101" s="55">
        <v>0.75</v>
      </c>
      <c r="G101" s="55">
        <v>0.75</v>
      </c>
      <c r="H101" s="55" t="s">
        <v>303</v>
      </c>
      <c r="I101" s="56">
        <v>8.75</v>
      </c>
      <c r="J101" s="56">
        <v>1.75</v>
      </c>
      <c r="K101" s="56">
        <f t="shared" si="8"/>
        <v>10.5</v>
      </c>
      <c r="L101" s="57">
        <v>125000</v>
      </c>
      <c r="M101" s="58">
        <v>5000000</v>
      </c>
      <c r="N101" s="57">
        <v>500000</v>
      </c>
      <c r="O101" s="59" t="str">
        <f>ChurchillMatrix[[#This Row],[Experience Level]] &amp; "|" &amp; ChurchillMatrix[[#This Row],[Project Type]] &amp; "|" &amp; ChurchillMatrix[[#This Row],[Loan Type]] &amp; "|" &amp; ChurchillMatrix[[#This Row],[FICO]] &amp; "|" &amp; ChurchillMatrix[[#This Row],[Number of Units]]</f>
        <v>Experienced (3-9) ($5m)|Bridge (No Rehab)|Cash Out Refinance|680 - 699|5-19 Units</v>
      </c>
      <c r="R101" s="130" t="s">
        <v>327</v>
      </c>
      <c r="S101" s="129" t="s">
        <v>318</v>
      </c>
      <c r="T101" s="102" t="s">
        <v>249</v>
      </c>
      <c r="U101" s="83" t="s">
        <v>259</v>
      </c>
      <c r="V101" s="121" t="s">
        <v>311</v>
      </c>
      <c r="W101" s="63">
        <v>0.65</v>
      </c>
      <c r="X101" s="63">
        <v>0.75</v>
      </c>
      <c r="Y101" s="63">
        <v>0.6</v>
      </c>
      <c r="Z101" s="64">
        <v>100000</v>
      </c>
      <c r="AA101" s="65">
        <v>2500000</v>
      </c>
      <c r="AB101" s="64">
        <v>30000</v>
      </c>
      <c r="AC101" s="66">
        <v>50000</v>
      </c>
      <c r="AD101" s="67" t="str">
        <f>ConstructiveMatrix[[#This Row],[Borrower Experience]] &amp; "|" &amp; ConstructiveMatrix[[#This Row],[Project Type]] &amp; "|" &amp; ConstructiveMatrix[[#This Row],[Loan Type]] &amp; "|" &amp; ConstructiveMatrix[[#This Row],[Dwelling Type]] &amp; "|" &amp; ConstructiveMatrix[[#This Row],[FICO]]</f>
        <v>Gold (3-4)|Fix and Flip (Heavy Rehab)|Cash Out Refinance|Non-Warrantable Condo|740+</v>
      </c>
    </row>
    <row r="102" spans="1:30" x14ac:dyDescent="0.3">
      <c r="A102" s="128" t="s">
        <v>326</v>
      </c>
      <c r="B102" s="129" t="s">
        <v>255</v>
      </c>
      <c r="C102" s="52" t="s">
        <v>249</v>
      </c>
      <c r="D102" s="68" t="s">
        <v>315</v>
      </c>
      <c r="E102" s="69" t="s">
        <v>302</v>
      </c>
      <c r="F102" s="71">
        <v>0.75</v>
      </c>
      <c r="G102" s="71">
        <v>0.75</v>
      </c>
      <c r="H102" s="71" t="s">
        <v>303</v>
      </c>
      <c r="I102" s="72">
        <v>8.75</v>
      </c>
      <c r="J102" s="72">
        <v>0.5</v>
      </c>
      <c r="K102" s="72">
        <f t="shared" si="8"/>
        <v>9.25</v>
      </c>
      <c r="L102" s="73">
        <v>125000</v>
      </c>
      <c r="M102" s="74">
        <v>5000000</v>
      </c>
      <c r="N102" s="73">
        <v>500000</v>
      </c>
      <c r="O102" s="75" t="str">
        <f>ChurchillMatrix[[#This Row],[Experience Level]] &amp; "|" &amp; ChurchillMatrix[[#This Row],[Project Type]] &amp; "|" &amp; ChurchillMatrix[[#This Row],[Loan Type]] &amp; "|" &amp; ChurchillMatrix[[#This Row],[FICO]] &amp; "|" &amp; ChurchillMatrix[[#This Row],[Number of Units]]</f>
        <v>Experienced (3-9) ($5m)|Bridge (No Rehab)|Cash Out Refinance|&gt;=700|&lt;=4 Units</v>
      </c>
      <c r="R102" s="130" t="s">
        <v>327</v>
      </c>
      <c r="S102" s="129" t="s">
        <v>318</v>
      </c>
      <c r="T102" s="102" t="s">
        <v>249</v>
      </c>
      <c r="U102" s="85" t="s">
        <v>316</v>
      </c>
      <c r="V102" s="120" t="s">
        <v>305</v>
      </c>
      <c r="W102" s="78">
        <v>0.75</v>
      </c>
      <c r="X102" s="78">
        <v>0.75</v>
      </c>
      <c r="Y102" s="78">
        <v>0.7</v>
      </c>
      <c r="Z102" s="79">
        <v>100000</v>
      </c>
      <c r="AA102" s="80">
        <v>2500000</v>
      </c>
      <c r="AB102" s="79">
        <v>30000</v>
      </c>
      <c r="AC102" s="81">
        <v>50000</v>
      </c>
      <c r="AD102" s="82" t="str">
        <f>ConstructiveMatrix[[#This Row],[Borrower Experience]] &amp; "|" &amp; ConstructiveMatrix[[#This Row],[Project Type]] &amp; "|" &amp; ConstructiveMatrix[[#This Row],[Loan Type]] &amp; "|" &amp; ConstructiveMatrix[[#This Row],[Dwelling Type]] &amp; "|" &amp; ConstructiveMatrix[[#This Row],[FICO]]</f>
        <v>Gold (3-4)|Fix and Flip (Heavy Rehab)|Cash Out Refinance|Other (2-4 unit)|680-739</v>
      </c>
    </row>
    <row r="103" spans="1:30" ht="15" thickBot="1" x14ac:dyDescent="0.35">
      <c r="A103" s="128" t="s">
        <v>326</v>
      </c>
      <c r="B103" s="129" t="s">
        <v>255</v>
      </c>
      <c r="C103" s="86" t="s">
        <v>249</v>
      </c>
      <c r="D103" s="87" t="s">
        <v>315</v>
      </c>
      <c r="E103" s="88" t="s">
        <v>310</v>
      </c>
      <c r="F103" s="89">
        <v>0.75</v>
      </c>
      <c r="G103" s="89">
        <v>0.75</v>
      </c>
      <c r="H103" s="89" t="s">
        <v>303</v>
      </c>
      <c r="I103" s="90">
        <v>8.75</v>
      </c>
      <c r="J103" s="90">
        <v>1.5</v>
      </c>
      <c r="K103" s="90">
        <f t="shared" si="8"/>
        <v>10.25</v>
      </c>
      <c r="L103" s="91">
        <v>125000</v>
      </c>
      <c r="M103" s="92">
        <v>5000000</v>
      </c>
      <c r="N103" s="91">
        <v>500000</v>
      </c>
      <c r="O103" s="93" t="str">
        <f>ChurchillMatrix[[#This Row],[Experience Level]] &amp; "|" &amp; ChurchillMatrix[[#This Row],[Project Type]] &amp; "|" &amp; ChurchillMatrix[[#This Row],[Loan Type]] &amp; "|" &amp; ChurchillMatrix[[#This Row],[FICO]] &amp; "|" &amp; ChurchillMatrix[[#This Row],[Number of Units]]</f>
        <v>Experienced (3-9) ($5m)|Bridge (No Rehab)|Cash Out Refinance|&gt;=700|5-19 Units</v>
      </c>
      <c r="R103" s="130" t="s">
        <v>327</v>
      </c>
      <c r="S103" s="129" t="s">
        <v>318</v>
      </c>
      <c r="T103" s="103" t="s">
        <v>249</v>
      </c>
      <c r="U103" s="94" t="s">
        <v>316</v>
      </c>
      <c r="V103" s="122" t="s">
        <v>311</v>
      </c>
      <c r="W103" s="96">
        <v>0.75</v>
      </c>
      <c r="X103" s="96">
        <v>0.75</v>
      </c>
      <c r="Y103" s="96">
        <v>0.7</v>
      </c>
      <c r="Z103" s="97">
        <v>100000</v>
      </c>
      <c r="AA103" s="98">
        <v>2500000</v>
      </c>
      <c r="AB103" s="97">
        <v>30000</v>
      </c>
      <c r="AC103" s="99">
        <v>50000</v>
      </c>
      <c r="AD103" s="100" t="str">
        <f>ConstructiveMatrix[[#This Row],[Borrower Experience]] &amp; "|" &amp; ConstructiveMatrix[[#This Row],[Project Type]] &amp; "|" &amp; ConstructiveMatrix[[#This Row],[Loan Type]] &amp; "|" &amp; ConstructiveMatrix[[#This Row],[Dwelling Type]] &amp; "|" &amp; ConstructiveMatrix[[#This Row],[FICO]]</f>
        <v>Gold (3-4)|Fix and Flip (Heavy Rehab)|Cash Out Refinance|Other (2-4 unit)|740+</v>
      </c>
    </row>
    <row r="104" spans="1:30" x14ac:dyDescent="0.3">
      <c r="A104" s="128" t="s">
        <v>326</v>
      </c>
      <c r="B104" s="129" t="s">
        <v>255</v>
      </c>
      <c r="C104" s="27" t="s">
        <v>256</v>
      </c>
      <c r="D104" s="28" t="s">
        <v>301</v>
      </c>
      <c r="E104" s="29" t="s">
        <v>302</v>
      </c>
      <c r="F104" s="31">
        <v>0.75</v>
      </c>
      <c r="G104" s="31">
        <v>0.75</v>
      </c>
      <c r="H104" s="31" t="s">
        <v>303</v>
      </c>
      <c r="I104" s="32">
        <v>8.75</v>
      </c>
      <c r="J104" s="32">
        <v>0.25</v>
      </c>
      <c r="K104" s="32">
        <f t="shared" si="8"/>
        <v>9</v>
      </c>
      <c r="L104" s="33">
        <v>125000</v>
      </c>
      <c r="M104" s="34">
        <v>5000000</v>
      </c>
      <c r="N104" s="33" t="s">
        <v>303</v>
      </c>
      <c r="O104" s="35" t="str">
        <f>ChurchillMatrix[[#This Row],[Experience Level]] &amp; "|" &amp; ChurchillMatrix[[#This Row],[Project Type]] &amp; "|" &amp; ChurchillMatrix[[#This Row],[Loan Type]] &amp; "|" &amp; ChurchillMatrix[[#This Row],[FICO]] &amp; "|" &amp; ChurchillMatrix[[#This Row],[Number of Units]]</f>
        <v>Experienced (3-9) ($5m)|Bridge (No Rehab)|Rate and Term Refinance|660 - 679|&lt;=4 Units</v>
      </c>
      <c r="R104" s="130" t="s">
        <v>327</v>
      </c>
      <c r="S104" s="129" t="s">
        <v>318</v>
      </c>
      <c r="T104" s="27" t="s">
        <v>256</v>
      </c>
      <c r="U104" s="37" t="s">
        <v>250</v>
      </c>
      <c r="V104" s="123" t="s">
        <v>305</v>
      </c>
      <c r="W104" s="39">
        <v>0.8</v>
      </c>
      <c r="X104" s="39">
        <v>0.8</v>
      </c>
      <c r="Y104" s="39">
        <v>0.75</v>
      </c>
      <c r="Z104" s="40">
        <v>100000</v>
      </c>
      <c r="AA104" s="41">
        <v>2500000</v>
      </c>
      <c r="AB104" s="40">
        <v>30000</v>
      </c>
      <c r="AC104" s="42">
        <v>50000</v>
      </c>
      <c r="AD104" s="43" t="str">
        <f>ConstructiveMatrix[[#This Row],[Borrower Experience]] &amp; "|" &amp; ConstructiveMatrix[[#This Row],[Project Type]] &amp; "|" &amp; ConstructiveMatrix[[#This Row],[Loan Type]] &amp; "|" &amp; ConstructiveMatrix[[#This Row],[Dwelling Type]] &amp; "|" &amp; ConstructiveMatrix[[#This Row],[FICO]]</f>
        <v>Gold (3-4)|Fix and Flip (Heavy Rehab)|Rate and Term Refinance|Single Family|680-739</v>
      </c>
    </row>
    <row r="105" spans="1:30" x14ac:dyDescent="0.3">
      <c r="A105" s="128" t="s">
        <v>326</v>
      </c>
      <c r="B105" s="129" t="s">
        <v>255</v>
      </c>
      <c r="C105" s="104" t="s">
        <v>256</v>
      </c>
      <c r="D105" s="53" t="s">
        <v>301</v>
      </c>
      <c r="E105" s="54" t="s">
        <v>310</v>
      </c>
      <c r="F105" s="55">
        <v>0.75</v>
      </c>
      <c r="G105" s="55">
        <v>0.75</v>
      </c>
      <c r="H105" s="55" t="s">
        <v>303</v>
      </c>
      <c r="I105" s="56">
        <v>8.75</v>
      </c>
      <c r="J105" s="56">
        <v>1.25</v>
      </c>
      <c r="K105" s="56">
        <f t="shared" si="8"/>
        <v>10</v>
      </c>
      <c r="L105" s="57">
        <v>125000</v>
      </c>
      <c r="M105" s="58">
        <v>5000000</v>
      </c>
      <c r="N105" s="57" t="s">
        <v>303</v>
      </c>
      <c r="O105" s="59" t="str">
        <f>ChurchillMatrix[[#This Row],[Experience Level]] &amp; "|" &amp; ChurchillMatrix[[#This Row],[Project Type]] &amp; "|" &amp; ChurchillMatrix[[#This Row],[Loan Type]] &amp; "|" &amp; ChurchillMatrix[[#This Row],[FICO]] &amp; "|" &amp; ChurchillMatrix[[#This Row],[Number of Units]]</f>
        <v>Experienced (3-9) ($5m)|Bridge (No Rehab)|Rate and Term Refinance|660 - 679|5-19 Units</v>
      </c>
      <c r="R105" s="130" t="s">
        <v>327</v>
      </c>
      <c r="S105" s="129" t="s">
        <v>318</v>
      </c>
      <c r="T105" s="52" t="s">
        <v>256</v>
      </c>
      <c r="U105" s="61" t="s">
        <v>250</v>
      </c>
      <c r="V105" s="121" t="s">
        <v>311</v>
      </c>
      <c r="W105" s="63">
        <v>0.8</v>
      </c>
      <c r="X105" s="63">
        <v>0.8</v>
      </c>
      <c r="Y105" s="63">
        <v>0.75</v>
      </c>
      <c r="Z105" s="64">
        <v>100000</v>
      </c>
      <c r="AA105" s="65">
        <v>2500000</v>
      </c>
      <c r="AB105" s="64">
        <v>30000</v>
      </c>
      <c r="AC105" s="66">
        <v>50000</v>
      </c>
      <c r="AD105" s="67" t="str">
        <f>ConstructiveMatrix[[#This Row],[Borrower Experience]] &amp; "|" &amp; ConstructiveMatrix[[#This Row],[Project Type]] &amp; "|" &amp; ConstructiveMatrix[[#This Row],[Loan Type]] &amp; "|" &amp; ConstructiveMatrix[[#This Row],[Dwelling Type]] &amp; "|" &amp; ConstructiveMatrix[[#This Row],[FICO]]</f>
        <v>Gold (3-4)|Fix and Flip (Heavy Rehab)|Rate and Term Refinance|Single Family|740+</v>
      </c>
    </row>
    <row r="106" spans="1:30" x14ac:dyDescent="0.3">
      <c r="A106" s="128" t="s">
        <v>326</v>
      </c>
      <c r="B106" s="129" t="s">
        <v>255</v>
      </c>
      <c r="C106" s="52" t="s">
        <v>256</v>
      </c>
      <c r="D106" s="68" t="s">
        <v>313</v>
      </c>
      <c r="E106" s="69" t="s">
        <v>302</v>
      </c>
      <c r="F106" s="71">
        <v>0.75</v>
      </c>
      <c r="G106" s="71">
        <v>0.75</v>
      </c>
      <c r="H106" s="71" t="s">
        <v>303</v>
      </c>
      <c r="I106" s="72">
        <v>8.75</v>
      </c>
      <c r="J106" s="72">
        <v>0.25</v>
      </c>
      <c r="K106" s="72">
        <f t="shared" si="8"/>
        <v>9</v>
      </c>
      <c r="L106" s="73">
        <v>125000</v>
      </c>
      <c r="M106" s="74">
        <v>5000000</v>
      </c>
      <c r="N106" s="73" t="s">
        <v>303</v>
      </c>
      <c r="O106" s="75" t="str">
        <f>ChurchillMatrix[[#This Row],[Experience Level]] &amp; "|" &amp; ChurchillMatrix[[#This Row],[Project Type]] &amp; "|" &amp; ChurchillMatrix[[#This Row],[Loan Type]] &amp; "|" &amp; ChurchillMatrix[[#This Row],[FICO]] &amp; "|" &amp; ChurchillMatrix[[#This Row],[Number of Units]]</f>
        <v>Experienced (3-9) ($5m)|Bridge (No Rehab)|Rate and Term Refinance|680 - 699|&lt;=4 Units</v>
      </c>
      <c r="R106" s="130" t="s">
        <v>327</v>
      </c>
      <c r="S106" s="129" t="s">
        <v>318</v>
      </c>
      <c r="T106" s="52" t="s">
        <v>256</v>
      </c>
      <c r="U106" s="76" t="s">
        <v>259</v>
      </c>
      <c r="V106" s="120" t="s">
        <v>305</v>
      </c>
      <c r="W106" s="78">
        <v>0.65</v>
      </c>
      <c r="X106" s="78">
        <v>0.8</v>
      </c>
      <c r="Y106" s="78">
        <v>0.65</v>
      </c>
      <c r="Z106" s="79">
        <v>100000</v>
      </c>
      <c r="AA106" s="80">
        <v>2500000</v>
      </c>
      <c r="AB106" s="79">
        <v>30000</v>
      </c>
      <c r="AC106" s="81">
        <v>50000</v>
      </c>
      <c r="AD106" s="82" t="str">
        <f>ConstructiveMatrix[[#This Row],[Borrower Experience]] &amp; "|" &amp; ConstructiveMatrix[[#This Row],[Project Type]] &amp; "|" &amp; ConstructiveMatrix[[#This Row],[Loan Type]] &amp; "|" &amp; ConstructiveMatrix[[#This Row],[Dwelling Type]] &amp; "|" &amp; ConstructiveMatrix[[#This Row],[FICO]]</f>
        <v>Gold (3-4)|Fix and Flip (Heavy Rehab)|Rate and Term Refinance|Non-Warrantable Condo|680-739</v>
      </c>
    </row>
    <row r="107" spans="1:30" x14ac:dyDescent="0.3">
      <c r="A107" s="128" t="s">
        <v>326</v>
      </c>
      <c r="B107" s="129" t="s">
        <v>255</v>
      </c>
      <c r="C107" s="104" t="s">
        <v>256</v>
      </c>
      <c r="D107" s="53" t="s">
        <v>313</v>
      </c>
      <c r="E107" s="54" t="s">
        <v>310</v>
      </c>
      <c r="F107" s="55">
        <v>0.75</v>
      </c>
      <c r="G107" s="55">
        <v>0.75</v>
      </c>
      <c r="H107" s="55" t="s">
        <v>303</v>
      </c>
      <c r="I107" s="56">
        <v>8.75</v>
      </c>
      <c r="J107" s="56">
        <v>1.25</v>
      </c>
      <c r="K107" s="56">
        <f t="shared" si="8"/>
        <v>10</v>
      </c>
      <c r="L107" s="57">
        <v>125000</v>
      </c>
      <c r="M107" s="58">
        <v>5000000</v>
      </c>
      <c r="N107" s="57" t="s">
        <v>303</v>
      </c>
      <c r="O107" s="59" t="str">
        <f>ChurchillMatrix[[#This Row],[Experience Level]] &amp; "|" &amp; ChurchillMatrix[[#This Row],[Project Type]] &amp; "|" &amp; ChurchillMatrix[[#This Row],[Loan Type]] &amp; "|" &amp; ChurchillMatrix[[#This Row],[FICO]] &amp; "|" &amp; ChurchillMatrix[[#This Row],[Number of Units]]</f>
        <v>Experienced (3-9) ($5m)|Bridge (No Rehab)|Rate and Term Refinance|680 - 699|5-19 Units</v>
      </c>
      <c r="R107" s="130" t="s">
        <v>327</v>
      </c>
      <c r="S107" s="129" t="s">
        <v>318</v>
      </c>
      <c r="T107" s="52" t="s">
        <v>256</v>
      </c>
      <c r="U107" s="83" t="s">
        <v>259</v>
      </c>
      <c r="V107" s="121" t="s">
        <v>311</v>
      </c>
      <c r="W107" s="63">
        <v>0.65</v>
      </c>
      <c r="X107" s="63">
        <v>0.8</v>
      </c>
      <c r="Y107" s="63">
        <v>0.65</v>
      </c>
      <c r="Z107" s="64">
        <v>100000</v>
      </c>
      <c r="AA107" s="65">
        <v>2500000</v>
      </c>
      <c r="AB107" s="64">
        <v>30000</v>
      </c>
      <c r="AC107" s="66">
        <v>50000</v>
      </c>
      <c r="AD107" s="67" t="str">
        <f>ConstructiveMatrix[[#This Row],[Borrower Experience]] &amp; "|" &amp; ConstructiveMatrix[[#This Row],[Project Type]] &amp; "|" &amp; ConstructiveMatrix[[#This Row],[Loan Type]] &amp; "|" &amp; ConstructiveMatrix[[#This Row],[Dwelling Type]] &amp; "|" &amp; ConstructiveMatrix[[#This Row],[FICO]]</f>
        <v>Gold (3-4)|Fix and Flip (Heavy Rehab)|Rate and Term Refinance|Non-Warrantable Condo|740+</v>
      </c>
    </row>
    <row r="108" spans="1:30" x14ac:dyDescent="0.3">
      <c r="A108" s="128" t="s">
        <v>326</v>
      </c>
      <c r="B108" s="129" t="s">
        <v>255</v>
      </c>
      <c r="C108" s="52" t="s">
        <v>256</v>
      </c>
      <c r="D108" s="68" t="s">
        <v>315</v>
      </c>
      <c r="E108" s="69" t="s">
        <v>302</v>
      </c>
      <c r="F108" s="71">
        <v>0.75</v>
      </c>
      <c r="G108" s="71">
        <v>0.75</v>
      </c>
      <c r="H108" s="71" t="s">
        <v>303</v>
      </c>
      <c r="I108" s="72">
        <v>8.75</v>
      </c>
      <c r="J108" s="72">
        <v>0</v>
      </c>
      <c r="K108" s="72">
        <f t="shared" si="8"/>
        <v>8.75</v>
      </c>
      <c r="L108" s="73">
        <v>125000</v>
      </c>
      <c r="M108" s="74">
        <v>5000000</v>
      </c>
      <c r="N108" s="73" t="s">
        <v>303</v>
      </c>
      <c r="O108" s="75" t="str">
        <f>ChurchillMatrix[[#This Row],[Experience Level]] &amp; "|" &amp; ChurchillMatrix[[#This Row],[Project Type]] &amp; "|" &amp; ChurchillMatrix[[#This Row],[Loan Type]] &amp; "|" &amp; ChurchillMatrix[[#This Row],[FICO]] &amp; "|" &amp; ChurchillMatrix[[#This Row],[Number of Units]]</f>
        <v>Experienced (3-9) ($5m)|Bridge (No Rehab)|Rate and Term Refinance|&gt;=700|&lt;=4 Units</v>
      </c>
      <c r="R108" s="130" t="s">
        <v>327</v>
      </c>
      <c r="S108" s="129" t="s">
        <v>318</v>
      </c>
      <c r="T108" s="52" t="s">
        <v>256</v>
      </c>
      <c r="U108" s="85" t="s">
        <v>316</v>
      </c>
      <c r="V108" s="120" t="s">
        <v>305</v>
      </c>
      <c r="W108" s="78">
        <v>0.8</v>
      </c>
      <c r="X108" s="78">
        <v>0.8</v>
      </c>
      <c r="Y108" s="78">
        <v>0.75</v>
      </c>
      <c r="Z108" s="79">
        <v>100000</v>
      </c>
      <c r="AA108" s="80">
        <v>2500000</v>
      </c>
      <c r="AB108" s="79">
        <v>30000</v>
      </c>
      <c r="AC108" s="81">
        <v>50000</v>
      </c>
      <c r="AD108" s="82" t="str">
        <f>ConstructiveMatrix[[#This Row],[Borrower Experience]] &amp; "|" &amp; ConstructiveMatrix[[#This Row],[Project Type]] &amp; "|" &amp; ConstructiveMatrix[[#This Row],[Loan Type]] &amp; "|" &amp; ConstructiveMatrix[[#This Row],[Dwelling Type]] &amp; "|" &amp; ConstructiveMatrix[[#This Row],[FICO]]</f>
        <v>Gold (3-4)|Fix and Flip (Heavy Rehab)|Rate and Term Refinance|Other (2-4 unit)|680-739</v>
      </c>
    </row>
    <row r="109" spans="1:30" ht="15" thickBot="1" x14ac:dyDescent="0.35">
      <c r="A109" s="133" t="s">
        <v>326</v>
      </c>
      <c r="B109" s="132" t="s">
        <v>255</v>
      </c>
      <c r="C109" s="86" t="s">
        <v>256</v>
      </c>
      <c r="D109" s="87" t="s">
        <v>315</v>
      </c>
      <c r="E109" s="88" t="s">
        <v>310</v>
      </c>
      <c r="F109" s="89">
        <v>0.75</v>
      </c>
      <c r="G109" s="89">
        <v>0.75</v>
      </c>
      <c r="H109" s="89" t="s">
        <v>303</v>
      </c>
      <c r="I109" s="90">
        <v>8.75</v>
      </c>
      <c r="J109" s="90">
        <v>1</v>
      </c>
      <c r="K109" s="90">
        <f t="shared" si="8"/>
        <v>9.75</v>
      </c>
      <c r="L109" s="91">
        <v>125000</v>
      </c>
      <c r="M109" s="92">
        <v>5000000</v>
      </c>
      <c r="N109" s="91" t="s">
        <v>303</v>
      </c>
      <c r="O109" s="93" t="str">
        <f>ChurchillMatrix[[#This Row],[Experience Level]] &amp; "|" &amp; ChurchillMatrix[[#This Row],[Project Type]] &amp; "|" &amp; ChurchillMatrix[[#This Row],[Loan Type]] &amp; "|" &amp; ChurchillMatrix[[#This Row],[FICO]] &amp; "|" &amp; ChurchillMatrix[[#This Row],[Number of Units]]</f>
        <v>Experienced (3-9) ($5m)|Bridge (No Rehab)|Rate and Term Refinance|&gt;=700|5-19 Units</v>
      </c>
      <c r="R109" s="134" t="s">
        <v>327</v>
      </c>
      <c r="S109" s="132" t="s">
        <v>318</v>
      </c>
      <c r="T109" s="86" t="s">
        <v>256</v>
      </c>
      <c r="U109" s="94" t="s">
        <v>316</v>
      </c>
      <c r="V109" s="122" t="s">
        <v>311</v>
      </c>
      <c r="W109" s="96">
        <v>0.8</v>
      </c>
      <c r="X109" s="96">
        <v>0.8</v>
      </c>
      <c r="Y109" s="96">
        <v>0.75</v>
      </c>
      <c r="Z109" s="97">
        <v>100000</v>
      </c>
      <c r="AA109" s="98">
        <v>2500000</v>
      </c>
      <c r="AB109" s="97">
        <v>30000</v>
      </c>
      <c r="AC109" s="99">
        <v>50000</v>
      </c>
      <c r="AD109" s="100" t="str">
        <f>ConstructiveMatrix[[#This Row],[Borrower Experience]] &amp; "|" &amp; ConstructiveMatrix[[#This Row],[Project Type]] &amp; "|" &amp; ConstructiveMatrix[[#This Row],[Loan Type]] &amp; "|" &amp; ConstructiveMatrix[[#This Row],[Dwelling Type]] &amp; "|" &amp; ConstructiveMatrix[[#This Row],[FICO]]</f>
        <v>Gold (3-4)|Fix and Flip (Heavy Rehab)|Rate and Term Refinance|Other (2-4 unit)|740+</v>
      </c>
    </row>
    <row r="110" spans="1:30" ht="15" customHeight="1" x14ac:dyDescent="0.3">
      <c r="A110" s="135" t="s">
        <v>328</v>
      </c>
      <c r="B110" s="26" t="s">
        <v>300</v>
      </c>
      <c r="C110" s="27" t="s">
        <v>251</v>
      </c>
      <c r="D110" s="28" t="s">
        <v>301</v>
      </c>
      <c r="E110" s="29" t="s">
        <v>302</v>
      </c>
      <c r="F110" s="112">
        <v>0.75</v>
      </c>
      <c r="G110" s="112">
        <v>0.8</v>
      </c>
      <c r="H110" s="31">
        <v>0.7</v>
      </c>
      <c r="I110" s="32">
        <v>8.75</v>
      </c>
      <c r="J110" s="32">
        <v>0.25</v>
      </c>
      <c r="K110" s="32">
        <f>I110+J110</f>
        <v>9</v>
      </c>
      <c r="L110" s="33">
        <v>125000</v>
      </c>
      <c r="M110" s="34">
        <v>5000000</v>
      </c>
      <c r="N110" s="33" t="s">
        <v>303</v>
      </c>
      <c r="O110" s="35" t="str">
        <f>ChurchillMatrix[[#This Row],[Experience Level]] &amp; "|" &amp; ChurchillMatrix[[#This Row],[Project Type]] &amp; "|" &amp; ChurchillMatrix[[#This Row],[Loan Type]] &amp; "|" &amp; ChurchillMatrix[[#This Row],[FICO]] &amp; "|" &amp; ChurchillMatrix[[#This Row],[Number of Units]]</f>
        <v>No Experience (0-2) ($0m)|Fix and Flip (Light Rehab)|Purchase|660 - 679|&lt;=4 Units</v>
      </c>
      <c r="R110" s="136" t="s">
        <v>329</v>
      </c>
      <c r="S110" s="126" t="s">
        <v>255</v>
      </c>
      <c r="T110" s="27" t="s">
        <v>251</v>
      </c>
      <c r="U110" s="37" t="s">
        <v>250</v>
      </c>
      <c r="V110" s="123" t="s">
        <v>305</v>
      </c>
      <c r="W110" s="39">
        <v>0.75</v>
      </c>
      <c r="X110" s="39" t="s">
        <v>303</v>
      </c>
      <c r="Y110" s="39" t="s">
        <v>303</v>
      </c>
      <c r="Z110" s="40">
        <v>100000</v>
      </c>
      <c r="AA110" s="41">
        <v>2500000</v>
      </c>
      <c r="AB110" s="40">
        <v>50000</v>
      </c>
      <c r="AC110" s="42" t="s">
        <v>303</v>
      </c>
      <c r="AD110" s="43" t="str">
        <f>ConstructiveMatrix[[#This Row],[Borrower Experience]] &amp; "|" &amp; ConstructiveMatrix[[#This Row],[Project Type]] &amp; "|" &amp; ConstructiveMatrix[[#This Row],[Loan Type]] &amp; "|" &amp; ConstructiveMatrix[[#This Row],[Dwelling Type]] &amp; "|" &amp; ConstructiveMatrix[[#This Row],[FICO]]</f>
        <v>Silver (1-2)|Bridge (No Rehab)|Purchase|Single Family|680-739</v>
      </c>
    </row>
    <row r="111" spans="1:30" x14ac:dyDescent="0.3">
      <c r="A111" s="135" t="s">
        <v>328</v>
      </c>
      <c r="B111" s="51" t="s">
        <v>300</v>
      </c>
      <c r="C111" s="52" t="s">
        <v>251</v>
      </c>
      <c r="D111" s="53" t="s">
        <v>301</v>
      </c>
      <c r="E111" s="54" t="s">
        <v>310</v>
      </c>
      <c r="F111" s="55" t="s">
        <v>303</v>
      </c>
      <c r="G111" s="55" t="s">
        <v>303</v>
      </c>
      <c r="H111" s="55" t="s">
        <v>303</v>
      </c>
      <c r="I111" s="56" t="s">
        <v>303</v>
      </c>
      <c r="J111" s="56" t="s">
        <v>303</v>
      </c>
      <c r="K111" s="56" t="s">
        <v>303</v>
      </c>
      <c r="L111" s="57" t="s">
        <v>303</v>
      </c>
      <c r="M111" s="58" t="s">
        <v>303</v>
      </c>
      <c r="N111" s="57" t="s">
        <v>303</v>
      </c>
      <c r="O111" s="59" t="str">
        <f>ChurchillMatrix[[#This Row],[Experience Level]] &amp; "|" &amp; ChurchillMatrix[[#This Row],[Project Type]] &amp; "|" &amp; ChurchillMatrix[[#This Row],[Loan Type]] &amp; "|" &amp; ChurchillMatrix[[#This Row],[FICO]] &amp; "|" &amp; ChurchillMatrix[[#This Row],[Number of Units]]</f>
        <v>No Experience (0-2) ($0m)|Fix and Flip (Light Rehab)|Purchase|660 - 679|5-19 Units</v>
      </c>
      <c r="R111" s="137" t="s">
        <v>329</v>
      </c>
      <c r="S111" s="129" t="s">
        <v>255</v>
      </c>
      <c r="T111" s="52" t="s">
        <v>251</v>
      </c>
      <c r="U111" s="61" t="s">
        <v>250</v>
      </c>
      <c r="V111" s="121" t="s">
        <v>311</v>
      </c>
      <c r="W111" s="63">
        <v>0.75</v>
      </c>
      <c r="X111" s="63" t="s">
        <v>303</v>
      </c>
      <c r="Y111" s="63" t="s">
        <v>303</v>
      </c>
      <c r="Z111" s="64">
        <v>100000</v>
      </c>
      <c r="AA111" s="65">
        <v>2500000</v>
      </c>
      <c r="AB111" s="64">
        <v>50000</v>
      </c>
      <c r="AC111" s="66" t="s">
        <v>303</v>
      </c>
      <c r="AD111" s="67" t="str">
        <f>ConstructiveMatrix[[#This Row],[Borrower Experience]] &amp; "|" &amp; ConstructiveMatrix[[#This Row],[Project Type]] &amp; "|" &amp; ConstructiveMatrix[[#This Row],[Loan Type]] &amp; "|" &amp; ConstructiveMatrix[[#This Row],[Dwelling Type]] &amp; "|" &amp; ConstructiveMatrix[[#This Row],[FICO]]</f>
        <v>Silver (1-2)|Bridge (No Rehab)|Purchase|Single Family|740+</v>
      </c>
    </row>
    <row r="112" spans="1:30" x14ac:dyDescent="0.3">
      <c r="A112" s="135" t="s">
        <v>328</v>
      </c>
      <c r="B112" s="51" t="s">
        <v>300</v>
      </c>
      <c r="C112" s="52" t="s">
        <v>251</v>
      </c>
      <c r="D112" s="68" t="s">
        <v>313</v>
      </c>
      <c r="E112" s="69" t="s">
        <v>302</v>
      </c>
      <c r="F112" s="131">
        <v>0.75</v>
      </c>
      <c r="G112" s="131">
        <v>0.8</v>
      </c>
      <c r="H112" s="71">
        <v>0.7</v>
      </c>
      <c r="I112" s="72">
        <v>8.75</v>
      </c>
      <c r="J112" s="72">
        <v>0.25</v>
      </c>
      <c r="K112" s="72">
        <f t="shared" ref="K112:K114" si="9">I112+J112</f>
        <v>9</v>
      </c>
      <c r="L112" s="73">
        <v>125000</v>
      </c>
      <c r="M112" s="74">
        <v>5000000</v>
      </c>
      <c r="N112" s="73" t="s">
        <v>303</v>
      </c>
      <c r="O112" s="75" t="str">
        <f>ChurchillMatrix[[#This Row],[Experience Level]] &amp; "|" &amp; ChurchillMatrix[[#This Row],[Project Type]] &amp; "|" &amp; ChurchillMatrix[[#This Row],[Loan Type]] &amp; "|" &amp; ChurchillMatrix[[#This Row],[FICO]] &amp; "|" &amp; ChurchillMatrix[[#This Row],[Number of Units]]</f>
        <v>No Experience (0-2) ($0m)|Fix and Flip (Light Rehab)|Purchase|680 - 699|&lt;=4 Units</v>
      </c>
      <c r="R112" s="137" t="s">
        <v>329</v>
      </c>
      <c r="S112" s="129" t="s">
        <v>255</v>
      </c>
      <c r="T112" s="52" t="s">
        <v>251</v>
      </c>
      <c r="U112" s="76" t="s">
        <v>259</v>
      </c>
      <c r="V112" s="120" t="s">
        <v>305</v>
      </c>
      <c r="W112" s="78">
        <v>0.65</v>
      </c>
      <c r="X112" s="78" t="s">
        <v>303</v>
      </c>
      <c r="Y112" s="78" t="s">
        <v>303</v>
      </c>
      <c r="Z112" s="79">
        <v>100000</v>
      </c>
      <c r="AA112" s="80">
        <v>2500000</v>
      </c>
      <c r="AB112" s="79">
        <v>50000</v>
      </c>
      <c r="AC112" s="81" t="s">
        <v>303</v>
      </c>
      <c r="AD112" s="82" t="str">
        <f>ConstructiveMatrix[[#This Row],[Borrower Experience]] &amp; "|" &amp; ConstructiveMatrix[[#This Row],[Project Type]] &amp; "|" &amp; ConstructiveMatrix[[#This Row],[Loan Type]] &amp; "|" &amp; ConstructiveMatrix[[#This Row],[Dwelling Type]] &amp; "|" &amp; ConstructiveMatrix[[#This Row],[FICO]]</f>
        <v>Silver (1-2)|Bridge (No Rehab)|Purchase|Non-Warrantable Condo|680-739</v>
      </c>
    </row>
    <row r="113" spans="1:30" x14ac:dyDescent="0.3">
      <c r="A113" s="135" t="s">
        <v>328</v>
      </c>
      <c r="B113" s="51" t="s">
        <v>300</v>
      </c>
      <c r="C113" s="52" t="s">
        <v>251</v>
      </c>
      <c r="D113" s="53" t="s">
        <v>313</v>
      </c>
      <c r="E113" s="54" t="s">
        <v>310</v>
      </c>
      <c r="F113" s="55" t="s">
        <v>303</v>
      </c>
      <c r="G113" s="55" t="s">
        <v>303</v>
      </c>
      <c r="H113" s="55" t="s">
        <v>303</v>
      </c>
      <c r="I113" s="56" t="s">
        <v>303</v>
      </c>
      <c r="J113" s="56" t="s">
        <v>303</v>
      </c>
      <c r="K113" s="56" t="s">
        <v>303</v>
      </c>
      <c r="L113" s="57" t="s">
        <v>303</v>
      </c>
      <c r="M113" s="58" t="s">
        <v>303</v>
      </c>
      <c r="N113" s="57" t="s">
        <v>303</v>
      </c>
      <c r="O113" s="59" t="str">
        <f>ChurchillMatrix[[#This Row],[Experience Level]] &amp; "|" &amp; ChurchillMatrix[[#This Row],[Project Type]] &amp; "|" &amp; ChurchillMatrix[[#This Row],[Loan Type]] &amp; "|" &amp; ChurchillMatrix[[#This Row],[FICO]] &amp; "|" &amp; ChurchillMatrix[[#This Row],[Number of Units]]</f>
        <v>No Experience (0-2) ($0m)|Fix and Flip (Light Rehab)|Purchase|680 - 699|5-19 Units</v>
      </c>
      <c r="R113" s="137" t="s">
        <v>329</v>
      </c>
      <c r="S113" s="129" t="s">
        <v>255</v>
      </c>
      <c r="T113" s="52" t="s">
        <v>251</v>
      </c>
      <c r="U113" s="83" t="s">
        <v>259</v>
      </c>
      <c r="V113" s="121" t="s">
        <v>311</v>
      </c>
      <c r="W113" s="63">
        <v>0.65</v>
      </c>
      <c r="X113" s="63" t="s">
        <v>303</v>
      </c>
      <c r="Y113" s="63" t="s">
        <v>303</v>
      </c>
      <c r="Z113" s="64">
        <v>100000</v>
      </c>
      <c r="AA113" s="65">
        <v>2500000</v>
      </c>
      <c r="AB113" s="64">
        <v>50000</v>
      </c>
      <c r="AC113" s="66" t="s">
        <v>303</v>
      </c>
      <c r="AD113" s="67" t="str">
        <f>ConstructiveMatrix[[#This Row],[Borrower Experience]] &amp; "|" &amp; ConstructiveMatrix[[#This Row],[Project Type]] &amp; "|" &amp; ConstructiveMatrix[[#This Row],[Loan Type]] &amp; "|" &amp; ConstructiveMatrix[[#This Row],[Dwelling Type]] &amp; "|" &amp; ConstructiveMatrix[[#This Row],[FICO]]</f>
        <v>Silver (1-2)|Bridge (No Rehab)|Purchase|Non-Warrantable Condo|740+</v>
      </c>
    </row>
    <row r="114" spans="1:30" x14ac:dyDescent="0.3">
      <c r="A114" s="135" t="s">
        <v>328</v>
      </c>
      <c r="B114" s="51" t="s">
        <v>300</v>
      </c>
      <c r="C114" s="52" t="s">
        <v>251</v>
      </c>
      <c r="D114" s="68" t="s">
        <v>315</v>
      </c>
      <c r="E114" s="69" t="s">
        <v>302</v>
      </c>
      <c r="F114" s="131">
        <v>0.75</v>
      </c>
      <c r="G114" s="131">
        <v>0.8</v>
      </c>
      <c r="H114" s="71">
        <v>0.7</v>
      </c>
      <c r="I114" s="72">
        <v>8.75</v>
      </c>
      <c r="J114" s="72">
        <v>0</v>
      </c>
      <c r="K114" s="72">
        <f t="shared" si="9"/>
        <v>8.75</v>
      </c>
      <c r="L114" s="73">
        <v>125000</v>
      </c>
      <c r="M114" s="74">
        <v>5000000</v>
      </c>
      <c r="N114" s="73" t="s">
        <v>303</v>
      </c>
      <c r="O114" s="75" t="str">
        <f>ChurchillMatrix[[#This Row],[Experience Level]] &amp; "|" &amp; ChurchillMatrix[[#This Row],[Project Type]] &amp; "|" &amp; ChurchillMatrix[[#This Row],[Loan Type]] &amp; "|" &amp; ChurchillMatrix[[#This Row],[FICO]] &amp; "|" &amp; ChurchillMatrix[[#This Row],[Number of Units]]</f>
        <v>No Experience (0-2) ($0m)|Fix and Flip (Light Rehab)|Purchase|&gt;=700|&lt;=4 Units</v>
      </c>
      <c r="R114" s="137" t="s">
        <v>329</v>
      </c>
      <c r="S114" s="129" t="s">
        <v>255</v>
      </c>
      <c r="T114" s="52" t="s">
        <v>251</v>
      </c>
      <c r="U114" s="85" t="s">
        <v>316</v>
      </c>
      <c r="V114" s="120" t="s">
        <v>305</v>
      </c>
      <c r="W114" s="78">
        <v>0.75</v>
      </c>
      <c r="X114" s="78" t="s">
        <v>303</v>
      </c>
      <c r="Y114" s="78" t="s">
        <v>303</v>
      </c>
      <c r="Z114" s="79">
        <v>100000</v>
      </c>
      <c r="AA114" s="80">
        <v>2500000</v>
      </c>
      <c r="AB114" s="79">
        <v>50000</v>
      </c>
      <c r="AC114" s="81" t="s">
        <v>303</v>
      </c>
      <c r="AD114" s="82" t="str">
        <f>ConstructiveMatrix[[#This Row],[Borrower Experience]] &amp; "|" &amp; ConstructiveMatrix[[#This Row],[Project Type]] &amp; "|" &amp; ConstructiveMatrix[[#This Row],[Loan Type]] &amp; "|" &amp; ConstructiveMatrix[[#This Row],[Dwelling Type]] &amp; "|" &amp; ConstructiveMatrix[[#This Row],[FICO]]</f>
        <v>Silver (1-2)|Bridge (No Rehab)|Purchase|Other (2-4 unit)|680-739</v>
      </c>
    </row>
    <row r="115" spans="1:30" ht="15" thickBot="1" x14ac:dyDescent="0.35">
      <c r="A115" s="135" t="s">
        <v>328</v>
      </c>
      <c r="B115" s="51" t="s">
        <v>300</v>
      </c>
      <c r="C115" s="86" t="s">
        <v>251</v>
      </c>
      <c r="D115" s="87" t="s">
        <v>315</v>
      </c>
      <c r="E115" s="88" t="s">
        <v>310</v>
      </c>
      <c r="F115" s="89" t="s">
        <v>303</v>
      </c>
      <c r="G115" s="89" t="s">
        <v>303</v>
      </c>
      <c r="H115" s="89" t="s">
        <v>303</v>
      </c>
      <c r="I115" s="90" t="s">
        <v>303</v>
      </c>
      <c r="J115" s="90" t="s">
        <v>303</v>
      </c>
      <c r="K115" s="90" t="s">
        <v>303</v>
      </c>
      <c r="L115" s="91" t="s">
        <v>303</v>
      </c>
      <c r="M115" s="92" t="s">
        <v>303</v>
      </c>
      <c r="N115" s="91" t="s">
        <v>303</v>
      </c>
      <c r="O115" s="93" t="str">
        <f>ChurchillMatrix[[#This Row],[Experience Level]] &amp; "|" &amp; ChurchillMatrix[[#This Row],[Project Type]] &amp; "|" &amp; ChurchillMatrix[[#This Row],[Loan Type]] &amp; "|" &amp; ChurchillMatrix[[#This Row],[FICO]] &amp; "|" &amp; ChurchillMatrix[[#This Row],[Number of Units]]</f>
        <v>No Experience (0-2) ($0m)|Fix and Flip (Light Rehab)|Purchase|&gt;=700|5-19 Units</v>
      </c>
      <c r="R115" s="137" t="s">
        <v>329</v>
      </c>
      <c r="S115" s="129" t="s">
        <v>255</v>
      </c>
      <c r="T115" s="86" t="s">
        <v>251</v>
      </c>
      <c r="U115" s="94" t="s">
        <v>316</v>
      </c>
      <c r="V115" s="122" t="s">
        <v>311</v>
      </c>
      <c r="W115" s="96">
        <v>0.75</v>
      </c>
      <c r="X115" s="96" t="s">
        <v>303</v>
      </c>
      <c r="Y115" s="96" t="s">
        <v>303</v>
      </c>
      <c r="Z115" s="97">
        <v>100000</v>
      </c>
      <c r="AA115" s="98">
        <v>2500000</v>
      </c>
      <c r="AB115" s="97">
        <v>50000</v>
      </c>
      <c r="AC115" s="99" t="s">
        <v>303</v>
      </c>
      <c r="AD115" s="100" t="str">
        <f>ConstructiveMatrix[[#This Row],[Borrower Experience]] &amp; "|" &amp; ConstructiveMatrix[[#This Row],[Project Type]] &amp; "|" &amp; ConstructiveMatrix[[#This Row],[Loan Type]] &amp; "|" &amp; ConstructiveMatrix[[#This Row],[Dwelling Type]] &amp; "|" &amp; ConstructiveMatrix[[#This Row],[FICO]]</f>
        <v>Silver (1-2)|Bridge (No Rehab)|Purchase|Other (2-4 unit)|740+</v>
      </c>
    </row>
    <row r="116" spans="1:30" x14ac:dyDescent="0.3">
      <c r="A116" s="135" t="s">
        <v>328</v>
      </c>
      <c r="B116" s="51" t="s">
        <v>300</v>
      </c>
      <c r="C116" s="27" t="s">
        <v>249</v>
      </c>
      <c r="D116" s="28" t="s">
        <v>301</v>
      </c>
      <c r="E116" s="29" t="s">
        <v>302</v>
      </c>
      <c r="F116" s="31" t="s">
        <v>303</v>
      </c>
      <c r="G116" s="31" t="s">
        <v>303</v>
      </c>
      <c r="H116" s="31" t="s">
        <v>303</v>
      </c>
      <c r="I116" s="32" t="s">
        <v>303</v>
      </c>
      <c r="J116" s="32" t="s">
        <v>303</v>
      </c>
      <c r="K116" s="32" t="s">
        <v>303</v>
      </c>
      <c r="L116" s="33" t="s">
        <v>303</v>
      </c>
      <c r="M116" s="34" t="s">
        <v>303</v>
      </c>
      <c r="N116" s="33" t="s">
        <v>303</v>
      </c>
      <c r="O116" s="35" t="str">
        <f>ChurchillMatrix[[#This Row],[Experience Level]] &amp; "|" &amp; ChurchillMatrix[[#This Row],[Project Type]] &amp; "|" &amp; ChurchillMatrix[[#This Row],[Loan Type]] &amp; "|" &amp; ChurchillMatrix[[#This Row],[FICO]] &amp; "|" &amp; ChurchillMatrix[[#This Row],[Number of Units]]</f>
        <v>No Experience (0-2) ($0m)|Fix and Flip (Light Rehab)|Cash Out Refinance|660 - 679|&lt;=4 Units</v>
      </c>
      <c r="R116" s="137" t="s">
        <v>329</v>
      </c>
      <c r="S116" s="129" t="s">
        <v>255</v>
      </c>
      <c r="T116" s="101" t="s">
        <v>249</v>
      </c>
      <c r="U116" s="37" t="s">
        <v>250</v>
      </c>
      <c r="V116" s="123" t="s">
        <v>305</v>
      </c>
      <c r="W116" s="39">
        <v>0.7</v>
      </c>
      <c r="X116" s="39" t="s">
        <v>303</v>
      </c>
      <c r="Y116" s="39" t="s">
        <v>303</v>
      </c>
      <c r="Z116" s="40">
        <v>100000</v>
      </c>
      <c r="AA116" s="41">
        <v>2500000</v>
      </c>
      <c r="AB116" s="40">
        <v>50000</v>
      </c>
      <c r="AC116" s="42" t="s">
        <v>303</v>
      </c>
      <c r="AD116" s="43" t="str">
        <f>ConstructiveMatrix[[#This Row],[Borrower Experience]] &amp; "|" &amp; ConstructiveMatrix[[#This Row],[Project Type]] &amp; "|" &amp; ConstructiveMatrix[[#This Row],[Loan Type]] &amp; "|" &amp; ConstructiveMatrix[[#This Row],[Dwelling Type]] &amp; "|" &amp; ConstructiveMatrix[[#This Row],[FICO]]</f>
        <v>Silver (1-2)|Bridge (No Rehab)|Cash Out Refinance|Single Family|680-739</v>
      </c>
    </row>
    <row r="117" spans="1:30" x14ac:dyDescent="0.3">
      <c r="A117" s="135" t="s">
        <v>328</v>
      </c>
      <c r="B117" s="51" t="s">
        <v>300</v>
      </c>
      <c r="C117" s="52" t="s">
        <v>249</v>
      </c>
      <c r="D117" s="53" t="s">
        <v>301</v>
      </c>
      <c r="E117" s="54" t="s">
        <v>310</v>
      </c>
      <c r="F117" s="55" t="s">
        <v>303</v>
      </c>
      <c r="G117" s="55" t="s">
        <v>303</v>
      </c>
      <c r="H117" s="55" t="s">
        <v>303</v>
      </c>
      <c r="I117" s="56" t="s">
        <v>303</v>
      </c>
      <c r="J117" s="56" t="s">
        <v>303</v>
      </c>
      <c r="K117" s="56" t="s">
        <v>303</v>
      </c>
      <c r="L117" s="57" t="s">
        <v>303</v>
      </c>
      <c r="M117" s="58" t="s">
        <v>303</v>
      </c>
      <c r="N117" s="57" t="s">
        <v>303</v>
      </c>
      <c r="O117" s="59" t="str">
        <f>ChurchillMatrix[[#This Row],[Experience Level]] &amp; "|" &amp; ChurchillMatrix[[#This Row],[Project Type]] &amp; "|" &amp; ChurchillMatrix[[#This Row],[Loan Type]] &amp; "|" &amp; ChurchillMatrix[[#This Row],[FICO]] &amp; "|" &amp; ChurchillMatrix[[#This Row],[Number of Units]]</f>
        <v>No Experience (0-2) ($0m)|Fix and Flip (Light Rehab)|Cash Out Refinance|660 - 679|5-19 Units</v>
      </c>
      <c r="R117" s="137" t="s">
        <v>329</v>
      </c>
      <c r="S117" s="129" t="s">
        <v>255</v>
      </c>
      <c r="T117" s="102" t="s">
        <v>249</v>
      </c>
      <c r="U117" s="61" t="s">
        <v>250</v>
      </c>
      <c r="V117" s="121" t="s">
        <v>311</v>
      </c>
      <c r="W117" s="63">
        <v>0.7</v>
      </c>
      <c r="X117" s="63" t="s">
        <v>303</v>
      </c>
      <c r="Y117" s="63" t="s">
        <v>303</v>
      </c>
      <c r="Z117" s="64">
        <v>100000</v>
      </c>
      <c r="AA117" s="65">
        <v>2500000</v>
      </c>
      <c r="AB117" s="64">
        <v>50000</v>
      </c>
      <c r="AC117" s="66" t="s">
        <v>303</v>
      </c>
      <c r="AD117" s="67" t="str">
        <f>ConstructiveMatrix[[#This Row],[Borrower Experience]] &amp; "|" &amp; ConstructiveMatrix[[#This Row],[Project Type]] &amp; "|" &amp; ConstructiveMatrix[[#This Row],[Loan Type]] &amp; "|" &amp; ConstructiveMatrix[[#This Row],[Dwelling Type]] &amp; "|" &amp; ConstructiveMatrix[[#This Row],[FICO]]</f>
        <v>Silver (1-2)|Bridge (No Rehab)|Cash Out Refinance|Single Family|740+</v>
      </c>
    </row>
    <row r="118" spans="1:30" x14ac:dyDescent="0.3">
      <c r="A118" s="135" t="s">
        <v>328</v>
      </c>
      <c r="B118" s="51" t="s">
        <v>300</v>
      </c>
      <c r="C118" s="52" t="s">
        <v>249</v>
      </c>
      <c r="D118" s="68" t="s">
        <v>313</v>
      </c>
      <c r="E118" s="69" t="s">
        <v>302</v>
      </c>
      <c r="F118" s="71">
        <v>0.75</v>
      </c>
      <c r="G118" s="71">
        <v>0.8</v>
      </c>
      <c r="H118" s="71">
        <v>0.7</v>
      </c>
      <c r="I118" s="72">
        <v>8.75</v>
      </c>
      <c r="J118" s="72">
        <v>0.75</v>
      </c>
      <c r="K118" s="72">
        <f t="shared" ref="K118:K126" si="10">I118+J118</f>
        <v>9.5</v>
      </c>
      <c r="L118" s="73">
        <v>125000</v>
      </c>
      <c r="M118" s="74">
        <v>5000000</v>
      </c>
      <c r="N118" s="73">
        <v>500000</v>
      </c>
      <c r="O118" s="75" t="str">
        <f>ChurchillMatrix[[#This Row],[Experience Level]] &amp; "|" &amp; ChurchillMatrix[[#This Row],[Project Type]] &amp; "|" &amp; ChurchillMatrix[[#This Row],[Loan Type]] &amp; "|" &amp; ChurchillMatrix[[#This Row],[FICO]] &amp; "|" &amp; ChurchillMatrix[[#This Row],[Number of Units]]</f>
        <v>No Experience (0-2) ($0m)|Fix and Flip (Light Rehab)|Cash Out Refinance|680 - 699|&lt;=4 Units</v>
      </c>
      <c r="R118" s="137" t="s">
        <v>329</v>
      </c>
      <c r="S118" s="129" t="s">
        <v>255</v>
      </c>
      <c r="T118" s="102" t="s">
        <v>249</v>
      </c>
      <c r="U118" s="76" t="s">
        <v>259</v>
      </c>
      <c r="V118" s="120" t="s">
        <v>305</v>
      </c>
      <c r="W118" s="78">
        <v>0.6</v>
      </c>
      <c r="X118" s="78" t="s">
        <v>303</v>
      </c>
      <c r="Y118" s="78" t="s">
        <v>303</v>
      </c>
      <c r="Z118" s="79">
        <v>100000</v>
      </c>
      <c r="AA118" s="80">
        <v>2500000</v>
      </c>
      <c r="AB118" s="79">
        <v>50000</v>
      </c>
      <c r="AC118" s="81" t="s">
        <v>303</v>
      </c>
      <c r="AD118" s="82" t="str">
        <f>ConstructiveMatrix[[#This Row],[Borrower Experience]] &amp; "|" &amp; ConstructiveMatrix[[#This Row],[Project Type]] &amp; "|" &amp; ConstructiveMatrix[[#This Row],[Loan Type]] &amp; "|" &amp; ConstructiveMatrix[[#This Row],[Dwelling Type]] &amp; "|" &amp; ConstructiveMatrix[[#This Row],[FICO]]</f>
        <v>Silver (1-2)|Bridge (No Rehab)|Cash Out Refinance|Non-Warrantable Condo|680-739</v>
      </c>
    </row>
    <row r="119" spans="1:30" x14ac:dyDescent="0.3">
      <c r="A119" s="135" t="s">
        <v>328</v>
      </c>
      <c r="B119" s="51" t="s">
        <v>300</v>
      </c>
      <c r="C119" s="52" t="s">
        <v>249</v>
      </c>
      <c r="D119" s="53" t="s">
        <v>313</v>
      </c>
      <c r="E119" s="54" t="s">
        <v>310</v>
      </c>
      <c r="F119" s="55" t="s">
        <v>303</v>
      </c>
      <c r="G119" s="55" t="s">
        <v>303</v>
      </c>
      <c r="H119" s="55" t="s">
        <v>303</v>
      </c>
      <c r="I119" s="56" t="s">
        <v>303</v>
      </c>
      <c r="J119" s="56" t="s">
        <v>303</v>
      </c>
      <c r="K119" s="56" t="s">
        <v>303</v>
      </c>
      <c r="L119" s="57" t="s">
        <v>303</v>
      </c>
      <c r="M119" s="58" t="s">
        <v>303</v>
      </c>
      <c r="N119" s="57">
        <v>500000</v>
      </c>
      <c r="O119" s="59" t="str">
        <f>ChurchillMatrix[[#This Row],[Experience Level]] &amp; "|" &amp; ChurchillMatrix[[#This Row],[Project Type]] &amp; "|" &amp; ChurchillMatrix[[#This Row],[Loan Type]] &amp; "|" &amp; ChurchillMatrix[[#This Row],[FICO]] &amp; "|" &amp; ChurchillMatrix[[#This Row],[Number of Units]]</f>
        <v>No Experience (0-2) ($0m)|Fix and Flip (Light Rehab)|Cash Out Refinance|680 - 699|5-19 Units</v>
      </c>
      <c r="R119" s="137" t="s">
        <v>329</v>
      </c>
      <c r="S119" s="129" t="s">
        <v>255</v>
      </c>
      <c r="T119" s="102" t="s">
        <v>249</v>
      </c>
      <c r="U119" s="83" t="s">
        <v>259</v>
      </c>
      <c r="V119" s="121" t="s">
        <v>311</v>
      </c>
      <c r="W119" s="63">
        <v>0.6</v>
      </c>
      <c r="X119" s="63" t="s">
        <v>303</v>
      </c>
      <c r="Y119" s="63" t="s">
        <v>303</v>
      </c>
      <c r="Z119" s="64">
        <v>100000</v>
      </c>
      <c r="AA119" s="65">
        <v>2500000</v>
      </c>
      <c r="AB119" s="64">
        <v>50000</v>
      </c>
      <c r="AC119" s="66" t="s">
        <v>303</v>
      </c>
      <c r="AD119" s="67" t="str">
        <f>ConstructiveMatrix[[#This Row],[Borrower Experience]] &amp; "|" &amp; ConstructiveMatrix[[#This Row],[Project Type]] &amp; "|" &amp; ConstructiveMatrix[[#This Row],[Loan Type]] &amp; "|" &amp; ConstructiveMatrix[[#This Row],[Dwelling Type]] &amp; "|" &amp; ConstructiveMatrix[[#This Row],[FICO]]</f>
        <v>Silver (1-2)|Bridge (No Rehab)|Cash Out Refinance|Non-Warrantable Condo|740+</v>
      </c>
    </row>
    <row r="120" spans="1:30" x14ac:dyDescent="0.3">
      <c r="A120" s="135" t="s">
        <v>328</v>
      </c>
      <c r="B120" s="51" t="s">
        <v>300</v>
      </c>
      <c r="C120" s="52" t="s">
        <v>249</v>
      </c>
      <c r="D120" s="68" t="s">
        <v>315</v>
      </c>
      <c r="E120" s="69" t="s">
        <v>302</v>
      </c>
      <c r="F120" s="71">
        <v>0.75</v>
      </c>
      <c r="G120" s="71">
        <v>0.8</v>
      </c>
      <c r="H120" s="71">
        <v>0.7</v>
      </c>
      <c r="I120" s="72">
        <v>8.75</v>
      </c>
      <c r="J120" s="72">
        <v>0.5</v>
      </c>
      <c r="K120" s="72">
        <f t="shared" si="10"/>
        <v>9.25</v>
      </c>
      <c r="L120" s="73">
        <v>125000</v>
      </c>
      <c r="M120" s="74">
        <v>5000000</v>
      </c>
      <c r="N120" s="73">
        <v>500000</v>
      </c>
      <c r="O120" s="75" t="str">
        <f>ChurchillMatrix[[#This Row],[Experience Level]] &amp; "|" &amp; ChurchillMatrix[[#This Row],[Project Type]] &amp; "|" &amp; ChurchillMatrix[[#This Row],[Loan Type]] &amp; "|" &amp; ChurchillMatrix[[#This Row],[FICO]] &amp; "|" &amp; ChurchillMatrix[[#This Row],[Number of Units]]</f>
        <v>No Experience (0-2) ($0m)|Fix and Flip (Light Rehab)|Cash Out Refinance|&gt;=700|&lt;=4 Units</v>
      </c>
      <c r="R120" s="137" t="s">
        <v>329</v>
      </c>
      <c r="S120" s="129" t="s">
        <v>255</v>
      </c>
      <c r="T120" s="102" t="s">
        <v>249</v>
      </c>
      <c r="U120" s="85" t="s">
        <v>316</v>
      </c>
      <c r="V120" s="120" t="s">
        <v>305</v>
      </c>
      <c r="W120" s="78">
        <v>0.7</v>
      </c>
      <c r="X120" s="78" t="s">
        <v>303</v>
      </c>
      <c r="Y120" s="78" t="s">
        <v>303</v>
      </c>
      <c r="Z120" s="79">
        <v>100000</v>
      </c>
      <c r="AA120" s="80">
        <v>2500000</v>
      </c>
      <c r="AB120" s="79">
        <v>50000</v>
      </c>
      <c r="AC120" s="81" t="s">
        <v>303</v>
      </c>
      <c r="AD120" s="82" t="str">
        <f>ConstructiveMatrix[[#This Row],[Borrower Experience]] &amp; "|" &amp; ConstructiveMatrix[[#This Row],[Project Type]] &amp; "|" &amp; ConstructiveMatrix[[#This Row],[Loan Type]] &amp; "|" &amp; ConstructiveMatrix[[#This Row],[Dwelling Type]] &amp; "|" &amp; ConstructiveMatrix[[#This Row],[FICO]]</f>
        <v>Silver (1-2)|Bridge (No Rehab)|Cash Out Refinance|Other (2-4 unit)|680-739</v>
      </c>
    </row>
    <row r="121" spans="1:30" ht="15" thickBot="1" x14ac:dyDescent="0.35">
      <c r="A121" s="135" t="s">
        <v>328</v>
      </c>
      <c r="B121" s="51" t="s">
        <v>300</v>
      </c>
      <c r="C121" s="86" t="s">
        <v>249</v>
      </c>
      <c r="D121" s="87" t="s">
        <v>315</v>
      </c>
      <c r="E121" s="88" t="s">
        <v>310</v>
      </c>
      <c r="F121" s="89" t="s">
        <v>303</v>
      </c>
      <c r="G121" s="89" t="s">
        <v>303</v>
      </c>
      <c r="H121" s="89" t="s">
        <v>303</v>
      </c>
      <c r="I121" s="90" t="s">
        <v>303</v>
      </c>
      <c r="J121" s="90" t="s">
        <v>303</v>
      </c>
      <c r="K121" s="90" t="s">
        <v>303</v>
      </c>
      <c r="L121" s="91" t="s">
        <v>303</v>
      </c>
      <c r="M121" s="92" t="s">
        <v>303</v>
      </c>
      <c r="N121" s="91">
        <v>500000</v>
      </c>
      <c r="O121" s="93" t="str">
        <f>ChurchillMatrix[[#This Row],[Experience Level]] &amp; "|" &amp; ChurchillMatrix[[#This Row],[Project Type]] &amp; "|" &amp; ChurchillMatrix[[#This Row],[Loan Type]] &amp; "|" &amp; ChurchillMatrix[[#This Row],[FICO]] &amp; "|" &amp; ChurchillMatrix[[#This Row],[Number of Units]]</f>
        <v>No Experience (0-2) ($0m)|Fix and Flip (Light Rehab)|Cash Out Refinance|&gt;=700|5-19 Units</v>
      </c>
      <c r="R121" s="137" t="s">
        <v>329</v>
      </c>
      <c r="S121" s="129" t="s">
        <v>255</v>
      </c>
      <c r="T121" s="103" t="s">
        <v>249</v>
      </c>
      <c r="U121" s="94" t="s">
        <v>316</v>
      </c>
      <c r="V121" s="122" t="s">
        <v>311</v>
      </c>
      <c r="W121" s="96">
        <v>0.7</v>
      </c>
      <c r="X121" s="96" t="s">
        <v>303</v>
      </c>
      <c r="Y121" s="96" t="s">
        <v>303</v>
      </c>
      <c r="Z121" s="97">
        <v>100000</v>
      </c>
      <c r="AA121" s="98">
        <v>2500000</v>
      </c>
      <c r="AB121" s="97">
        <v>50000</v>
      </c>
      <c r="AC121" s="99" t="s">
        <v>303</v>
      </c>
      <c r="AD121" s="100" t="str">
        <f>ConstructiveMatrix[[#This Row],[Borrower Experience]] &amp; "|" &amp; ConstructiveMatrix[[#This Row],[Project Type]] &amp; "|" &amp; ConstructiveMatrix[[#This Row],[Loan Type]] &amp; "|" &amp; ConstructiveMatrix[[#This Row],[Dwelling Type]] &amp; "|" &amp; ConstructiveMatrix[[#This Row],[FICO]]</f>
        <v>Silver (1-2)|Bridge (No Rehab)|Cash Out Refinance|Other (2-4 unit)|740+</v>
      </c>
    </row>
    <row r="122" spans="1:30" x14ac:dyDescent="0.3">
      <c r="A122" s="135" t="s">
        <v>328</v>
      </c>
      <c r="B122" s="51" t="s">
        <v>300</v>
      </c>
      <c r="C122" s="27" t="s">
        <v>256</v>
      </c>
      <c r="D122" s="28" t="s">
        <v>301</v>
      </c>
      <c r="E122" s="29" t="s">
        <v>302</v>
      </c>
      <c r="F122" s="31">
        <v>0.75</v>
      </c>
      <c r="G122" s="31">
        <v>0.8</v>
      </c>
      <c r="H122" s="31">
        <v>0.7</v>
      </c>
      <c r="I122" s="32">
        <v>8.75</v>
      </c>
      <c r="J122" s="32">
        <v>0.25</v>
      </c>
      <c r="K122" s="32">
        <f t="shared" si="10"/>
        <v>9</v>
      </c>
      <c r="L122" s="33">
        <v>125000</v>
      </c>
      <c r="M122" s="34">
        <v>5000000</v>
      </c>
      <c r="N122" s="33" t="s">
        <v>303</v>
      </c>
      <c r="O122" s="35" t="str">
        <f>ChurchillMatrix[[#This Row],[Experience Level]] &amp; "|" &amp; ChurchillMatrix[[#This Row],[Project Type]] &amp; "|" &amp; ChurchillMatrix[[#This Row],[Loan Type]] &amp; "|" &amp; ChurchillMatrix[[#This Row],[FICO]] &amp; "|" &amp; ChurchillMatrix[[#This Row],[Number of Units]]</f>
        <v>No Experience (0-2) ($0m)|Fix and Flip (Light Rehab)|Rate and Term Refinance|660 - 679|&lt;=4 Units</v>
      </c>
      <c r="R122" s="137" t="s">
        <v>329</v>
      </c>
      <c r="S122" s="129" t="s">
        <v>255</v>
      </c>
      <c r="T122" s="27" t="s">
        <v>256</v>
      </c>
      <c r="U122" s="37" t="s">
        <v>250</v>
      </c>
      <c r="V122" s="123" t="s">
        <v>305</v>
      </c>
      <c r="W122" s="39">
        <v>0.75</v>
      </c>
      <c r="X122" s="39" t="s">
        <v>303</v>
      </c>
      <c r="Y122" s="39" t="s">
        <v>303</v>
      </c>
      <c r="Z122" s="40">
        <v>100000</v>
      </c>
      <c r="AA122" s="41">
        <v>2500000</v>
      </c>
      <c r="AB122" s="40">
        <v>50000</v>
      </c>
      <c r="AC122" s="42" t="s">
        <v>303</v>
      </c>
      <c r="AD122" s="43" t="str">
        <f>ConstructiveMatrix[[#This Row],[Borrower Experience]] &amp; "|" &amp; ConstructiveMatrix[[#This Row],[Project Type]] &amp; "|" &amp; ConstructiveMatrix[[#This Row],[Loan Type]] &amp; "|" &amp; ConstructiveMatrix[[#This Row],[Dwelling Type]] &amp; "|" &amp; ConstructiveMatrix[[#This Row],[FICO]]</f>
        <v>Silver (1-2)|Bridge (No Rehab)|Rate and Term Refinance|Single Family|680-739</v>
      </c>
    </row>
    <row r="123" spans="1:30" x14ac:dyDescent="0.3">
      <c r="A123" s="135" t="s">
        <v>328</v>
      </c>
      <c r="B123" s="51" t="s">
        <v>300</v>
      </c>
      <c r="C123" s="104" t="s">
        <v>256</v>
      </c>
      <c r="D123" s="53" t="s">
        <v>301</v>
      </c>
      <c r="E123" s="54" t="s">
        <v>310</v>
      </c>
      <c r="F123" s="55" t="s">
        <v>303</v>
      </c>
      <c r="G123" s="55" t="s">
        <v>303</v>
      </c>
      <c r="H123" s="55" t="s">
        <v>303</v>
      </c>
      <c r="I123" s="56" t="s">
        <v>303</v>
      </c>
      <c r="J123" s="56" t="s">
        <v>303</v>
      </c>
      <c r="K123" s="56" t="s">
        <v>303</v>
      </c>
      <c r="L123" s="57" t="s">
        <v>303</v>
      </c>
      <c r="M123" s="58" t="s">
        <v>303</v>
      </c>
      <c r="N123" s="57" t="s">
        <v>303</v>
      </c>
      <c r="O123" s="59" t="str">
        <f>ChurchillMatrix[[#This Row],[Experience Level]] &amp; "|" &amp; ChurchillMatrix[[#This Row],[Project Type]] &amp; "|" &amp; ChurchillMatrix[[#This Row],[Loan Type]] &amp; "|" &amp; ChurchillMatrix[[#This Row],[FICO]] &amp; "|" &amp; ChurchillMatrix[[#This Row],[Number of Units]]</f>
        <v>No Experience (0-2) ($0m)|Fix and Flip (Light Rehab)|Rate and Term Refinance|660 - 679|5-19 Units</v>
      </c>
      <c r="R123" s="137" t="s">
        <v>329</v>
      </c>
      <c r="S123" s="129" t="s">
        <v>255</v>
      </c>
      <c r="T123" s="52" t="s">
        <v>256</v>
      </c>
      <c r="U123" s="61" t="s">
        <v>250</v>
      </c>
      <c r="V123" s="121" t="s">
        <v>311</v>
      </c>
      <c r="W123" s="63">
        <v>0.75</v>
      </c>
      <c r="X123" s="63" t="s">
        <v>303</v>
      </c>
      <c r="Y123" s="63" t="s">
        <v>303</v>
      </c>
      <c r="Z123" s="64">
        <v>100000</v>
      </c>
      <c r="AA123" s="65">
        <v>2500000</v>
      </c>
      <c r="AB123" s="64">
        <v>50000</v>
      </c>
      <c r="AC123" s="66" t="s">
        <v>303</v>
      </c>
      <c r="AD123" s="67" t="str">
        <f>ConstructiveMatrix[[#This Row],[Borrower Experience]] &amp; "|" &amp; ConstructiveMatrix[[#This Row],[Project Type]] &amp; "|" &amp; ConstructiveMatrix[[#This Row],[Loan Type]] &amp; "|" &amp; ConstructiveMatrix[[#This Row],[Dwelling Type]] &amp; "|" &amp; ConstructiveMatrix[[#This Row],[FICO]]</f>
        <v>Silver (1-2)|Bridge (No Rehab)|Rate and Term Refinance|Single Family|740+</v>
      </c>
    </row>
    <row r="124" spans="1:30" x14ac:dyDescent="0.3">
      <c r="A124" s="135" t="s">
        <v>328</v>
      </c>
      <c r="B124" s="51" t="s">
        <v>300</v>
      </c>
      <c r="C124" s="52" t="s">
        <v>256</v>
      </c>
      <c r="D124" s="68" t="s">
        <v>313</v>
      </c>
      <c r="E124" s="69" t="s">
        <v>302</v>
      </c>
      <c r="F124" s="71">
        <v>0.75</v>
      </c>
      <c r="G124" s="71">
        <v>0.8</v>
      </c>
      <c r="H124" s="71">
        <v>0.7</v>
      </c>
      <c r="I124" s="72">
        <v>8.75</v>
      </c>
      <c r="J124" s="72">
        <v>0.25</v>
      </c>
      <c r="K124" s="72">
        <f t="shared" si="10"/>
        <v>9</v>
      </c>
      <c r="L124" s="73">
        <v>125000</v>
      </c>
      <c r="M124" s="74">
        <v>5000000</v>
      </c>
      <c r="N124" s="73" t="s">
        <v>303</v>
      </c>
      <c r="O124" s="75" t="str">
        <f>ChurchillMatrix[[#This Row],[Experience Level]] &amp; "|" &amp; ChurchillMatrix[[#This Row],[Project Type]] &amp; "|" &amp; ChurchillMatrix[[#This Row],[Loan Type]] &amp; "|" &amp; ChurchillMatrix[[#This Row],[FICO]] &amp; "|" &amp; ChurchillMatrix[[#This Row],[Number of Units]]</f>
        <v>No Experience (0-2) ($0m)|Fix and Flip (Light Rehab)|Rate and Term Refinance|680 - 699|&lt;=4 Units</v>
      </c>
      <c r="R124" s="137" t="s">
        <v>329</v>
      </c>
      <c r="S124" s="129" t="s">
        <v>255</v>
      </c>
      <c r="T124" s="52" t="s">
        <v>256</v>
      </c>
      <c r="U124" s="76" t="s">
        <v>259</v>
      </c>
      <c r="V124" s="120" t="s">
        <v>305</v>
      </c>
      <c r="W124" s="78">
        <v>0.65</v>
      </c>
      <c r="X124" s="78" t="s">
        <v>303</v>
      </c>
      <c r="Y124" s="78" t="s">
        <v>303</v>
      </c>
      <c r="Z124" s="79">
        <v>100000</v>
      </c>
      <c r="AA124" s="80">
        <v>2500000</v>
      </c>
      <c r="AB124" s="79">
        <v>50000</v>
      </c>
      <c r="AC124" s="81" t="s">
        <v>303</v>
      </c>
      <c r="AD124" s="82" t="str">
        <f>ConstructiveMatrix[[#This Row],[Borrower Experience]] &amp; "|" &amp; ConstructiveMatrix[[#This Row],[Project Type]] &amp; "|" &amp; ConstructiveMatrix[[#This Row],[Loan Type]] &amp; "|" &amp; ConstructiveMatrix[[#This Row],[Dwelling Type]] &amp; "|" &amp; ConstructiveMatrix[[#This Row],[FICO]]</f>
        <v>Silver (1-2)|Bridge (No Rehab)|Rate and Term Refinance|Non-Warrantable Condo|680-739</v>
      </c>
    </row>
    <row r="125" spans="1:30" x14ac:dyDescent="0.3">
      <c r="A125" s="135" t="s">
        <v>328</v>
      </c>
      <c r="B125" s="51" t="s">
        <v>300</v>
      </c>
      <c r="C125" s="104" t="s">
        <v>256</v>
      </c>
      <c r="D125" s="53" t="s">
        <v>313</v>
      </c>
      <c r="E125" s="54" t="s">
        <v>310</v>
      </c>
      <c r="F125" s="55" t="s">
        <v>303</v>
      </c>
      <c r="G125" s="55" t="s">
        <v>303</v>
      </c>
      <c r="H125" s="55" t="s">
        <v>303</v>
      </c>
      <c r="I125" s="56" t="s">
        <v>303</v>
      </c>
      <c r="J125" s="56" t="s">
        <v>303</v>
      </c>
      <c r="K125" s="56" t="s">
        <v>303</v>
      </c>
      <c r="L125" s="57" t="s">
        <v>303</v>
      </c>
      <c r="M125" s="58" t="s">
        <v>303</v>
      </c>
      <c r="N125" s="57" t="s">
        <v>303</v>
      </c>
      <c r="O125" s="59" t="str">
        <f>ChurchillMatrix[[#This Row],[Experience Level]] &amp; "|" &amp; ChurchillMatrix[[#This Row],[Project Type]] &amp; "|" &amp; ChurchillMatrix[[#This Row],[Loan Type]] &amp; "|" &amp; ChurchillMatrix[[#This Row],[FICO]] &amp; "|" &amp; ChurchillMatrix[[#This Row],[Number of Units]]</f>
        <v>No Experience (0-2) ($0m)|Fix and Flip (Light Rehab)|Rate and Term Refinance|680 - 699|5-19 Units</v>
      </c>
      <c r="R125" s="137" t="s">
        <v>329</v>
      </c>
      <c r="S125" s="129" t="s">
        <v>255</v>
      </c>
      <c r="T125" s="52" t="s">
        <v>256</v>
      </c>
      <c r="U125" s="83" t="s">
        <v>259</v>
      </c>
      <c r="V125" s="121" t="s">
        <v>311</v>
      </c>
      <c r="W125" s="63">
        <v>0.65</v>
      </c>
      <c r="X125" s="63" t="s">
        <v>303</v>
      </c>
      <c r="Y125" s="63" t="s">
        <v>303</v>
      </c>
      <c r="Z125" s="64">
        <v>100000</v>
      </c>
      <c r="AA125" s="65">
        <v>2500000</v>
      </c>
      <c r="AB125" s="64">
        <v>50000</v>
      </c>
      <c r="AC125" s="66" t="s">
        <v>303</v>
      </c>
      <c r="AD125" s="67" t="str">
        <f>ConstructiveMatrix[[#This Row],[Borrower Experience]] &amp; "|" &amp; ConstructiveMatrix[[#This Row],[Project Type]] &amp; "|" &amp; ConstructiveMatrix[[#This Row],[Loan Type]] &amp; "|" &amp; ConstructiveMatrix[[#This Row],[Dwelling Type]] &amp; "|" &amp; ConstructiveMatrix[[#This Row],[FICO]]</f>
        <v>Silver (1-2)|Bridge (No Rehab)|Rate and Term Refinance|Non-Warrantable Condo|740+</v>
      </c>
    </row>
    <row r="126" spans="1:30" x14ac:dyDescent="0.3">
      <c r="A126" s="135" t="s">
        <v>328</v>
      </c>
      <c r="B126" s="51" t="s">
        <v>300</v>
      </c>
      <c r="C126" s="52" t="s">
        <v>256</v>
      </c>
      <c r="D126" s="68" t="s">
        <v>315</v>
      </c>
      <c r="E126" s="69" t="s">
        <v>302</v>
      </c>
      <c r="F126" s="71">
        <v>0.75</v>
      </c>
      <c r="G126" s="71">
        <v>0.8</v>
      </c>
      <c r="H126" s="71">
        <v>0.7</v>
      </c>
      <c r="I126" s="72">
        <v>8.75</v>
      </c>
      <c r="J126" s="72">
        <v>0</v>
      </c>
      <c r="K126" s="72">
        <f t="shared" si="10"/>
        <v>8.75</v>
      </c>
      <c r="L126" s="73">
        <v>125000</v>
      </c>
      <c r="M126" s="74">
        <v>5000000</v>
      </c>
      <c r="N126" s="73" t="s">
        <v>303</v>
      </c>
      <c r="O126" s="75" t="str">
        <f>ChurchillMatrix[[#This Row],[Experience Level]] &amp; "|" &amp; ChurchillMatrix[[#This Row],[Project Type]] &amp; "|" &amp; ChurchillMatrix[[#This Row],[Loan Type]] &amp; "|" &amp; ChurchillMatrix[[#This Row],[FICO]] &amp; "|" &amp; ChurchillMatrix[[#This Row],[Number of Units]]</f>
        <v>No Experience (0-2) ($0m)|Fix and Flip (Light Rehab)|Rate and Term Refinance|&gt;=700|&lt;=4 Units</v>
      </c>
      <c r="R126" s="137" t="s">
        <v>329</v>
      </c>
      <c r="S126" s="129" t="s">
        <v>255</v>
      </c>
      <c r="T126" s="52" t="s">
        <v>256</v>
      </c>
      <c r="U126" s="85" t="s">
        <v>316</v>
      </c>
      <c r="V126" s="120" t="s">
        <v>305</v>
      </c>
      <c r="W126" s="78">
        <v>0.75</v>
      </c>
      <c r="X126" s="78" t="s">
        <v>303</v>
      </c>
      <c r="Y126" s="78" t="s">
        <v>303</v>
      </c>
      <c r="Z126" s="79">
        <v>100000</v>
      </c>
      <c r="AA126" s="80">
        <v>2500000</v>
      </c>
      <c r="AB126" s="79">
        <v>50000</v>
      </c>
      <c r="AC126" s="81" t="s">
        <v>303</v>
      </c>
      <c r="AD126" s="82" t="str">
        <f>ConstructiveMatrix[[#This Row],[Borrower Experience]] &amp; "|" &amp; ConstructiveMatrix[[#This Row],[Project Type]] &amp; "|" &amp; ConstructiveMatrix[[#This Row],[Loan Type]] &amp; "|" &amp; ConstructiveMatrix[[#This Row],[Dwelling Type]] &amp; "|" &amp; ConstructiveMatrix[[#This Row],[FICO]]</f>
        <v>Silver (1-2)|Bridge (No Rehab)|Rate and Term Refinance|Other (2-4 unit)|680-739</v>
      </c>
    </row>
    <row r="127" spans="1:30" ht="15" thickBot="1" x14ac:dyDescent="0.35">
      <c r="A127" s="135" t="s">
        <v>328</v>
      </c>
      <c r="B127" s="111" t="s">
        <v>300</v>
      </c>
      <c r="C127" s="86" t="s">
        <v>256</v>
      </c>
      <c r="D127" s="87" t="s">
        <v>315</v>
      </c>
      <c r="E127" s="88" t="s">
        <v>310</v>
      </c>
      <c r="F127" s="89" t="s">
        <v>303</v>
      </c>
      <c r="G127" s="89" t="s">
        <v>303</v>
      </c>
      <c r="H127" s="89" t="s">
        <v>303</v>
      </c>
      <c r="I127" s="90" t="s">
        <v>303</v>
      </c>
      <c r="J127" s="90" t="s">
        <v>303</v>
      </c>
      <c r="K127" s="90" t="s">
        <v>303</v>
      </c>
      <c r="L127" s="91" t="s">
        <v>303</v>
      </c>
      <c r="M127" s="92" t="s">
        <v>303</v>
      </c>
      <c r="N127" s="91" t="s">
        <v>303</v>
      </c>
      <c r="O127" s="93" t="str">
        <f>ChurchillMatrix[[#This Row],[Experience Level]] &amp; "|" &amp; ChurchillMatrix[[#This Row],[Project Type]] &amp; "|" &amp; ChurchillMatrix[[#This Row],[Loan Type]] &amp; "|" &amp; ChurchillMatrix[[#This Row],[FICO]] &amp; "|" &amp; ChurchillMatrix[[#This Row],[Number of Units]]</f>
        <v>No Experience (0-2) ($0m)|Fix and Flip (Light Rehab)|Rate and Term Refinance|&gt;=700|5-19 Units</v>
      </c>
      <c r="R127" s="137" t="s">
        <v>329</v>
      </c>
      <c r="S127" s="132" t="s">
        <v>255</v>
      </c>
      <c r="T127" s="86" t="s">
        <v>256</v>
      </c>
      <c r="U127" s="94" t="s">
        <v>316</v>
      </c>
      <c r="V127" s="113" t="s">
        <v>311</v>
      </c>
      <c r="W127" s="114">
        <v>0.75</v>
      </c>
      <c r="X127" s="114" t="s">
        <v>303</v>
      </c>
      <c r="Y127" s="114" t="s">
        <v>303</v>
      </c>
      <c r="Z127" s="115">
        <v>100000</v>
      </c>
      <c r="AA127" s="116">
        <v>2500000</v>
      </c>
      <c r="AB127" s="115">
        <v>50000</v>
      </c>
      <c r="AC127" s="117" t="s">
        <v>303</v>
      </c>
      <c r="AD127" s="100" t="str">
        <f>ConstructiveMatrix[[#This Row],[Borrower Experience]] &amp; "|" &amp; ConstructiveMatrix[[#This Row],[Project Type]] &amp; "|" &amp; ConstructiveMatrix[[#This Row],[Loan Type]] &amp; "|" &amp; ConstructiveMatrix[[#This Row],[Dwelling Type]] &amp; "|" &amp; ConstructiveMatrix[[#This Row],[FICO]]</f>
        <v>Silver (1-2)|Bridge (No Rehab)|Rate and Term Refinance|Other (2-4 unit)|740+</v>
      </c>
    </row>
    <row r="128" spans="1:30" ht="15" customHeight="1" x14ac:dyDescent="0.3">
      <c r="A128" s="135" t="s">
        <v>328</v>
      </c>
      <c r="B128" s="26" t="s">
        <v>318</v>
      </c>
      <c r="C128" s="27" t="s">
        <v>251</v>
      </c>
      <c r="D128" s="28" t="s">
        <v>301</v>
      </c>
      <c r="E128" s="29" t="s">
        <v>302</v>
      </c>
      <c r="F128" s="112" t="s">
        <v>303</v>
      </c>
      <c r="G128" s="112" t="s">
        <v>303</v>
      </c>
      <c r="H128" s="31" t="s">
        <v>303</v>
      </c>
      <c r="I128" s="32" t="s">
        <v>303</v>
      </c>
      <c r="J128" s="32" t="s">
        <v>303</v>
      </c>
      <c r="K128" s="32" t="s">
        <v>303</v>
      </c>
      <c r="L128" s="33" t="s">
        <v>303</v>
      </c>
      <c r="M128" s="34" t="s">
        <v>303</v>
      </c>
      <c r="N128" s="33" t="s">
        <v>303</v>
      </c>
      <c r="O128" s="35" t="str">
        <f>ChurchillMatrix[[#This Row],[Experience Level]] &amp; "|" &amp; ChurchillMatrix[[#This Row],[Project Type]] &amp; "|" &amp; ChurchillMatrix[[#This Row],[Loan Type]] &amp; "|" &amp; ChurchillMatrix[[#This Row],[FICO]] &amp; "|" &amp; ChurchillMatrix[[#This Row],[Number of Units]]</f>
        <v>No Experience (0-2) ($0m)|Fix and Flip (Heavy Rehab)|Purchase|660 - 679|&lt;=4 Units</v>
      </c>
      <c r="R128" s="137" t="s">
        <v>329</v>
      </c>
      <c r="S128" s="126" t="s">
        <v>300</v>
      </c>
      <c r="T128" s="27" t="s">
        <v>251</v>
      </c>
      <c r="U128" s="37" t="s">
        <v>250</v>
      </c>
      <c r="V128" s="123" t="s">
        <v>305</v>
      </c>
      <c r="W128" s="39">
        <v>0.8</v>
      </c>
      <c r="X128" s="39">
        <v>0.85</v>
      </c>
      <c r="Y128" s="39">
        <v>0.75</v>
      </c>
      <c r="Z128" s="40">
        <v>100000</v>
      </c>
      <c r="AA128" s="41">
        <v>2500000</v>
      </c>
      <c r="AB128" s="40">
        <v>30000</v>
      </c>
      <c r="AC128" s="42">
        <v>50000</v>
      </c>
      <c r="AD128" s="43" t="str">
        <f>ConstructiveMatrix[[#This Row],[Borrower Experience]] &amp; "|" &amp; ConstructiveMatrix[[#This Row],[Project Type]] &amp; "|" &amp; ConstructiveMatrix[[#This Row],[Loan Type]] &amp; "|" &amp; ConstructiveMatrix[[#This Row],[Dwelling Type]] &amp; "|" &amp; ConstructiveMatrix[[#This Row],[FICO]]</f>
        <v>Silver (1-2)|Fix and Flip (Light Rehab)|Purchase|Single Family|680-739</v>
      </c>
    </row>
    <row r="129" spans="1:30" x14ac:dyDescent="0.3">
      <c r="A129" s="135" t="s">
        <v>328</v>
      </c>
      <c r="B129" s="51" t="s">
        <v>318</v>
      </c>
      <c r="C129" s="52" t="s">
        <v>251</v>
      </c>
      <c r="D129" s="53" t="s">
        <v>301</v>
      </c>
      <c r="E129" s="54" t="s">
        <v>310</v>
      </c>
      <c r="F129" s="55" t="s">
        <v>303</v>
      </c>
      <c r="G129" s="55" t="s">
        <v>303</v>
      </c>
      <c r="H129" s="55" t="s">
        <v>303</v>
      </c>
      <c r="I129" s="56" t="s">
        <v>303</v>
      </c>
      <c r="J129" s="56" t="s">
        <v>303</v>
      </c>
      <c r="K129" s="56" t="s">
        <v>303</v>
      </c>
      <c r="L129" s="57" t="s">
        <v>303</v>
      </c>
      <c r="M129" s="58" t="s">
        <v>303</v>
      </c>
      <c r="N129" s="57" t="s">
        <v>303</v>
      </c>
      <c r="O129" s="59" t="str">
        <f>ChurchillMatrix[[#This Row],[Experience Level]] &amp; "|" &amp; ChurchillMatrix[[#This Row],[Project Type]] &amp; "|" &amp; ChurchillMatrix[[#This Row],[Loan Type]] &amp; "|" &amp; ChurchillMatrix[[#This Row],[FICO]] &amp; "|" &amp; ChurchillMatrix[[#This Row],[Number of Units]]</f>
        <v>No Experience (0-2) ($0m)|Fix and Flip (Heavy Rehab)|Purchase|660 - 679|5-19 Units</v>
      </c>
      <c r="R129" s="137" t="s">
        <v>329</v>
      </c>
      <c r="S129" s="129" t="s">
        <v>300</v>
      </c>
      <c r="T129" s="52" t="s">
        <v>251</v>
      </c>
      <c r="U129" s="61" t="s">
        <v>250</v>
      </c>
      <c r="V129" s="121" t="s">
        <v>311</v>
      </c>
      <c r="W129" s="63">
        <v>0.8</v>
      </c>
      <c r="X129" s="63">
        <v>0.85</v>
      </c>
      <c r="Y129" s="63">
        <v>0.75</v>
      </c>
      <c r="Z129" s="64">
        <v>100000</v>
      </c>
      <c r="AA129" s="65">
        <v>2500000</v>
      </c>
      <c r="AB129" s="64">
        <v>30000</v>
      </c>
      <c r="AC129" s="66">
        <v>50000</v>
      </c>
      <c r="AD129" s="67" t="str">
        <f>ConstructiveMatrix[[#This Row],[Borrower Experience]] &amp; "|" &amp; ConstructiveMatrix[[#This Row],[Project Type]] &amp; "|" &amp; ConstructiveMatrix[[#This Row],[Loan Type]] &amp; "|" &amp; ConstructiveMatrix[[#This Row],[Dwelling Type]] &amp; "|" &amp; ConstructiveMatrix[[#This Row],[FICO]]</f>
        <v>Silver (1-2)|Fix and Flip (Light Rehab)|Purchase|Single Family|740+</v>
      </c>
    </row>
    <row r="130" spans="1:30" x14ac:dyDescent="0.3">
      <c r="A130" s="135" t="s">
        <v>328</v>
      </c>
      <c r="B130" s="51" t="s">
        <v>318</v>
      </c>
      <c r="C130" s="52" t="s">
        <v>251</v>
      </c>
      <c r="D130" s="68" t="s">
        <v>313</v>
      </c>
      <c r="E130" s="69" t="s">
        <v>302</v>
      </c>
      <c r="F130" s="131" t="s">
        <v>303</v>
      </c>
      <c r="G130" s="131" t="s">
        <v>303</v>
      </c>
      <c r="H130" s="71" t="s">
        <v>303</v>
      </c>
      <c r="I130" s="72" t="s">
        <v>303</v>
      </c>
      <c r="J130" s="72" t="s">
        <v>303</v>
      </c>
      <c r="K130" s="72" t="s">
        <v>303</v>
      </c>
      <c r="L130" s="73" t="s">
        <v>303</v>
      </c>
      <c r="M130" s="74" t="s">
        <v>303</v>
      </c>
      <c r="N130" s="73" t="s">
        <v>303</v>
      </c>
      <c r="O130" s="75" t="str">
        <f>ChurchillMatrix[[#This Row],[Experience Level]] &amp; "|" &amp; ChurchillMatrix[[#This Row],[Project Type]] &amp; "|" &amp; ChurchillMatrix[[#This Row],[Loan Type]] &amp; "|" &amp; ChurchillMatrix[[#This Row],[FICO]] &amp; "|" &amp; ChurchillMatrix[[#This Row],[Number of Units]]</f>
        <v>No Experience (0-2) ($0m)|Fix and Flip (Heavy Rehab)|Purchase|680 - 699|&lt;=4 Units</v>
      </c>
      <c r="R130" s="137" t="s">
        <v>329</v>
      </c>
      <c r="S130" s="129" t="s">
        <v>300</v>
      </c>
      <c r="T130" s="52" t="s">
        <v>251</v>
      </c>
      <c r="U130" s="76" t="s">
        <v>259</v>
      </c>
      <c r="V130" s="120" t="s">
        <v>305</v>
      </c>
      <c r="W130" s="78">
        <v>0.65</v>
      </c>
      <c r="X130" s="78">
        <v>0.85</v>
      </c>
      <c r="Y130" s="78">
        <v>0.65</v>
      </c>
      <c r="Z130" s="79">
        <v>100000</v>
      </c>
      <c r="AA130" s="80">
        <v>2500000</v>
      </c>
      <c r="AB130" s="79">
        <v>30000</v>
      </c>
      <c r="AC130" s="81">
        <v>50000</v>
      </c>
      <c r="AD130" s="82" t="str">
        <f>ConstructiveMatrix[[#This Row],[Borrower Experience]] &amp; "|" &amp; ConstructiveMatrix[[#This Row],[Project Type]] &amp; "|" &amp; ConstructiveMatrix[[#This Row],[Loan Type]] &amp; "|" &amp; ConstructiveMatrix[[#This Row],[Dwelling Type]] &amp; "|" &amp; ConstructiveMatrix[[#This Row],[FICO]]</f>
        <v>Silver (1-2)|Fix and Flip (Light Rehab)|Purchase|Non-Warrantable Condo|680-739</v>
      </c>
    </row>
    <row r="131" spans="1:30" x14ac:dyDescent="0.3">
      <c r="A131" s="135" t="s">
        <v>328</v>
      </c>
      <c r="B131" s="51" t="s">
        <v>318</v>
      </c>
      <c r="C131" s="52" t="s">
        <v>251</v>
      </c>
      <c r="D131" s="53" t="s">
        <v>313</v>
      </c>
      <c r="E131" s="54" t="s">
        <v>310</v>
      </c>
      <c r="F131" s="55" t="s">
        <v>303</v>
      </c>
      <c r="G131" s="55" t="s">
        <v>303</v>
      </c>
      <c r="H131" s="55" t="s">
        <v>303</v>
      </c>
      <c r="I131" s="56" t="s">
        <v>303</v>
      </c>
      <c r="J131" s="56" t="s">
        <v>303</v>
      </c>
      <c r="K131" s="56" t="s">
        <v>303</v>
      </c>
      <c r="L131" s="57" t="s">
        <v>303</v>
      </c>
      <c r="M131" s="58" t="s">
        <v>303</v>
      </c>
      <c r="N131" s="57" t="s">
        <v>303</v>
      </c>
      <c r="O131" s="59" t="str">
        <f>ChurchillMatrix[[#This Row],[Experience Level]] &amp; "|" &amp; ChurchillMatrix[[#This Row],[Project Type]] &amp; "|" &amp; ChurchillMatrix[[#This Row],[Loan Type]] &amp; "|" &amp; ChurchillMatrix[[#This Row],[FICO]] &amp; "|" &amp; ChurchillMatrix[[#This Row],[Number of Units]]</f>
        <v>No Experience (0-2) ($0m)|Fix and Flip (Heavy Rehab)|Purchase|680 - 699|5-19 Units</v>
      </c>
      <c r="R131" s="137" t="s">
        <v>329</v>
      </c>
      <c r="S131" s="129" t="s">
        <v>300</v>
      </c>
      <c r="T131" s="52" t="s">
        <v>251</v>
      </c>
      <c r="U131" s="83" t="s">
        <v>259</v>
      </c>
      <c r="V131" s="121" t="s">
        <v>311</v>
      </c>
      <c r="W131" s="63">
        <v>0.65</v>
      </c>
      <c r="X131" s="63">
        <v>0.85</v>
      </c>
      <c r="Y131" s="63">
        <v>0.65</v>
      </c>
      <c r="Z131" s="64">
        <v>100000</v>
      </c>
      <c r="AA131" s="65">
        <v>2500000</v>
      </c>
      <c r="AB131" s="64">
        <v>30000</v>
      </c>
      <c r="AC131" s="66">
        <v>50000</v>
      </c>
      <c r="AD131" s="67" t="str">
        <f>ConstructiveMatrix[[#This Row],[Borrower Experience]] &amp; "|" &amp; ConstructiveMatrix[[#This Row],[Project Type]] &amp; "|" &amp; ConstructiveMatrix[[#This Row],[Loan Type]] &amp; "|" &amp; ConstructiveMatrix[[#This Row],[Dwelling Type]] &amp; "|" &amp; ConstructiveMatrix[[#This Row],[FICO]]</f>
        <v>Silver (1-2)|Fix and Flip (Light Rehab)|Purchase|Non-Warrantable Condo|740+</v>
      </c>
    </row>
    <row r="132" spans="1:30" x14ac:dyDescent="0.3">
      <c r="A132" s="135" t="s">
        <v>328</v>
      </c>
      <c r="B132" s="51" t="s">
        <v>318</v>
      </c>
      <c r="C132" s="52" t="s">
        <v>251</v>
      </c>
      <c r="D132" s="68" t="s">
        <v>315</v>
      </c>
      <c r="E132" s="69" t="s">
        <v>302</v>
      </c>
      <c r="F132" s="131" t="s">
        <v>303</v>
      </c>
      <c r="G132" s="131" t="s">
        <v>303</v>
      </c>
      <c r="H132" s="71" t="s">
        <v>303</v>
      </c>
      <c r="I132" s="72" t="s">
        <v>303</v>
      </c>
      <c r="J132" s="72" t="s">
        <v>303</v>
      </c>
      <c r="K132" s="72" t="s">
        <v>303</v>
      </c>
      <c r="L132" s="73" t="s">
        <v>303</v>
      </c>
      <c r="M132" s="74" t="s">
        <v>303</v>
      </c>
      <c r="N132" s="73" t="s">
        <v>303</v>
      </c>
      <c r="O132" s="75" t="str">
        <f>ChurchillMatrix[[#This Row],[Experience Level]] &amp; "|" &amp; ChurchillMatrix[[#This Row],[Project Type]] &amp; "|" &amp; ChurchillMatrix[[#This Row],[Loan Type]] &amp; "|" &amp; ChurchillMatrix[[#This Row],[FICO]] &amp; "|" &amp; ChurchillMatrix[[#This Row],[Number of Units]]</f>
        <v>No Experience (0-2) ($0m)|Fix and Flip (Heavy Rehab)|Purchase|&gt;=700|&lt;=4 Units</v>
      </c>
      <c r="R132" s="137" t="s">
        <v>329</v>
      </c>
      <c r="S132" s="129" t="s">
        <v>300</v>
      </c>
      <c r="T132" s="52" t="s">
        <v>251</v>
      </c>
      <c r="U132" s="85" t="s">
        <v>316</v>
      </c>
      <c r="V132" s="120" t="s">
        <v>305</v>
      </c>
      <c r="W132" s="78">
        <v>0.8</v>
      </c>
      <c r="X132" s="78">
        <v>0.85</v>
      </c>
      <c r="Y132" s="78">
        <v>0.75</v>
      </c>
      <c r="Z132" s="79">
        <v>100000</v>
      </c>
      <c r="AA132" s="80">
        <v>2500000</v>
      </c>
      <c r="AB132" s="79">
        <v>30000</v>
      </c>
      <c r="AC132" s="81">
        <v>50000</v>
      </c>
      <c r="AD132" s="82" t="str">
        <f>ConstructiveMatrix[[#This Row],[Borrower Experience]] &amp; "|" &amp; ConstructiveMatrix[[#This Row],[Project Type]] &amp; "|" &amp; ConstructiveMatrix[[#This Row],[Loan Type]] &amp; "|" &amp; ConstructiveMatrix[[#This Row],[Dwelling Type]] &amp; "|" &amp; ConstructiveMatrix[[#This Row],[FICO]]</f>
        <v>Silver (1-2)|Fix and Flip (Light Rehab)|Purchase|Other (2-4 unit)|680-739</v>
      </c>
    </row>
    <row r="133" spans="1:30" ht="15" thickBot="1" x14ac:dyDescent="0.35">
      <c r="A133" s="135" t="s">
        <v>328</v>
      </c>
      <c r="B133" s="51" t="s">
        <v>318</v>
      </c>
      <c r="C133" s="86" t="s">
        <v>251</v>
      </c>
      <c r="D133" s="87" t="s">
        <v>315</v>
      </c>
      <c r="E133" s="88" t="s">
        <v>310</v>
      </c>
      <c r="F133" s="89" t="s">
        <v>303</v>
      </c>
      <c r="G133" s="89" t="s">
        <v>303</v>
      </c>
      <c r="H133" s="89" t="s">
        <v>303</v>
      </c>
      <c r="I133" s="90" t="s">
        <v>303</v>
      </c>
      <c r="J133" s="90" t="s">
        <v>303</v>
      </c>
      <c r="K133" s="90" t="s">
        <v>303</v>
      </c>
      <c r="L133" s="91" t="s">
        <v>303</v>
      </c>
      <c r="M133" s="92" t="s">
        <v>303</v>
      </c>
      <c r="N133" s="91" t="s">
        <v>303</v>
      </c>
      <c r="O133" s="93" t="str">
        <f>ChurchillMatrix[[#This Row],[Experience Level]] &amp; "|" &amp; ChurchillMatrix[[#This Row],[Project Type]] &amp; "|" &amp; ChurchillMatrix[[#This Row],[Loan Type]] &amp; "|" &amp; ChurchillMatrix[[#This Row],[FICO]] &amp; "|" &amp; ChurchillMatrix[[#This Row],[Number of Units]]</f>
        <v>No Experience (0-2) ($0m)|Fix and Flip (Heavy Rehab)|Purchase|&gt;=700|5-19 Units</v>
      </c>
      <c r="R133" s="137" t="s">
        <v>329</v>
      </c>
      <c r="S133" s="129" t="s">
        <v>300</v>
      </c>
      <c r="T133" s="86" t="s">
        <v>251</v>
      </c>
      <c r="U133" s="94" t="s">
        <v>316</v>
      </c>
      <c r="V133" s="122" t="s">
        <v>311</v>
      </c>
      <c r="W133" s="96">
        <v>0.8</v>
      </c>
      <c r="X133" s="96">
        <v>0.85</v>
      </c>
      <c r="Y133" s="96">
        <v>0.75</v>
      </c>
      <c r="Z133" s="97">
        <v>100000</v>
      </c>
      <c r="AA133" s="98">
        <v>2500000</v>
      </c>
      <c r="AB133" s="97">
        <v>30000</v>
      </c>
      <c r="AC133" s="99">
        <v>50000</v>
      </c>
      <c r="AD133" s="100" t="str">
        <f>ConstructiveMatrix[[#This Row],[Borrower Experience]] &amp; "|" &amp; ConstructiveMatrix[[#This Row],[Project Type]] &amp; "|" &amp; ConstructiveMatrix[[#This Row],[Loan Type]] &amp; "|" &amp; ConstructiveMatrix[[#This Row],[Dwelling Type]] &amp; "|" &amp; ConstructiveMatrix[[#This Row],[FICO]]</f>
        <v>Silver (1-2)|Fix and Flip (Light Rehab)|Purchase|Other (2-4 unit)|740+</v>
      </c>
    </row>
    <row r="134" spans="1:30" x14ac:dyDescent="0.3">
      <c r="A134" s="135" t="s">
        <v>328</v>
      </c>
      <c r="B134" s="51" t="s">
        <v>318</v>
      </c>
      <c r="C134" s="27" t="s">
        <v>249</v>
      </c>
      <c r="D134" s="28" t="s">
        <v>301</v>
      </c>
      <c r="E134" s="29" t="s">
        <v>302</v>
      </c>
      <c r="F134" s="31" t="s">
        <v>303</v>
      </c>
      <c r="G134" s="31" t="s">
        <v>303</v>
      </c>
      <c r="H134" s="31" t="s">
        <v>303</v>
      </c>
      <c r="I134" s="32" t="s">
        <v>303</v>
      </c>
      <c r="J134" s="32" t="s">
        <v>303</v>
      </c>
      <c r="K134" s="32" t="s">
        <v>303</v>
      </c>
      <c r="L134" s="33" t="s">
        <v>303</v>
      </c>
      <c r="M134" s="34" t="s">
        <v>303</v>
      </c>
      <c r="N134" s="33" t="s">
        <v>303</v>
      </c>
      <c r="O134" s="35" t="str">
        <f>ChurchillMatrix[[#This Row],[Experience Level]] &amp; "|" &amp; ChurchillMatrix[[#This Row],[Project Type]] &amp; "|" &amp; ChurchillMatrix[[#This Row],[Loan Type]] &amp; "|" &amp; ChurchillMatrix[[#This Row],[FICO]] &amp; "|" &amp; ChurchillMatrix[[#This Row],[Number of Units]]</f>
        <v>No Experience (0-2) ($0m)|Fix and Flip (Heavy Rehab)|Cash Out Refinance|660 - 679|&lt;=4 Units</v>
      </c>
      <c r="R134" s="137" t="s">
        <v>329</v>
      </c>
      <c r="S134" s="129" t="s">
        <v>300</v>
      </c>
      <c r="T134" s="101" t="s">
        <v>249</v>
      </c>
      <c r="U134" s="37" t="s">
        <v>250</v>
      </c>
      <c r="V134" s="123" t="s">
        <v>305</v>
      </c>
      <c r="W134" s="39">
        <v>0.75</v>
      </c>
      <c r="X134" s="39">
        <v>0.8</v>
      </c>
      <c r="Y134" s="39">
        <v>0.7</v>
      </c>
      <c r="Z134" s="40">
        <v>100000</v>
      </c>
      <c r="AA134" s="41">
        <v>2500000</v>
      </c>
      <c r="AB134" s="40">
        <v>30000</v>
      </c>
      <c r="AC134" s="42">
        <v>50000</v>
      </c>
      <c r="AD134" s="43" t="str">
        <f>ConstructiveMatrix[[#This Row],[Borrower Experience]] &amp; "|" &amp; ConstructiveMatrix[[#This Row],[Project Type]] &amp; "|" &amp; ConstructiveMatrix[[#This Row],[Loan Type]] &amp; "|" &amp; ConstructiveMatrix[[#This Row],[Dwelling Type]] &amp; "|" &amp; ConstructiveMatrix[[#This Row],[FICO]]</f>
        <v>Silver (1-2)|Fix and Flip (Light Rehab)|Cash Out Refinance|Single Family|680-739</v>
      </c>
    </row>
    <row r="135" spans="1:30" x14ac:dyDescent="0.3">
      <c r="A135" s="135" t="s">
        <v>328</v>
      </c>
      <c r="B135" s="51" t="s">
        <v>318</v>
      </c>
      <c r="C135" s="52" t="s">
        <v>249</v>
      </c>
      <c r="D135" s="53" t="s">
        <v>301</v>
      </c>
      <c r="E135" s="54" t="s">
        <v>310</v>
      </c>
      <c r="F135" s="55" t="s">
        <v>303</v>
      </c>
      <c r="G135" s="55" t="s">
        <v>303</v>
      </c>
      <c r="H135" s="55" t="s">
        <v>303</v>
      </c>
      <c r="I135" s="56" t="s">
        <v>303</v>
      </c>
      <c r="J135" s="56" t="s">
        <v>303</v>
      </c>
      <c r="K135" s="56" t="s">
        <v>303</v>
      </c>
      <c r="L135" s="57" t="s">
        <v>303</v>
      </c>
      <c r="M135" s="58" t="s">
        <v>303</v>
      </c>
      <c r="N135" s="57" t="s">
        <v>303</v>
      </c>
      <c r="O135" s="59" t="str">
        <f>ChurchillMatrix[[#This Row],[Experience Level]] &amp; "|" &amp; ChurchillMatrix[[#This Row],[Project Type]] &amp; "|" &amp; ChurchillMatrix[[#This Row],[Loan Type]] &amp; "|" &amp; ChurchillMatrix[[#This Row],[FICO]] &amp; "|" &amp; ChurchillMatrix[[#This Row],[Number of Units]]</f>
        <v>No Experience (0-2) ($0m)|Fix and Flip (Heavy Rehab)|Cash Out Refinance|660 - 679|5-19 Units</v>
      </c>
      <c r="R135" s="137" t="s">
        <v>329</v>
      </c>
      <c r="S135" s="129" t="s">
        <v>300</v>
      </c>
      <c r="T135" s="102" t="s">
        <v>249</v>
      </c>
      <c r="U135" s="61" t="s">
        <v>250</v>
      </c>
      <c r="V135" s="121" t="s">
        <v>311</v>
      </c>
      <c r="W135" s="63">
        <v>0.75</v>
      </c>
      <c r="X135" s="63">
        <v>0.8</v>
      </c>
      <c r="Y135" s="63">
        <v>0.7</v>
      </c>
      <c r="Z135" s="64">
        <v>100000</v>
      </c>
      <c r="AA135" s="65">
        <v>2500000</v>
      </c>
      <c r="AB135" s="64">
        <v>30000</v>
      </c>
      <c r="AC135" s="66">
        <v>50000</v>
      </c>
      <c r="AD135" s="67" t="str">
        <f>ConstructiveMatrix[[#This Row],[Borrower Experience]] &amp; "|" &amp; ConstructiveMatrix[[#This Row],[Project Type]] &amp; "|" &amp; ConstructiveMatrix[[#This Row],[Loan Type]] &amp; "|" &amp; ConstructiveMatrix[[#This Row],[Dwelling Type]] &amp; "|" &amp; ConstructiveMatrix[[#This Row],[FICO]]</f>
        <v>Silver (1-2)|Fix and Flip (Light Rehab)|Cash Out Refinance|Single Family|740+</v>
      </c>
    </row>
    <row r="136" spans="1:30" x14ac:dyDescent="0.3">
      <c r="A136" s="135" t="s">
        <v>328</v>
      </c>
      <c r="B136" s="51" t="s">
        <v>318</v>
      </c>
      <c r="C136" s="52" t="s">
        <v>249</v>
      </c>
      <c r="D136" s="68" t="s">
        <v>313</v>
      </c>
      <c r="E136" s="69" t="s">
        <v>302</v>
      </c>
      <c r="F136" s="71" t="s">
        <v>303</v>
      </c>
      <c r="G136" s="71" t="s">
        <v>303</v>
      </c>
      <c r="H136" s="71" t="s">
        <v>303</v>
      </c>
      <c r="I136" s="72" t="s">
        <v>303</v>
      </c>
      <c r="J136" s="72" t="s">
        <v>303</v>
      </c>
      <c r="K136" s="72" t="s">
        <v>303</v>
      </c>
      <c r="L136" s="73" t="s">
        <v>303</v>
      </c>
      <c r="M136" s="74" t="s">
        <v>303</v>
      </c>
      <c r="N136" s="73" t="s">
        <v>303</v>
      </c>
      <c r="O136" s="75" t="str">
        <f>ChurchillMatrix[[#This Row],[Experience Level]] &amp; "|" &amp; ChurchillMatrix[[#This Row],[Project Type]] &amp; "|" &amp; ChurchillMatrix[[#This Row],[Loan Type]] &amp; "|" &amp; ChurchillMatrix[[#This Row],[FICO]] &amp; "|" &amp; ChurchillMatrix[[#This Row],[Number of Units]]</f>
        <v>No Experience (0-2) ($0m)|Fix and Flip (Heavy Rehab)|Cash Out Refinance|680 - 699|&lt;=4 Units</v>
      </c>
      <c r="R136" s="137" t="s">
        <v>329</v>
      </c>
      <c r="S136" s="129" t="s">
        <v>300</v>
      </c>
      <c r="T136" s="102" t="s">
        <v>249</v>
      </c>
      <c r="U136" s="76" t="s">
        <v>259</v>
      </c>
      <c r="V136" s="120" t="s">
        <v>305</v>
      </c>
      <c r="W136" s="78">
        <v>0.65</v>
      </c>
      <c r="X136" s="78">
        <v>0.8</v>
      </c>
      <c r="Y136" s="78">
        <v>0.6</v>
      </c>
      <c r="Z136" s="79">
        <v>100000</v>
      </c>
      <c r="AA136" s="80">
        <v>2500000</v>
      </c>
      <c r="AB136" s="79">
        <v>30000</v>
      </c>
      <c r="AC136" s="81">
        <v>50000</v>
      </c>
      <c r="AD136" s="82" t="str">
        <f>ConstructiveMatrix[[#This Row],[Borrower Experience]] &amp; "|" &amp; ConstructiveMatrix[[#This Row],[Project Type]] &amp; "|" &amp; ConstructiveMatrix[[#This Row],[Loan Type]] &amp; "|" &amp; ConstructiveMatrix[[#This Row],[Dwelling Type]] &amp; "|" &amp; ConstructiveMatrix[[#This Row],[FICO]]</f>
        <v>Silver (1-2)|Fix and Flip (Light Rehab)|Cash Out Refinance|Non-Warrantable Condo|680-739</v>
      </c>
    </row>
    <row r="137" spans="1:30" x14ac:dyDescent="0.3">
      <c r="A137" s="135" t="s">
        <v>328</v>
      </c>
      <c r="B137" s="51" t="s">
        <v>318</v>
      </c>
      <c r="C137" s="52" t="s">
        <v>249</v>
      </c>
      <c r="D137" s="53" t="s">
        <v>313</v>
      </c>
      <c r="E137" s="54" t="s">
        <v>310</v>
      </c>
      <c r="F137" s="55" t="s">
        <v>303</v>
      </c>
      <c r="G137" s="55" t="s">
        <v>303</v>
      </c>
      <c r="H137" s="55" t="s">
        <v>303</v>
      </c>
      <c r="I137" s="56" t="s">
        <v>303</v>
      </c>
      <c r="J137" s="56" t="s">
        <v>303</v>
      </c>
      <c r="K137" s="56" t="s">
        <v>303</v>
      </c>
      <c r="L137" s="57" t="s">
        <v>303</v>
      </c>
      <c r="M137" s="58" t="s">
        <v>303</v>
      </c>
      <c r="N137" s="57" t="s">
        <v>303</v>
      </c>
      <c r="O137" s="59" t="str">
        <f>ChurchillMatrix[[#This Row],[Experience Level]] &amp; "|" &amp; ChurchillMatrix[[#This Row],[Project Type]] &amp; "|" &amp; ChurchillMatrix[[#This Row],[Loan Type]] &amp; "|" &amp; ChurchillMatrix[[#This Row],[FICO]] &amp; "|" &amp; ChurchillMatrix[[#This Row],[Number of Units]]</f>
        <v>No Experience (0-2) ($0m)|Fix and Flip (Heavy Rehab)|Cash Out Refinance|680 - 699|5-19 Units</v>
      </c>
      <c r="R137" s="137" t="s">
        <v>329</v>
      </c>
      <c r="S137" s="129" t="s">
        <v>300</v>
      </c>
      <c r="T137" s="102" t="s">
        <v>249</v>
      </c>
      <c r="U137" s="83" t="s">
        <v>259</v>
      </c>
      <c r="V137" s="121" t="s">
        <v>311</v>
      </c>
      <c r="W137" s="63">
        <v>0.65</v>
      </c>
      <c r="X137" s="63">
        <v>0.8</v>
      </c>
      <c r="Y137" s="63">
        <v>0.6</v>
      </c>
      <c r="Z137" s="64">
        <v>100000</v>
      </c>
      <c r="AA137" s="65">
        <v>2500000</v>
      </c>
      <c r="AB137" s="64">
        <v>30000</v>
      </c>
      <c r="AC137" s="66">
        <v>50000</v>
      </c>
      <c r="AD137" s="67" t="str">
        <f>ConstructiveMatrix[[#This Row],[Borrower Experience]] &amp; "|" &amp; ConstructiveMatrix[[#This Row],[Project Type]] &amp; "|" &amp; ConstructiveMatrix[[#This Row],[Loan Type]] &amp; "|" &amp; ConstructiveMatrix[[#This Row],[Dwelling Type]] &amp; "|" &amp; ConstructiveMatrix[[#This Row],[FICO]]</f>
        <v>Silver (1-2)|Fix and Flip (Light Rehab)|Cash Out Refinance|Non-Warrantable Condo|740+</v>
      </c>
    </row>
    <row r="138" spans="1:30" x14ac:dyDescent="0.3">
      <c r="A138" s="135" t="s">
        <v>328</v>
      </c>
      <c r="B138" s="51" t="s">
        <v>318</v>
      </c>
      <c r="C138" s="52" t="s">
        <v>249</v>
      </c>
      <c r="D138" s="68" t="s">
        <v>315</v>
      </c>
      <c r="E138" s="69" t="s">
        <v>302</v>
      </c>
      <c r="F138" s="71" t="s">
        <v>303</v>
      </c>
      <c r="G138" s="71" t="s">
        <v>303</v>
      </c>
      <c r="H138" s="71" t="s">
        <v>303</v>
      </c>
      <c r="I138" s="72" t="s">
        <v>303</v>
      </c>
      <c r="J138" s="72" t="s">
        <v>303</v>
      </c>
      <c r="K138" s="72" t="s">
        <v>303</v>
      </c>
      <c r="L138" s="73" t="s">
        <v>303</v>
      </c>
      <c r="M138" s="74" t="s">
        <v>303</v>
      </c>
      <c r="N138" s="73" t="s">
        <v>303</v>
      </c>
      <c r="O138" s="75" t="str">
        <f>ChurchillMatrix[[#This Row],[Experience Level]] &amp; "|" &amp; ChurchillMatrix[[#This Row],[Project Type]] &amp; "|" &amp; ChurchillMatrix[[#This Row],[Loan Type]] &amp; "|" &amp; ChurchillMatrix[[#This Row],[FICO]] &amp; "|" &amp; ChurchillMatrix[[#This Row],[Number of Units]]</f>
        <v>No Experience (0-2) ($0m)|Fix and Flip (Heavy Rehab)|Cash Out Refinance|&gt;=700|&lt;=4 Units</v>
      </c>
      <c r="R138" s="137" t="s">
        <v>329</v>
      </c>
      <c r="S138" s="129" t="s">
        <v>300</v>
      </c>
      <c r="T138" s="102" t="s">
        <v>249</v>
      </c>
      <c r="U138" s="85" t="s">
        <v>316</v>
      </c>
      <c r="V138" s="120" t="s">
        <v>305</v>
      </c>
      <c r="W138" s="78">
        <v>0.75</v>
      </c>
      <c r="X138" s="78">
        <v>0.8</v>
      </c>
      <c r="Y138" s="78">
        <v>0.7</v>
      </c>
      <c r="Z138" s="79">
        <v>100000</v>
      </c>
      <c r="AA138" s="80">
        <v>2500000</v>
      </c>
      <c r="AB138" s="79">
        <v>30000</v>
      </c>
      <c r="AC138" s="81">
        <v>50000</v>
      </c>
      <c r="AD138" s="82" t="str">
        <f>ConstructiveMatrix[[#This Row],[Borrower Experience]] &amp; "|" &amp; ConstructiveMatrix[[#This Row],[Project Type]] &amp; "|" &amp; ConstructiveMatrix[[#This Row],[Loan Type]] &amp; "|" &amp; ConstructiveMatrix[[#This Row],[Dwelling Type]] &amp; "|" &amp; ConstructiveMatrix[[#This Row],[FICO]]</f>
        <v>Silver (1-2)|Fix and Flip (Light Rehab)|Cash Out Refinance|Other (2-4 unit)|680-739</v>
      </c>
    </row>
    <row r="139" spans="1:30" ht="15" thickBot="1" x14ac:dyDescent="0.35">
      <c r="A139" s="135" t="s">
        <v>328</v>
      </c>
      <c r="B139" s="51" t="s">
        <v>318</v>
      </c>
      <c r="C139" s="86" t="s">
        <v>249</v>
      </c>
      <c r="D139" s="87" t="s">
        <v>315</v>
      </c>
      <c r="E139" s="88" t="s">
        <v>310</v>
      </c>
      <c r="F139" s="89" t="s">
        <v>303</v>
      </c>
      <c r="G139" s="89" t="s">
        <v>303</v>
      </c>
      <c r="H139" s="89" t="s">
        <v>303</v>
      </c>
      <c r="I139" s="90" t="s">
        <v>303</v>
      </c>
      <c r="J139" s="90" t="s">
        <v>303</v>
      </c>
      <c r="K139" s="90" t="s">
        <v>303</v>
      </c>
      <c r="L139" s="91" t="s">
        <v>303</v>
      </c>
      <c r="M139" s="92" t="s">
        <v>303</v>
      </c>
      <c r="N139" s="91" t="s">
        <v>303</v>
      </c>
      <c r="O139" s="93" t="str">
        <f>ChurchillMatrix[[#This Row],[Experience Level]] &amp; "|" &amp; ChurchillMatrix[[#This Row],[Project Type]] &amp; "|" &amp; ChurchillMatrix[[#This Row],[Loan Type]] &amp; "|" &amp; ChurchillMatrix[[#This Row],[FICO]] &amp; "|" &amp; ChurchillMatrix[[#This Row],[Number of Units]]</f>
        <v>No Experience (0-2) ($0m)|Fix and Flip (Heavy Rehab)|Cash Out Refinance|&gt;=700|5-19 Units</v>
      </c>
      <c r="R139" s="137" t="s">
        <v>329</v>
      </c>
      <c r="S139" s="129" t="s">
        <v>300</v>
      </c>
      <c r="T139" s="103" t="s">
        <v>249</v>
      </c>
      <c r="U139" s="94" t="s">
        <v>316</v>
      </c>
      <c r="V139" s="122" t="s">
        <v>311</v>
      </c>
      <c r="W139" s="96">
        <v>0.75</v>
      </c>
      <c r="X139" s="96">
        <v>0.8</v>
      </c>
      <c r="Y139" s="96">
        <v>0.7</v>
      </c>
      <c r="Z139" s="97">
        <v>100000</v>
      </c>
      <c r="AA139" s="98">
        <v>2500000</v>
      </c>
      <c r="AB139" s="97">
        <v>30000</v>
      </c>
      <c r="AC139" s="99">
        <v>50000</v>
      </c>
      <c r="AD139" s="100" t="str">
        <f>ConstructiveMatrix[[#This Row],[Borrower Experience]] &amp; "|" &amp; ConstructiveMatrix[[#This Row],[Project Type]] &amp; "|" &amp; ConstructiveMatrix[[#This Row],[Loan Type]] &amp; "|" &amp; ConstructiveMatrix[[#This Row],[Dwelling Type]] &amp; "|" &amp; ConstructiveMatrix[[#This Row],[FICO]]</f>
        <v>Silver (1-2)|Fix and Flip (Light Rehab)|Cash Out Refinance|Other (2-4 unit)|740+</v>
      </c>
    </row>
    <row r="140" spans="1:30" x14ac:dyDescent="0.3">
      <c r="A140" s="135" t="s">
        <v>328</v>
      </c>
      <c r="B140" s="51" t="s">
        <v>318</v>
      </c>
      <c r="C140" s="27" t="s">
        <v>256</v>
      </c>
      <c r="D140" s="28" t="s">
        <v>301</v>
      </c>
      <c r="E140" s="29" t="s">
        <v>302</v>
      </c>
      <c r="F140" s="31" t="s">
        <v>303</v>
      </c>
      <c r="G140" s="31" t="s">
        <v>303</v>
      </c>
      <c r="H140" s="31" t="s">
        <v>303</v>
      </c>
      <c r="I140" s="32" t="s">
        <v>303</v>
      </c>
      <c r="J140" s="32" t="s">
        <v>303</v>
      </c>
      <c r="K140" s="32" t="s">
        <v>303</v>
      </c>
      <c r="L140" s="33" t="s">
        <v>303</v>
      </c>
      <c r="M140" s="34" t="s">
        <v>303</v>
      </c>
      <c r="N140" s="33" t="s">
        <v>303</v>
      </c>
      <c r="O140" s="35" t="str">
        <f>ChurchillMatrix[[#This Row],[Experience Level]] &amp; "|" &amp; ChurchillMatrix[[#This Row],[Project Type]] &amp; "|" &amp; ChurchillMatrix[[#This Row],[Loan Type]] &amp; "|" &amp; ChurchillMatrix[[#This Row],[FICO]] &amp; "|" &amp; ChurchillMatrix[[#This Row],[Number of Units]]</f>
        <v>No Experience (0-2) ($0m)|Fix and Flip (Heavy Rehab)|Rate and Term Refinance|660 - 679|&lt;=4 Units</v>
      </c>
      <c r="R140" s="137" t="s">
        <v>329</v>
      </c>
      <c r="S140" s="129" t="s">
        <v>300</v>
      </c>
      <c r="T140" s="27" t="s">
        <v>256</v>
      </c>
      <c r="U140" s="37" t="s">
        <v>250</v>
      </c>
      <c r="V140" s="123" t="s">
        <v>305</v>
      </c>
      <c r="W140" s="39">
        <v>0.8</v>
      </c>
      <c r="X140" s="39">
        <v>0.85</v>
      </c>
      <c r="Y140" s="39">
        <v>0.75</v>
      </c>
      <c r="Z140" s="40">
        <v>100000</v>
      </c>
      <c r="AA140" s="41">
        <v>2500000</v>
      </c>
      <c r="AB140" s="40">
        <v>30000</v>
      </c>
      <c r="AC140" s="42">
        <v>50000</v>
      </c>
      <c r="AD140" s="43" t="str">
        <f>ConstructiveMatrix[[#This Row],[Borrower Experience]] &amp; "|" &amp; ConstructiveMatrix[[#This Row],[Project Type]] &amp; "|" &amp; ConstructiveMatrix[[#This Row],[Loan Type]] &amp; "|" &amp; ConstructiveMatrix[[#This Row],[Dwelling Type]] &amp; "|" &amp; ConstructiveMatrix[[#This Row],[FICO]]</f>
        <v>Silver (1-2)|Fix and Flip (Light Rehab)|Rate and Term Refinance|Single Family|680-739</v>
      </c>
    </row>
    <row r="141" spans="1:30" x14ac:dyDescent="0.3">
      <c r="A141" s="135" t="s">
        <v>328</v>
      </c>
      <c r="B141" s="51" t="s">
        <v>318</v>
      </c>
      <c r="C141" s="104" t="s">
        <v>256</v>
      </c>
      <c r="D141" s="53" t="s">
        <v>301</v>
      </c>
      <c r="E141" s="54" t="s">
        <v>310</v>
      </c>
      <c r="F141" s="55" t="s">
        <v>303</v>
      </c>
      <c r="G141" s="55" t="s">
        <v>303</v>
      </c>
      <c r="H141" s="55" t="s">
        <v>303</v>
      </c>
      <c r="I141" s="56" t="s">
        <v>303</v>
      </c>
      <c r="J141" s="56" t="s">
        <v>303</v>
      </c>
      <c r="K141" s="56" t="s">
        <v>303</v>
      </c>
      <c r="L141" s="57" t="s">
        <v>303</v>
      </c>
      <c r="M141" s="58" t="s">
        <v>303</v>
      </c>
      <c r="N141" s="57" t="s">
        <v>303</v>
      </c>
      <c r="O141" s="59" t="str">
        <f>ChurchillMatrix[[#This Row],[Experience Level]] &amp; "|" &amp; ChurchillMatrix[[#This Row],[Project Type]] &amp; "|" &amp; ChurchillMatrix[[#This Row],[Loan Type]] &amp; "|" &amp; ChurchillMatrix[[#This Row],[FICO]] &amp; "|" &amp; ChurchillMatrix[[#This Row],[Number of Units]]</f>
        <v>No Experience (0-2) ($0m)|Fix and Flip (Heavy Rehab)|Rate and Term Refinance|660 - 679|5-19 Units</v>
      </c>
      <c r="R141" s="137" t="s">
        <v>329</v>
      </c>
      <c r="S141" s="129" t="s">
        <v>300</v>
      </c>
      <c r="T141" s="52" t="s">
        <v>256</v>
      </c>
      <c r="U141" s="61" t="s">
        <v>250</v>
      </c>
      <c r="V141" s="121" t="s">
        <v>311</v>
      </c>
      <c r="W141" s="63">
        <v>0.8</v>
      </c>
      <c r="X141" s="63">
        <v>0.85</v>
      </c>
      <c r="Y141" s="63">
        <v>0.75</v>
      </c>
      <c r="Z141" s="64">
        <v>100000</v>
      </c>
      <c r="AA141" s="65">
        <v>2500000</v>
      </c>
      <c r="AB141" s="64">
        <v>30000</v>
      </c>
      <c r="AC141" s="66">
        <v>50000</v>
      </c>
      <c r="AD141" s="67" t="str">
        <f>ConstructiveMatrix[[#This Row],[Borrower Experience]] &amp; "|" &amp; ConstructiveMatrix[[#This Row],[Project Type]] &amp; "|" &amp; ConstructiveMatrix[[#This Row],[Loan Type]] &amp; "|" &amp; ConstructiveMatrix[[#This Row],[Dwelling Type]] &amp; "|" &amp; ConstructiveMatrix[[#This Row],[FICO]]</f>
        <v>Silver (1-2)|Fix and Flip (Light Rehab)|Rate and Term Refinance|Single Family|740+</v>
      </c>
    </row>
    <row r="142" spans="1:30" x14ac:dyDescent="0.3">
      <c r="A142" s="135" t="s">
        <v>328</v>
      </c>
      <c r="B142" s="51" t="s">
        <v>318</v>
      </c>
      <c r="C142" s="52" t="s">
        <v>256</v>
      </c>
      <c r="D142" s="68" t="s">
        <v>313</v>
      </c>
      <c r="E142" s="69" t="s">
        <v>302</v>
      </c>
      <c r="F142" s="71" t="s">
        <v>303</v>
      </c>
      <c r="G142" s="71" t="s">
        <v>303</v>
      </c>
      <c r="H142" s="71" t="s">
        <v>303</v>
      </c>
      <c r="I142" s="72" t="s">
        <v>303</v>
      </c>
      <c r="J142" s="72" t="s">
        <v>303</v>
      </c>
      <c r="K142" s="72" t="s">
        <v>303</v>
      </c>
      <c r="L142" s="73" t="s">
        <v>303</v>
      </c>
      <c r="M142" s="74" t="s">
        <v>303</v>
      </c>
      <c r="N142" s="73" t="s">
        <v>303</v>
      </c>
      <c r="O142" s="75" t="str">
        <f>ChurchillMatrix[[#This Row],[Experience Level]] &amp; "|" &amp; ChurchillMatrix[[#This Row],[Project Type]] &amp; "|" &amp; ChurchillMatrix[[#This Row],[Loan Type]] &amp; "|" &amp; ChurchillMatrix[[#This Row],[FICO]] &amp; "|" &amp; ChurchillMatrix[[#This Row],[Number of Units]]</f>
        <v>No Experience (0-2) ($0m)|Fix and Flip (Heavy Rehab)|Rate and Term Refinance|680 - 699|&lt;=4 Units</v>
      </c>
      <c r="R142" s="137" t="s">
        <v>329</v>
      </c>
      <c r="S142" s="129" t="s">
        <v>300</v>
      </c>
      <c r="T142" s="52" t="s">
        <v>256</v>
      </c>
      <c r="U142" s="76" t="s">
        <v>259</v>
      </c>
      <c r="V142" s="120" t="s">
        <v>305</v>
      </c>
      <c r="W142" s="78">
        <v>0.65</v>
      </c>
      <c r="X142" s="78">
        <v>0.85</v>
      </c>
      <c r="Y142" s="78">
        <v>0.65</v>
      </c>
      <c r="Z142" s="79">
        <v>100000</v>
      </c>
      <c r="AA142" s="80">
        <v>2500000</v>
      </c>
      <c r="AB142" s="79">
        <v>30000</v>
      </c>
      <c r="AC142" s="81">
        <v>50000</v>
      </c>
      <c r="AD142" s="82" t="str">
        <f>ConstructiveMatrix[[#This Row],[Borrower Experience]] &amp; "|" &amp; ConstructiveMatrix[[#This Row],[Project Type]] &amp; "|" &amp; ConstructiveMatrix[[#This Row],[Loan Type]] &amp; "|" &amp; ConstructiveMatrix[[#This Row],[Dwelling Type]] &amp; "|" &amp; ConstructiveMatrix[[#This Row],[FICO]]</f>
        <v>Silver (1-2)|Fix and Flip (Light Rehab)|Rate and Term Refinance|Non-Warrantable Condo|680-739</v>
      </c>
    </row>
    <row r="143" spans="1:30" x14ac:dyDescent="0.3">
      <c r="A143" s="135" t="s">
        <v>328</v>
      </c>
      <c r="B143" s="51" t="s">
        <v>318</v>
      </c>
      <c r="C143" s="104" t="s">
        <v>256</v>
      </c>
      <c r="D143" s="53" t="s">
        <v>313</v>
      </c>
      <c r="E143" s="54" t="s">
        <v>310</v>
      </c>
      <c r="F143" s="55" t="s">
        <v>303</v>
      </c>
      <c r="G143" s="55" t="s">
        <v>303</v>
      </c>
      <c r="H143" s="55" t="s">
        <v>303</v>
      </c>
      <c r="I143" s="56" t="s">
        <v>303</v>
      </c>
      <c r="J143" s="56" t="s">
        <v>303</v>
      </c>
      <c r="K143" s="56" t="s">
        <v>303</v>
      </c>
      <c r="L143" s="57" t="s">
        <v>303</v>
      </c>
      <c r="M143" s="58" t="s">
        <v>303</v>
      </c>
      <c r="N143" s="57" t="s">
        <v>303</v>
      </c>
      <c r="O143" s="59" t="str">
        <f>ChurchillMatrix[[#This Row],[Experience Level]] &amp; "|" &amp; ChurchillMatrix[[#This Row],[Project Type]] &amp; "|" &amp; ChurchillMatrix[[#This Row],[Loan Type]] &amp; "|" &amp; ChurchillMatrix[[#This Row],[FICO]] &amp; "|" &amp; ChurchillMatrix[[#This Row],[Number of Units]]</f>
        <v>No Experience (0-2) ($0m)|Fix and Flip (Heavy Rehab)|Rate and Term Refinance|680 - 699|5-19 Units</v>
      </c>
      <c r="R143" s="137" t="s">
        <v>329</v>
      </c>
      <c r="S143" s="129" t="s">
        <v>300</v>
      </c>
      <c r="T143" s="52" t="s">
        <v>256</v>
      </c>
      <c r="U143" s="83" t="s">
        <v>259</v>
      </c>
      <c r="V143" s="121" t="s">
        <v>311</v>
      </c>
      <c r="W143" s="63">
        <v>0.65</v>
      </c>
      <c r="X143" s="63">
        <v>0.85</v>
      </c>
      <c r="Y143" s="63">
        <v>0.65</v>
      </c>
      <c r="Z143" s="64">
        <v>100000</v>
      </c>
      <c r="AA143" s="65">
        <v>2500000</v>
      </c>
      <c r="AB143" s="64">
        <v>30000</v>
      </c>
      <c r="AC143" s="66">
        <v>50000</v>
      </c>
      <c r="AD143" s="67" t="str">
        <f>ConstructiveMatrix[[#This Row],[Borrower Experience]] &amp; "|" &amp; ConstructiveMatrix[[#This Row],[Project Type]] &amp; "|" &amp; ConstructiveMatrix[[#This Row],[Loan Type]] &amp; "|" &amp; ConstructiveMatrix[[#This Row],[Dwelling Type]] &amp; "|" &amp; ConstructiveMatrix[[#This Row],[FICO]]</f>
        <v>Silver (1-2)|Fix and Flip (Light Rehab)|Rate and Term Refinance|Non-Warrantable Condo|740+</v>
      </c>
    </row>
    <row r="144" spans="1:30" x14ac:dyDescent="0.3">
      <c r="A144" s="135" t="s">
        <v>328</v>
      </c>
      <c r="B144" s="51" t="s">
        <v>318</v>
      </c>
      <c r="C144" s="52" t="s">
        <v>256</v>
      </c>
      <c r="D144" s="68" t="s">
        <v>315</v>
      </c>
      <c r="E144" s="69" t="s">
        <v>302</v>
      </c>
      <c r="F144" s="71" t="s">
        <v>303</v>
      </c>
      <c r="G144" s="71" t="s">
        <v>303</v>
      </c>
      <c r="H144" s="71" t="s">
        <v>303</v>
      </c>
      <c r="I144" s="72" t="s">
        <v>303</v>
      </c>
      <c r="J144" s="72" t="s">
        <v>303</v>
      </c>
      <c r="K144" s="72" t="s">
        <v>303</v>
      </c>
      <c r="L144" s="73" t="s">
        <v>303</v>
      </c>
      <c r="M144" s="74" t="s">
        <v>303</v>
      </c>
      <c r="N144" s="73" t="s">
        <v>303</v>
      </c>
      <c r="O144" s="75" t="str">
        <f>ChurchillMatrix[[#This Row],[Experience Level]] &amp; "|" &amp; ChurchillMatrix[[#This Row],[Project Type]] &amp; "|" &amp; ChurchillMatrix[[#This Row],[Loan Type]] &amp; "|" &amp; ChurchillMatrix[[#This Row],[FICO]] &amp; "|" &amp; ChurchillMatrix[[#This Row],[Number of Units]]</f>
        <v>No Experience (0-2) ($0m)|Fix and Flip (Heavy Rehab)|Rate and Term Refinance|&gt;=700|&lt;=4 Units</v>
      </c>
      <c r="R144" s="137" t="s">
        <v>329</v>
      </c>
      <c r="S144" s="129" t="s">
        <v>300</v>
      </c>
      <c r="T144" s="52" t="s">
        <v>256</v>
      </c>
      <c r="U144" s="85" t="s">
        <v>316</v>
      </c>
      <c r="V144" s="120" t="s">
        <v>305</v>
      </c>
      <c r="W144" s="78">
        <v>0.8</v>
      </c>
      <c r="X144" s="78">
        <v>0.85</v>
      </c>
      <c r="Y144" s="78">
        <v>0.75</v>
      </c>
      <c r="Z144" s="79">
        <v>100000</v>
      </c>
      <c r="AA144" s="80">
        <v>2500000</v>
      </c>
      <c r="AB144" s="79">
        <v>30000</v>
      </c>
      <c r="AC144" s="81">
        <v>50000</v>
      </c>
      <c r="AD144" s="82" t="str">
        <f>ConstructiveMatrix[[#This Row],[Borrower Experience]] &amp; "|" &amp; ConstructiveMatrix[[#This Row],[Project Type]] &amp; "|" &amp; ConstructiveMatrix[[#This Row],[Loan Type]] &amp; "|" &amp; ConstructiveMatrix[[#This Row],[Dwelling Type]] &amp; "|" &amp; ConstructiveMatrix[[#This Row],[FICO]]</f>
        <v>Silver (1-2)|Fix and Flip (Light Rehab)|Rate and Term Refinance|Other (2-4 unit)|680-739</v>
      </c>
    </row>
    <row r="145" spans="1:30" ht="15" thickBot="1" x14ac:dyDescent="0.35">
      <c r="A145" s="135" t="s">
        <v>328</v>
      </c>
      <c r="B145" s="111" t="s">
        <v>318</v>
      </c>
      <c r="C145" s="86" t="s">
        <v>256</v>
      </c>
      <c r="D145" s="87" t="s">
        <v>315</v>
      </c>
      <c r="E145" s="88" t="s">
        <v>310</v>
      </c>
      <c r="F145" s="89" t="s">
        <v>303</v>
      </c>
      <c r="G145" s="89" t="s">
        <v>303</v>
      </c>
      <c r="H145" s="89" t="s">
        <v>303</v>
      </c>
      <c r="I145" s="90" t="s">
        <v>303</v>
      </c>
      <c r="J145" s="90" t="s">
        <v>303</v>
      </c>
      <c r="K145" s="90" t="s">
        <v>303</v>
      </c>
      <c r="L145" s="91" t="s">
        <v>303</v>
      </c>
      <c r="M145" s="92" t="s">
        <v>303</v>
      </c>
      <c r="N145" s="91" t="s">
        <v>303</v>
      </c>
      <c r="O145" s="93" t="str">
        <f>ChurchillMatrix[[#This Row],[Experience Level]] &amp; "|" &amp; ChurchillMatrix[[#This Row],[Project Type]] &amp; "|" &amp; ChurchillMatrix[[#This Row],[Loan Type]] &amp; "|" &amp; ChurchillMatrix[[#This Row],[FICO]] &amp; "|" &amp; ChurchillMatrix[[#This Row],[Number of Units]]</f>
        <v>No Experience (0-2) ($0m)|Fix and Flip (Heavy Rehab)|Rate and Term Refinance|&gt;=700|5-19 Units</v>
      </c>
      <c r="R145" s="137" t="s">
        <v>329</v>
      </c>
      <c r="S145" s="132" t="s">
        <v>300</v>
      </c>
      <c r="T145" s="86" t="s">
        <v>256</v>
      </c>
      <c r="U145" s="94" t="s">
        <v>316</v>
      </c>
      <c r="V145" s="122" t="s">
        <v>311</v>
      </c>
      <c r="W145" s="96">
        <v>0.8</v>
      </c>
      <c r="X145" s="96">
        <v>0.85</v>
      </c>
      <c r="Y145" s="96">
        <v>0.75</v>
      </c>
      <c r="Z145" s="97">
        <v>100000</v>
      </c>
      <c r="AA145" s="98">
        <v>2500000</v>
      </c>
      <c r="AB145" s="97">
        <v>30000</v>
      </c>
      <c r="AC145" s="99">
        <v>50000</v>
      </c>
      <c r="AD145" s="100" t="str">
        <f>ConstructiveMatrix[[#This Row],[Borrower Experience]] &amp; "|" &amp; ConstructiveMatrix[[#This Row],[Project Type]] &amp; "|" &amp; ConstructiveMatrix[[#This Row],[Loan Type]] &amp; "|" &amp; ConstructiveMatrix[[#This Row],[Dwelling Type]] &amp; "|" &amp; ConstructiveMatrix[[#This Row],[FICO]]</f>
        <v>Silver (1-2)|Fix and Flip (Light Rehab)|Rate and Term Refinance|Other (2-4 unit)|740+</v>
      </c>
    </row>
    <row r="146" spans="1:30" ht="15" customHeight="1" x14ac:dyDescent="0.3">
      <c r="A146" s="135" t="s">
        <v>328</v>
      </c>
      <c r="B146" s="26" t="s">
        <v>255</v>
      </c>
      <c r="C146" s="27" t="s">
        <v>251</v>
      </c>
      <c r="D146" s="28" t="s">
        <v>301</v>
      </c>
      <c r="E146" s="29" t="s">
        <v>302</v>
      </c>
      <c r="F146" s="112">
        <v>0.7</v>
      </c>
      <c r="G146" s="112">
        <v>0.7</v>
      </c>
      <c r="H146" s="31" t="s">
        <v>303</v>
      </c>
      <c r="I146" s="32">
        <v>8.75</v>
      </c>
      <c r="J146" s="32">
        <v>0.25</v>
      </c>
      <c r="K146" s="32">
        <f t="shared" ref="K146" si="11">I146+J146</f>
        <v>9</v>
      </c>
      <c r="L146" s="33">
        <v>125000</v>
      </c>
      <c r="M146" s="34">
        <v>5000000</v>
      </c>
      <c r="N146" s="33" t="s">
        <v>303</v>
      </c>
      <c r="O146" s="35" t="str">
        <f>ChurchillMatrix[[#This Row],[Experience Level]] &amp; "|" &amp; ChurchillMatrix[[#This Row],[Project Type]] &amp; "|" &amp; ChurchillMatrix[[#This Row],[Loan Type]] &amp; "|" &amp; ChurchillMatrix[[#This Row],[FICO]] &amp; "|" &amp; ChurchillMatrix[[#This Row],[Number of Units]]</f>
        <v>No Experience (0-2) ($0m)|Bridge (No Rehab)|Purchase|660 - 679|&lt;=4 Units</v>
      </c>
      <c r="R146" s="137" t="s">
        <v>329</v>
      </c>
      <c r="S146" s="126" t="s">
        <v>318</v>
      </c>
      <c r="T146" s="27" t="s">
        <v>251</v>
      </c>
      <c r="U146" s="37" t="s">
        <v>250</v>
      </c>
      <c r="V146" s="123" t="s">
        <v>305</v>
      </c>
      <c r="W146" s="39" t="s">
        <v>303</v>
      </c>
      <c r="X146" s="39" t="s">
        <v>303</v>
      </c>
      <c r="Y146" s="39" t="s">
        <v>303</v>
      </c>
      <c r="Z146" s="40" t="s">
        <v>303</v>
      </c>
      <c r="AA146" s="41" t="s">
        <v>303</v>
      </c>
      <c r="AB146" s="40" t="s">
        <v>303</v>
      </c>
      <c r="AC146" s="42" t="s">
        <v>303</v>
      </c>
      <c r="AD146" s="43" t="str">
        <f>ConstructiveMatrix[[#This Row],[Borrower Experience]] &amp; "|" &amp; ConstructiveMatrix[[#This Row],[Project Type]] &amp; "|" &amp; ConstructiveMatrix[[#This Row],[Loan Type]] &amp; "|" &amp; ConstructiveMatrix[[#This Row],[Dwelling Type]] &amp; "|" &amp; ConstructiveMatrix[[#This Row],[FICO]]</f>
        <v>Silver (1-2)|Fix and Flip (Heavy Rehab)|Purchase|Single Family|680-739</v>
      </c>
    </row>
    <row r="147" spans="1:30" x14ac:dyDescent="0.3">
      <c r="A147" s="135" t="s">
        <v>328</v>
      </c>
      <c r="B147" s="51" t="s">
        <v>255</v>
      </c>
      <c r="C147" s="52" t="s">
        <v>251</v>
      </c>
      <c r="D147" s="53" t="s">
        <v>301</v>
      </c>
      <c r="E147" s="54" t="s">
        <v>310</v>
      </c>
      <c r="F147" s="55" t="s">
        <v>303</v>
      </c>
      <c r="G147" s="55" t="s">
        <v>303</v>
      </c>
      <c r="H147" s="55" t="s">
        <v>303</v>
      </c>
      <c r="I147" s="56" t="s">
        <v>303</v>
      </c>
      <c r="J147" s="56" t="s">
        <v>303</v>
      </c>
      <c r="K147" s="56" t="s">
        <v>303</v>
      </c>
      <c r="L147" s="57" t="s">
        <v>303</v>
      </c>
      <c r="M147" s="58" t="s">
        <v>303</v>
      </c>
      <c r="N147" s="57" t="s">
        <v>303</v>
      </c>
      <c r="O147" s="59" t="str">
        <f>ChurchillMatrix[[#This Row],[Experience Level]] &amp; "|" &amp; ChurchillMatrix[[#This Row],[Project Type]] &amp; "|" &amp; ChurchillMatrix[[#This Row],[Loan Type]] &amp; "|" &amp; ChurchillMatrix[[#This Row],[FICO]] &amp; "|" &amp; ChurchillMatrix[[#This Row],[Number of Units]]</f>
        <v>No Experience (0-2) ($0m)|Bridge (No Rehab)|Purchase|660 - 679|5-19 Units</v>
      </c>
      <c r="R147" s="137" t="s">
        <v>329</v>
      </c>
      <c r="S147" s="129" t="s">
        <v>318</v>
      </c>
      <c r="T147" s="52" t="s">
        <v>251</v>
      </c>
      <c r="U147" s="61" t="s">
        <v>250</v>
      </c>
      <c r="V147" s="121" t="s">
        <v>311</v>
      </c>
      <c r="W147" s="63" t="s">
        <v>303</v>
      </c>
      <c r="X147" s="63" t="s">
        <v>303</v>
      </c>
      <c r="Y147" s="63" t="s">
        <v>303</v>
      </c>
      <c r="Z147" s="64" t="s">
        <v>303</v>
      </c>
      <c r="AA147" s="65" t="s">
        <v>303</v>
      </c>
      <c r="AB147" s="64" t="s">
        <v>303</v>
      </c>
      <c r="AC147" s="66" t="s">
        <v>303</v>
      </c>
      <c r="AD147" s="67" t="str">
        <f>ConstructiveMatrix[[#This Row],[Borrower Experience]] &amp; "|" &amp; ConstructiveMatrix[[#This Row],[Project Type]] &amp; "|" &amp; ConstructiveMatrix[[#This Row],[Loan Type]] &amp; "|" &amp; ConstructiveMatrix[[#This Row],[Dwelling Type]] &amp; "|" &amp; ConstructiveMatrix[[#This Row],[FICO]]</f>
        <v>Silver (1-2)|Fix and Flip (Heavy Rehab)|Purchase|Single Family|740+</v>
      </c>
    </row>
    <row r="148" spans="1:30" x14ac:dyDescent="0.3">
      <c r="A148" s="135" t="s">
        <v>328</v>
      </c>
      <c r="B148" s="51" t="s">
        <v>255</v>
      </c>
      <c r="C148" s="52" t="s">
        <v>251</v>
      </c>
      <c r="D148" s="68" t="s">
        <v>313</v>
      </c>
      <c r="E148" s="69" t="s">
        <v>302</v>
      </c>
      <c r="F148" s="131">
        <v>0.7</v>
      </c>
      <c r="G148" s="131">
        <v>0.7</v>
      </c>
      <c r="H148" s="71" t="s">
        <v>303</v>
      </c>
      <c r="I148" s="72">
        <v>8.75</v>
      </c>
      <c r="J148" s="72">
        <v>0.25</v>
      </c>
      <c r="K148" s="72">
        <f t="shared" ref="K148" si="12">I148+J148</f>
        <v>9</v>
      </c>
      <c r="L148" s="73">
        <v>125000</v>
      </c>
      <c r="M148" s="74">
        <v>5000000</v>
      </c>
      <c r="N148" s="73" t="s">
        <v>303</v>
      </c>
      <c r="O148" s="75" t="str">
        <f>ChurchillMatrix[[#This Row],[Experience Level]] &amp; "|" &amp; ChurchillMatrix[[#This Row],[Project Type]] &amp; "|" &amp; ChurchillMatrix[[#This Row],[Loan Type]] &amp; "|" &amp; ChurchillMatrix[[#This Row],[FICO]] &amp; "|" &amp; ChurchillMatrix[[#This Row],[Number of Units]]</f>
        <v>No Experience (0-2) ($0m)|Bridge (No Rehab)|Purchase|680 - 699|&lt;=4 Units</v>
      </c>
      <c r="R148" s="137" t="s">
        <v>329</v>
      </c>
      <c r="S148" s="129" t="s">
        <v>318</v>
      </c>
      <c r="T148" s="52" t="s">
        <v>251</v>
      </c>
      <c r="U148" s="76" t="s">
        <v>259</v>
      </c>
      <c r="V148" s="120" t="s">
        <v>305</v>
      </c>
      <c r="W148" s="78" t="s">
        <v>303</v>
      </c>
      <c r="X148" s="78" t="s">
        <v>303</v>
      </c>
      <c r="Y148" s="78" t="s">
        <v>303</v>
      </c>
      <c r="Z148" s="79" t="s">
        <v>303</v>
      </c>
      <c r="AA148" s="80" t="s">
        <v>303</v>
      </c>
      <c r="AB148" s="79" t="s">
        <v>303</v>
      </c>
      <c r="AC148" s="81" t="s">
        <v>303</v>
      </c>
      <c r="AD148" s="82" t="str">
        <f>ConstructiveMatrix[[#This Row],[Borrower Experience]] &amp; "|" &amp; ConstructiveMatrix[[#This Row],[Project Type]] &amp; "|" &amp; ConstructiveMatrix[[#This Row],[Loan Type]] &amp; "|" &amp; ConstructiveMatrix[[#This Row],[Dwelling Type]] &amp; "|" &amp; ConstructiveMatrix[[#This Row],[FICO]]</f>
        <v>Silver (1-2)|Fix and Flip (Heavy Rehab)|Purchase|Non-Warrantable Condo|680-739</v>
      </c>
    </row>
    <row r="149" spans="1:30" x14ac:dyDescent="0.3">
      <c r="A149" s="135" t="s">
        <v>328</v>
      </c>
      <c r="B149" s="51" t="s">
        <v>255</v>
      </c>
      <c r="C149" s="52" t="s">
        <v>251</v>
      </c>
      <c r="D149" s="53" t="s">
        <v>313</v>
      </c>
      <c r="E149" s="54" t="s">
        <v>310</v>
      </c>
      <c r="F149" s="55" t="s">
        <v>303</v>
      </c>
      <c r="G149" s="55" t="s">
        <v>303</v>
      </c>
      <c r="H149" s="55" t="s">
        <v>303</v>
      </c>
      <c r="I149" s="56" t="s">
        <v>303</v>
      </c>
      <c r="J149" s="56" t="s">
        <v>303</v>
      </c>
      <c r="K149" s="56" t="s">
        <v>303</v>
      </c>
      <c r="L149" s="57" t="s">
        <v>303</v>
      </c>
      <c r="M149" s="58" t="s">
        <v>303</v>
      </c>
      <c r="N149" s="57" t="s">
        <v>303</v>
      </c>
      <c r="O149" s="59" t="str">
        <f>ChurchillMatrix[[#This Row],[Experience Level]] &amp; "|" &amp; ChurchillMatrix[[#This Row],[Project Type]] &amp; "|" &amp; ChurchillMatrix[[#This Row],[Loan Type]] &amp; "|" &amp; ChurchillMatrix[[#This Row],[FICO]] &amp; "|" &amp; ChurchillMatrix[[#This Row],[Number of Units]]</f>
        <v>No Experience (0-2) ($0m)|Bridge (No Rehab)|Purchase|680 - 699|5-19 Units</v>
      </c>
      <c r="R149" s="137" t="s">
        <v>329</v>
      </c>
      <c r="S149" s="129" t="s">
        <v>318</v>
      </c>
      <c r="T149" s="52" t="s">
        <v>251</v>
      </c>
      <c r="U149" s="83" t="s">
        <v>259</v>
      </c>
      <c r="V149" s="121" t="s">
        <v>311</v>
      </c>
      <c r="W149" s="63" t="s">
        <v>303</v>
      </c>
      <c r="X149" s="63" t="s">
        <v>303</v>
      </c>
      <c r="Y149" s="63" t="s">
        <v>303</v>
      </c>
      <c r="Z149" s="64" t="s">
        <v>303</v>
      </c>
      <c r="AA149" s="65" t="s">
        <v>303</v>
      </c>
      <c r="AB149" s="64" t="s">
        <v>303</v>
      </c>
      <c r="AC149" s="66" t="s">
        <v>303</v>
      </c>
      <c r="AD149" s="67" t="str">
        <f>ConstructiveMatrix[[#This Row],[Borrower Experience]] &amp; "|" &amp; ConstructiveMatrix[[#This Row],[Project Type]] &amp; "|" &amp; ConstructiveMatrix[[#This Row],[Loan Type]] &amp; "|" &amp; ConstructiveMatrix[[#This Row],[Dwelling Type]] &amp; "|" &amp; ConstructiveMatrix[[#This Row],[FICO]]</f>
        <v>Silver (1-2)|Fix and Flip (Heavy Rehab)|Purchase|Non-Warrantable Condo|740+</v>
      </c>
    </row>
    <row r="150" spans="1:30" x14ac:dyDescent="0.3">
      <c r="A150" s="135" t="s">
        <v>328</v>
      </c>
      <c r="B150" s="51" t="s">
        <v>255</v>
      </c>
      <c r="C150" s="52" t="s">
        <v>251</v>
      </c>
      <c r="D150" s="68" t="s">
        <v>315</v>
      </c>
      <c r="E150" s="69" t="s">
        <v>302</v>
      </c>
      <c r="F150" s="131">
        <v>0.7</v>
      </c>
      <c r="G150" s="131">
        <v>0.7</v>
      </c>
      <c r="H150" s="71" t="s">
        <v>303</v>
      </c>
      <c r="I150" s="72">
        <v>8.75</v>
      </c>
      <c r="J150" s="72">
        <v>0</v>
      </c>
      <c r="K150" s="72">
        <f t="shared" ref="K150" si="13">I150+J150</f>
        <v>8.75</v>
      </c>
      <c r="L150" s="73">
        <v>125000</v>
      </c>
      <c r="M150" s="74">
        <v>5000000</v>
      </c>
      <c r="N150" s="73" t="s">
        <v>303</v>
      </c>
      <c r="O150" s="75" t="str">
        <f>ChurchillMatrix[[#This Row],[Experience Level]] &amp; "|" &amp; ChurchillMatrix[[#This Row],[Project Type]] &amp; "|" &amp; ChurchillMatrix[[#This Row],[Loan Type]] &amp; "|" &amp; ChurchillMatrix[[#This Row],[FICO]] &amp; "|" &amp; ChurchillMatrix[[#This Row],[Number of Units]]</f>
        <v>No Experience (0-2) ($0m)|Bridge (No Rehab)|Purchase|&gt;=700|&lt;=4 Units</v>
      </c>
      <c r="R150" s="137" t="s">
        <v>329</v>
      </c>
      <c r="S150" s="129" t="s">
        <v>318</v>
      </c>
      <c r="T150" s="52" t="s">
        <v>251</v>
      </c>
      <c r="U150" s="85" t="s">
        <v>316</v>
      </c>
      <c r="V150" s="120" t="s">
        <v>305</v>
      </c>
      <c r="W150" s="78" t="s">
        <v>303</v>
      </c>
      <c r="X150" s="78" t="s">
        <v>303</v>
      </c>
      <c r="Y150" s="78" t="s">
        <v>303</v>
      </c>
      <c r="Z150" s="79" t="s">
        <v>303</v>
      </c>
      <c r="AA150" s="80" t="s">
        <v>303</v>
      </c>
      <c r="AB150" s="79" t="s">
        <v>303</v>
      </c>
      <c r="AC150" s="81" t="s">
        <v>303</v>
      </c>
      <c r="AD150" s="82" t="str">
        <f>ConstructiveMatrix[[#This Row],[Borrower Experience]] &amp; "|" &amp; ConstructiveMatrix[[#This Row],[Project Type]] &amp; "|" &amp; ConstructiveMatrix[[#This Row],[Loan Type]] &amp; "|" &amp; ConstructiveMatrix[[#This Row],[Dwelling Type]] &amp; "|" &amp; ConstructiveMatrix[[#This Row],[FICO]]</f>
        <v>Silver (1-2)|Fix and Flip (Heavy Rehab)|Purchase|Other (2-4 unit)|680-739</v>
      </c>
    </row>
    <row r="151" spans="1:30" ht="15" thickBot="1" x14ac:dyDescent="0.35">
      <c r="A151" s="135" t="s">
        <v>328</v>
      </c>
      <c r="B151" s="51" t="s">
        <v>255</v>
      </c>
      <c r="C151" s="86" t="s">
        <v>251</v>
      </c>
      <c r="D151" s="87" t="s">
        <v>315</v>
      </c>
      <c r="E151" s="88" t="s">
        <v>310</v>
      </c>
      <c r="F151" s="89" t="s">
        <v>303</v>
      </c>
      <c r="G151" s="89" t="s">
        <v>303</v>
      </c>
      <c r="H151" s="89" t="s">
        <v>303</v>
      </c>
      <c r="I151" s="90" t="s">
        <v>303</v>
      </c>
      <c r="J151" s="90" t="s">
        <v>303</v>
      </c>
      <c r="K151" s="90" t="s">
        <v>303</v>
      </c>
      <c r="L151" s="91" t="s">
        <v>303</v>
      </c>
      <c r="M151" s="92" t="s">
        <v>303</v>
      </c>
      <c r="N151" s="91" t="s">
        <v>303</v>
      </c>
      <c r="O151" s="93" t="str">
        <f>ChurchillMatrix[[#This Row],[Experience Level]] &amp; "|" &amp; ChurchillMatrix[[#This Row],[Project Type]] &amp; "|" &amp; ChurchillMatrix[[#This Row],[Loan Type]] &amp; "|" &amp; ChurchillMatrix[[#This Row],[FICO]] &amp; "|" &amp; ChurchillMatrix[[#This Row],[Number of Units]]</f>
        <v>No Experience (0-2) ($0m)|Bridge (No Rehab)|Purchase|&gt;=700|5-19 Units</v>
      </c>
      <c r="R151" s="137" t="s">
        <v>329</v>
      </c>
      <c r="S151" s="129" t="s">
        <v>318</v>
      </c>
      <c r="T151" s="86" t="s">
        <v>251</v>
      </c>
      <c r="U151" s="94" t="s">
        <v>316</v>
      </c>
      <c r="V151" s="122" t="s">
        <v>311</v>
      </c>
      <c r="W151" s="96" t="s">
        <v>303</v>
      </c>
      <c r="X151" s="96" t="s">
        <v>303</v>
      </c>
      <c r="Y151" s="96" t="s">
        <v>303</v>
      </c>
      <c r="Z151" s="97" t="s">
        <v>303</v>
      </c>
      <c r="AA151" s="98" t="s">
        <v>303</v>
      </c>
      <c r="AB151" s="97" t="s">
        <v>303</v>
      </c>
      <c r="AC151" s="99" t="s">
        <v>303</v>
      </c>
      <c r="AD151" s="100" t="str">
        <f>ConstructiveMatrix[[#This Row],[Borrower Experience]] &amp; "|" &amp; ConstructiveMatrix[[#This Row],[Project Type]] &amp; "|" &amp; ConstructiveMatrix[[#This Row],[Loan Type]] &amp; "|" &amp; ConstructiveMatrix[[#This Row],[Dwelling Type]] &amp; "|" &amp; ConstructiveMatrix[[#This Row],[FICO]]</f>
        <v>Silver (1-2)|Fix and Flip (Heavy Rehab)|Purchase|Other (2-4 unit)|740+</v>
      </c>
    </row>
    <row r="152" spans="1:30" x14ac:dyDescent="0.3">
      <c r="A152" s="135" t="s">
        <v>328</v>
      </c>
      <c r="B152" s="51" t="s">
        <v>255</v>
      </c>
      <c r="C152" s="27" t="s">
        <v>249</v>
      </c>
      <c r="D152" s="28" t="s">
        <v>301</v>
      </c>
      <c r="E152" s="29" t="s">
        <v>302</v>
      </c>
      <c r="F152" s="31" t="s">
        <v>303</v>
      </c>
      <c r="G152" s="31" t="s">
        <v>303</v>
      </c>
      <c r="H152" s="31" t="s">
        <v>303</v>
      </c>
      <c r="I152" s="32" t="s">
        <v>303</v>
      </c>
      <c r="J152" s="32" t="s">
        <v>303</v>
      </c>
      <c r="K152" s="32" t="s">
        <v>303</v>
      </c>
      <c r="L152" s="33" t="s">
        <v>303</v>
      </c>
      <c r="M152" s="34" t="s">
        <v>303</v>
      </c>
      <c r="N152" s="33" t="s">
        <v>303</v>
      </c>
      <c r="O152" s="35" t="str">
        <f>ChurchillMatrix[[#This Row],[Experience Level]] &amp; "|" &amp; ChurchillMatrix[[#This Row],[Project Type]] &amp; "|" &amp; ChurchillMatrix[[#This Row],[Loan Type]] &amp; "|" &amp; ChurchillMatrix[[#This Row],[FICO]] &amp; "|" &amp; ChurchillMatrix[[#This Row],[Number of Units]]</f>
        <v>No Experience (0-2) ($0m)|Bridge (No Rehab)|Cash Out Refinance|660 - 679|&lt;=4 Units</v>
      </c>
      <c r="R152" s="137" t="s">
        <v>329</v>
      </c>
      <c r="S152" s="129" t="s">
        <v>318</v>
      </c>
      <c r="T152" s="101" t="s">
        <v>249</v>
      </c>
      <c r="U152" s="37" t="s">
        <v>250</v>
      </c>
      <c r="V152" s="123" t="s">
        <v>305</v>
      </c>
      <c r="W152" s="39" t="s">
        <v>303</v>
      </c>
      <c r="X152" s="39" t="s">
        <v>303</v>
      </c>
      <c r="Y152" s="39" t="s">
        <v>303</v>
      </c>
      <c r="Z152" s="40" t="s">
        <v>303</v>
      </c>
      <c r="AA152" s="41" t="s">
        <v>303</v>
      </c>
      <c r="AB152" s="40" t="s">
        <v>303</v>
      </c>
      <c r="AC152" s="42" t="s">
        <v>303</v>
      </c>
      <c r="AD152" s="43" t="str">
        <f>ConstructiveMatrix[[#This Row],[Borrower Experience]] &amp; "|" &amp; ConstructiveMatrix[[#This Row],[Project Type]] &amp; "|" &amp; ConstructiveMatrix[[#This Row],[Loan Type]] &amp; "|" &amp; ConstructiveMatrix[[#This Row],[Dwelling Type]] &amp; "|" &amp; ConstructiveMatrix[[#This Row],[FICO]]</f>
        <v>Silver (1-2)|Fix and Flip (Heavy Rehab)|Cash Out Refinance|Single Family|680-739</v>
      </c>
    </row>
    <row r="153" spans="1:30" x14ac:dyDescent="0.3">
      <c r="A153" s="135" t="s">
        <v>328</v>
      </c>
      <c r="B153" s="51" t="s">
        <v>255</v>
      </c>
      <c r="C153" s="52" t="s">
        <v>249</v>
      </c>
      <c r="D153" s="53" t="s">
        <v>301</v>
      </c>
      <c r="E153" s="54" t="s">
        <v>310</v>
      </c>
      <c r="F153" s="55" t="s">
        <v>303</v>
      </c>
      <c r="G153" s="55" t="s">
        <v>303</v>
      </c>
      <c r="H153" s="55" t="s">
        <v>303</v>
      </c>
      <c r="I153" s="56" t="s">
        <v>303</v>
      </c>
      <c r="J153" s="56" t="s">
        <v>303</v>
      </c>
      <c r="K153" s="56" t="s">
        <v>303</v>
      </c>
      <c r="L153" s="57" t="s">
        <v>303</v>
      </c>
      <c r="M153" s="58" t="s">
        <v>303</v>
      </c>
      <c r="N153" s="57" t="s">
        <v>303</v>
      </c>
      <c r="O153" s="59" t="str">
        <f>ChurchillMatrix[[#This Row],[Experience Level]] &amp; "|" &amp; ChurchillMatrix[[#This Row],[Project Type]] &amp; "|" &amp; ChurchillMatrix[[#This Row],[Loan Type]] &amp; "|" &amp; ChurchillMatrix[[#This Row],[FICO]] &amp; "|" &amp; ChurchillMatrix[[#This Row],[Number of Units]]</f>
        <v>No Experience (0-2) ($0m)|Bridge (No Rehab)|Cash Out Refinance|660 - 679|5-19 Units</v>
      </c>
      <c r="R153" s="137" t="s">
        <v>329</v>
      </c>
      <c r="S153" s="129" t="s">
        <v>318</v>
      </c>
      <c r="T153" s="102" t="s">
        <v>249</v>
      </c>
      <c r="U153" s="61" t="s">
        <v>250</v>
      </c>
      <c r="V153" s="121" t="s">
        <v>311</v>
      </c>
      <c r="W153" s="63" t="s">
        <v>303</v>
      </c>
      <c r="X153" s="63" t="s">
        <v>303</v>
      </c>
      <c r="Y153" s="63" t="s">
        <v>303</v>
      </c>
      <c r="Z153" s="64" t="s">
        <v>303</v>
      </c>
      <c r="AA153" s="65" t="s">
        <v>303</v>
      </c>
      <c r="AB153" s="64" t="s">
        <v>303</v>
      </c>
      <c r="AC153" s="66" t="s">
        <v>303</v>
      </c>
      <c r="AD153" s="67" t="str">
        <f>ConstructiveMatrix[[#This Row],[Borrower Experience]] &amp; "|" &amp; ConstructiveMatrix[[#This Row],[Project Type]] &amp; "|" &amp; ConstructiveMatrix[[#This Row],[Loan Type]] &amp; "|" &amp; ConstructiveMatrix[[#This Row],[Dwelling Type]] &amp; "|" &amp; ConstructiveMatrix[[#This Row],[FICO]]</f>
        <v>Silver (1-2)|Fix and Flip (Heavy Rehab)|Cash Out Refinance|Single Family|740+</v>
      </c>
    </row>
    <row r="154" spans="1:30" x14ac:dyDescent="0.3">
      <c r="A154" s="135" t="s">
        <v>328</v>
      </c>
      <c r="B154" s="51" t="s">
        <v>255</v>
      </c>
      <c r="C154" s="52" t="s">
        <v>249</v>
      </c>
      <c r="D154" s="68" t="s">
        <v>313</v>
      </c>
      <c r="E154" s="69" t="s">
        <v>302</v>
      </c>
      <c r="F154" s="71" t="s">
        <v>303</v>
      </c>
      <c r="G154" s="71" t="s">
        <v>303</v>
      </c>
      <c r="H154" s="71" t="s">
        <v>303</v>
      </c>
      <c r="I154" s="72" t="s">
        <v>303</v>
      </c>
      <c r="J154" s="72" t="s">
        <v>303</v>
      </c>
      <c r="K154" s="72" t="s">
        <v>303</v>
      </c>
      <c r="L154" s="73" t="s">
        <v>303</v>
      </c>
      <c r="M154" s="74" t="s">
        <v>303</v>
      </c>
      <c r="N154" s="73" t="s">
        <v>303</v>
      </c>
      <c r="O154" s="75" t="str">
        <f>ChurchillMatrix[[#This Row],[Experience Level]] &amp; "|" &amp; ChurchillMatrix[[#This Row],[Project Type]] &amp; "|" &amp; ChurchillMatrix[[#This Row],[Loan Type]] &amp; "|" &amp; ChurchillMatrix[[#This Row],[FICO]] &amp; "|" &amp; ChurchillMatrix[[#This Row],[Number of Units]]</f>
        <v>No Experience (0-2) ($0m)|Bridge (No Rehab)|Cash Out Refinance|680 - 699|&lt;=4 Units</v>
      </c>
      <c r="R154" s="137" t="s">
        <v>329</v>
      </c>
      <c r="S154" s="129" t="s">
        <v>318</v>
      </c>
      <c r="T154" s="102" t="s">
        <v>249</v>
      </c>
      <c r="U154" s="76" t="s">
        <v>259</v>
      </c>
      <c r="V154" s="120" t="s">
        <v>305</v>
      </c>
      <c r="W154" s="78" t="s">
        <v>303</v>
      </c>
      <c r="X154" s="78" t="s">
        <v>303</v>
      </c>
      <c r="Y154" s="78" t="s">
        <v>303</v>
      </c>
      <c r="Z154" s="79" t="s">
        <v>303</v>
      </c>
      <c r="AA154" s="80" t="s">
        <v>303</v>
      </c>
      <c r="AB154" s="79" t="s">
        <v>303</v>
      </c>
      <c r="AC154" s="81" t="s">
        <v>303</v>
      </c>
      <c r="AD154" s="82" t="str">
        <f>ConstructiveMatrix[[#This Row],[Borrower Experience]] &amp; "|" &amp; ConstructiveMatrix[[#This Row],[Project Type]] &amp; "|" &amp; ConstructiveMatrix[[#This Row],[Loan Type]] &amp; "|" &amp; ConstructiveMatrix[[#This Row],[Dwelling Type]] &amp; "|" &amp; ConstructiveMatrix[[#This Row],[FICO]]</f>
        <v>Silver (1-2)|Fix and Flip (Heavy Rehab)|Cash Out Refinance|Non-Warrantable Condo|680-739</v>
      </c>
    </row>
    <row r="155" spans="1:30" x14ac:dyDescent="0.3">
      <c r="A155" s="135" t="s">
        <v>328</v>
      </c>
      <c r="B155" s="51" t="s">
        <v>255</v>
      </c>
      <c r="C155" s="52" t="s">
        <v>249</v>
      </c>
      <c r="D155" s="53" t="s">
        <v>313</v>
      </c>
      <c r="E155" s="54" t="s">
        <v>310</v>
      </c>
      <c r="F155" s="55" t="s">
        <v>303</v>
      </c>
      <c r="G155" s="55" t="s">
        <v>303</v>
      </c>
      <c r="H155" s="55" t="s">
        <v>303</v>
      </c>
      <c r="I155" s="56" t="s">
        <v>303</v>
      </c>
      <c r="J155" s="56" t="s">
        <v>303</v>
      </c>
      <c r="K155" s="56" t="s">
        <v>303</v>
      </c>
      <c r="L155" s="57" t="s">
        <v>303</v>
      </c>
      <c r="M155" s="58" t="s">
        <v>303</v>
      </c>
      <c r="N155" s="57" t="s">
        <v>303</v>
      </c>
      <c r="O155" s="59" t="str">
        <f>ChurchillMatrix[[#This Row],[Experience Level]] &amp; "|" &amp; ChurchillMatrix[[#This Row],[Project Type]] &amp; "|" &amp; ChurchillMatrix[[#This Row],[Loan Type]] &amp; "|" &amp; ChurchillMatrix[[#This Row],[FICO]] &amp; "|" &amp; ChurchillMatrix[[#This Row],[Number of Units]]</f>
        <v>No Experience (0-2) ($0m)|Bridge (No Rehab)|Cash Out Refinance|680 - 699|5-19 Units</v>
      </c>
      <c r="R155" s="137" t="s">
        <v>329</v>
      </c>
      <c r="S155" s="129" t="s">
        <v>318</v>
      </c>
      <c r="T155" s="102" t="s">
        <v>249</v>
      </c>
      <c r="U155" s="83" t="s">
        <v>259</v>
      </c>
      <c r="V155" s="121" t="s">
        <v>311</v>
      </c>
      <c r="W155" s="63" t="s">
        <v>303</v>
      </c>
      <c r="X155" s="63" t="s">
        <v>303</v>
      </c>
      <c r="Y155" s="63" t="s">
        <v>303</v>
      </c>
      <c r="Z155" s="64" t="s">
        <v>303</v>
      </c>
      <c r="AA155" s="65" t="s">
        <v>303</v>
      </c>
      <c r="AB155" s="64" t="s">
        <v>303</v>
      </c>
      <c r="AC155" s="66" t="s">
        <v>303</v>
      </c>
      <c r="AD155" s="67" t="str">
        <f>ConstructiveMatrix[[#This Row],[Borrower Experience]] &amp; "|" &amp; ConstructiveMatrix[[#This Row],[Project Type]] &amp; "|" &amp; ConstructiveMatrix[[#This Row],[Loan Type]] &amp; "|" &amp; ConstructiveMatrix[[#This Row],[Dwelling Type]] &amp; "|" &amp; ConstructiveMatrix[[#This Row],[FICO]]</f>
        <v>Silver (1-2)|Fix and Flip (Heavy Rehab)|Cash Out Refinance|Non-Warrantable Condo|740+</v>
      </c>
    </row>
    <row r="156" spans="1:30" x14ac:dyDescent="0.3">
      <c r="A156" s="135" t="s">
        <v>328</v>
      </c>
      <c r="B156" s="51" t="s">
        <v>255</v>
      </c>
      <c r="C156" s="52" t="s">
        <v>249</v>
      </c>
      <c r="D156" s="68" t="s">
        <v>315</v>
      </c>
      <c r="E156" s="69" t="s">
        <v>302</v>
      </c>
      <c r="F156" s="71" t="s">
        <v>303</v>
      </c>
      <c r="G156" s="71" t="s">
        <v>303</v>
      </c>
      <c r="H156" s="71" t="s">
        <v>303</v>
      </c>
      <c r="I156" s="72" t="s">
        <v>303</v>
      </c>
      <c r="J156" s="72" t="s">
        <v>303</v>
      </c>
      <c r="K156" s="72" t="s">
        <v>303</v>
      </c>
      <c r="L156" s="73" t="s">
        <v>303</v>
      </c>
      <c r="M156" s="74" t="s">
        <v>303</v>
      </c>
      <c r="N156" s="73" t="s">
        <v>303</v>
      </c>
      <c r="O156" s="75" t="str">
        <f>ChurchillMatrix[[#This Row],[Experience Level]] &amp; "|" &amp; ChurchillMatrix[[#This Row],[Project Type]] &amp; "|" &amp; ChurchillMatrix[[#This Row],[Loan Type]] &amp; "|" &amp; ChurchillMatrix[[#This Row],[FICO]] &amp; "|" &amp; ChurchillMatrix[[#This Row],[Number of Units]]</f>
        <v>No Experience (0-2) ($0m)|Bridge (No Rehab)|Cash Out Refinance|&gt;=700|&lt;=4 Units</v>
      </c>
      <c r="R156" s="137" t="s">
        <v>329</v>
      </c>
      <c r="S156" s="129" t="s">
        <v>318</v>
      </c>
      <c r="T156" s="102" t="s">
        <v>249</v>
      </c>
      <c r="U156" s="85" t="s">
        <v>316</v>
      </c>
      <c r="V156" s="120" t="s">
        <v>305</v>
      </c>
      <c r="W156" s="78" t="s">
        <v>303</v>
      </c>
      <c r="X156" s="78" t="s">
        <v>303</v>
      </c>
      <c r="Y156" s="78" t="s">
        <v>303</v>
      </c>
      <c r="Z156" s="79" t="s">
        <v>303</v>
      </c>
      <c r="AA156" s="80" t="s">
        <v>303</v>
      </c>
      <c r="AB156" s="79" t="s">
        <v>303</v>
      </c>
      <c r="AC156" s="81" t="s">
        <v>303</v>
      </c>
      <c r="AD156" s="82" t="str">
        <f>ConstructiveMatrix[[#This Row],[Borrower Experience]] &amp; "|" &amp; ConstructiveMatrix[[#This Row],[Project Type]] &amp; "|" &amp; ConstructiveMatrix[[#This Row],[Loan Type]] &amp; "|" &amp; ConstructiveMatrix[[#This Row],[Dwelling Type]] &amp; "|" &amp; ConstructiveMatrix[[#This Row],[FICO]]</f>
        <v>Silver (1-2)|Fix and Flip (Heavy Rehab)|Cash Out Refinance|Other (2-4 unit)|680-739</v>
      </c>
    </row>
    <row r="157" spans="1:30" ht="15" thickBot="1" x14ac:dyDescent="0.35">
      <c r="A157" s="135" t="s">
        <v>328</v>
      </c>
      <c r="B157" s="51" t="s">
        <v>255</v>
      </c>
      <c r="C157" s="86" t="s">
        <v>249</v>
      </c>
      <c r="D157" s="87" t="s">
        <v>315</v>
      </c>
      <c r="E157" s="88" t="s">
        <v>310</v>
      </c>
      <c r="F157" s="89" t="s">
        <v>303</v>
      </c>
      <c r="G157" s="89" t="s">
        <v>303</v>
      </c>
      <c r="H157" s="89" t="s">
        <v>303</v>
      </c>
      <c r="I157" s="90" t="s">
        <v>303</v>
      </c>
      <c r="J157" s="90" t="s">
        <v>303</v>
      </c>
      <c r="K157" s="90" t="s">
        <v>303</v>
      </c>
      <c r="L157" s="91" t="s">
        <v>303</v>
      </c>
      <c r="M157" s="92" t="s">
        <v>303</v>
      </c>
      <c r="N157" s="91" t="s">
        <v>303</v>
      </c>
      <c r="O157" s="93" t="str">
        <f>ChurchillMatrix[[#This Row],[Experience Level]] &amp; "|" &amp; ChurchillMatrix[[#This Row],[Project Type]] &amp; "|" &amp; ChurchillMatrix[[#This Row],[Loan Type]] &amp; "|" &amp; ChurchillMatrix[[#This Row],[FICO]] &amp; "|" &amp; ChurchillMatrix[[#This Row],[Number of Units]]</f>
        <v>No Experience (0-2) ($0m)|Bridge (No Rehab)|Cash Out Refinance|&gt;=700|5-19 Units</v>
      </c>
      <c r="R157" s="137" t="s">
        <v>329</v>
      </c>
      <c r="S157" s="129" t="s">
        <v>318</v>
      </c>
      <c r="T157" s="103" t="s">
        <v>249</v>
      </c>
      <c r="U157" s="94" t="s">
        <v>316</v>
      </c>
      <c r="V157" s="122" t="s">
        <v>311</v>
      </c>
      <c r="W157" s="96" t="s">
        <v>303</v>
      </c>
      <c r="X157" s="96" t="s">
        <v>303</v>
      </c>
      <c r="Y157" s="96" t="s">
        <v>303</v>
      </c>
      <c r="Z157" s="97" t="s">
        <v>303</v>
      </c>
      <c r="AA157" s="98" t="s">
        <v>303</v>
      </c>
      <c r="AB157" s="97" t="s">
        <v>303</v>
      </c>
      <c r="AC157" s="99" t="s">
        <v>303</v>
      </c>
      <c r="AD157" s="100" t="str">
        <f>ConstructiveMatrix[[#This Row],[Borrower Experience]] &amp; "|" &amp; ConstructiveMatrix[[#This Row],[Project Type]] &amp; "|" &amp; ConstructiveMatrix[[#This Row],[Loan Type]] &amp; "|" &amp; ConstructiveMatrix[[#This Row],[Dwelling Type]] &amp; "|" &amp; ConstructiveMatrix[[#This Row],[FICO]]</f>
        <v>Silver (1-2)|Fix and Flip (Heavy Rehab)|Cash Out Refinance|Other (2-4 unit)|740+</v>
      </c>
    </row>
    <row r="158" spans="1:30" x14ac:dyDescent="0.3">
      <c r="A158" s="135" t="s">
        <v>328</v>
      </c>
      <c r="B158" s="51" t="s">
        <v>255</v>
      </c>
      <c r="C158" s="27" t="s">
        <v>256</v>
      </c>
      <c r="D158" s="28" t="s">
        <v>301</v>
      </c>
      <c r="E158" s="29" t="s">
        <v>302</v>
      </c>
      <c r="F158" s="31">
        <v>0.7</v>
      </c>
      <c r="G158" s="31">
        <v>0.7</v>
      </c>
      <c r="H158" s="31" t="s">
        <v>303</v>
      </c>
      <c r="I158" s="32">
        <v>8.75</v>
      </c>
      <c r="J158" s="32">
        <v>0.25</v>
      </c>
      <c r="K158" s="32">
        <f t="shared" ref="K158" si="14">I158+J158</f>
        <v>9</v>
      </c>
      <c r="L158" s="33">
        <v>125000</v>
      </c>
      <c r="M158" s="34">
        <v>5000000</v>
      </c>
      <c r="N158" s="33" t="s">
        <v>303</v>
      </c>
      <c r="O158" s="35" t="str">
        <f>ChurchillMatrix[[#This Row],[Experience Level]] &amp; "|" &amp; ChurchillMatrix[[#This Row],[Project Type]] &amp; "|" &amp; ChurchillMatrix[[#This Row],[Loan Type]] &amp; "|" &amp; ChurchillMatrix[[#This Row],[FICO]] &amp; "|" &amp; ChurchillMatrix[[#This Row],[Number of Units]]</f>
        <v>No Experience (0-2) ($0m)|Bridge (No Rehab)|Rate and Term Refinance|660 - 679|&lt;=4 Units</v>
      </c>
      <c r="R158" s="137" t="s">
        <v>329</v>
      </c>
      <c r="S158" s="129" t="s">
        <v>318</v>
      </c>
      <c r="T158" s="27" t="s">
        <v>256</v>
      </c>
      <c r="U158" s="37" t="s">
        <v>250</v>
      </c>
      <c r="V158" s="123" t="s">
        <v>305</v>
      </c>
      <c r="W158" s="39" t="s">
        <v>303</v>
      </c>
      <c r="X158" s="39" t="s">
        <v>303</v>
      </c>
      <c r="Y158" s="39" t="s">
        <v>303</v>
      </c>
      <c r="Z158" s="40" t="s">
        <v>303</v>
      </c>
      <c r="AA158" s="41" t="s">
        <v>303</v>
      </c>
      <c r="AB158" s="40" t="s">
        <v>303</v>
      </c>
      <c r="AC158" s="42" t="s">
        <v>303</v>
      </c>
      <c r="AD158" s="43" t="str">
        <f>ConstructiveMatrix[[#This Row],[Borrower Experience]] &amp; "|" &amp; ConstructiveMatrix[[#This Row],[Project Type]] &amp; "|" &amp; ConstructiveMatrix[[#This Row],[Loan Type]] &amp; "|" &amp; ConstructiveMatrix[[#This Row],[Dwelling Type]] &amp; "|" &amp; ConstructiveMatrix[[#This Row],[FICO]]</f>
        <v>Silver (1-2)|Fix and Flip (Heavy Rehab)|Rate and Term Refinance|Single Family|680-739</v>
      </c>
    </row>
    <row r="159" spans="1:30" x14ac:dyDescent="0.3">
      <c r="A159" s="135" t="s">
        <v>328</v>
      </c>
      <c r="B159" s="51" t="s">
        <v>255</v>
      </c>
      <c r="C159" s="104" t="s">
        <v>256</v>
      </c>
      <c r="D159" s="53" t="s">
        <v>301</v>
      </c>
      <c r="E159" s="54" t="s">
        <v>310</v>
      </c>
      <c r="F159" s="55" t="s">
        <v>303</v>
      </c>
      <c r="G159" s="55" t="s">
        <v>303</v>
      </c>
      <c r="H159" s="55" t="s">
        <v>303</v>
      </c>
      <c r="I159" s="56" t="s">
        <v>303</v>
      </c>
      <c r="J159" s="56" t="s">
        <v>303</v>
      </c>
      <c r="K159" s="56" t="s">
        <v>303</v>
      </c>
      <c r="L159" s="57" t="s">
        <v>303</v>
      </c>
      <c r="M159" s="58" t="s">
        <v>303</v>
      </c>
      <c r="N159" s="57" t="s">
        <v>303</v>
      </c>
      <c r="O159" s="59" t="str">
        <f>ChurchillMatrix[[#This Row],[Experience Level]] &amp; "|" &amp; ChurchillMatrix[[#This Row],[Project Type]] &amp; "|" &amp; ChurchillMatrix[[#This Row],[Loan Type]] &amp; "|" &amp; ChurchillMatrix[[#This Row],[FICO]] &amp; "|" &amp; ChurchillMatrix[[#This Row],[Number of Units]]</f>
        <v>No Experience (0-2) ($0m)|Bridge (No Rehab)|Rate and Term Refinance|660 - 679|5-19 Units</v>
      </c>
      <c r="R159" s="137" t="s">
        <v>329</v>
      </c>
      <c r="S159" s="129" t="s">
        <v>318</v>
      </c>
      <c r="T159" s="52" t="s">
        <v>256</v>
      </c>
      <c r="U159" s="61" t="s">
        <v>250</v>
      </c>
      <c r="V159" s="121" t="s">
        <v>311</v>
      </c>
      <c r="W159" s="63" t="s">
        <v>303</v>
      </c>
      <c r="X159" s="63" t="s">
        <v>303</v>
      </c>
      <c r="Y159" s="63" t="s">
        <v>303</v>
      </c>
      <c r="Z159" s="64" t="s">
        <v>303</v>
      </c>
      <c r="AA159" s="65" t="s">
        <v>303</v>
      </c>
      <c r="AB159" s="64" t="s">
        <v>303</v>
      </c>
      <c r="AC159" s="66" t="s">
        <v>303</v>
      </c>
      <c r="AD159" s="67" t="str">
        <f>ConstructiveMatrix[[#This Row],[Borrower Experience]] &amp; "|" &amp; ConstructiveMatrix[[#This Row],[Project Type]] &amp; "|" &amp; ConstructiveMatrix[[#This Row],[Loan Type]] &amp; "|" &amp; ConstructiveMatrix[[#This Row],[Dwelling Type]] &amp; "|" &amp; ConstructiveMatrix[[#This Row],[FICO]]</f>
        <v>Silver (1-2)|Fix and Flip (Heavy Rehab)|Rate and Term Refinance|Single Family|740+</v>
      </c>
    </row>
    <row r="160" spans="1:30" x14ac:dyDescent="0.3">
      <c r="A160" s="135" t="s">
        <v>328</v>
      </c>
      <c r="B160" s="51" t="s">
        <v>255</v>
      </c>
      <c r="C160" s="52" t="s">
        <v>256</v>
      </c>
      <c r="D160" s="68" t="s">
        <v>313</v>
      </c>
      <c r="E160" s="69" t="s">
        <v>302</v>
      </c>
      <c r="F160" s="71">
        <v>0.7</v>
      </c>
      <c r="G160" s="71">
        <v>0.7</v>
      </c>
      <c r="H160" s="71" t="s">
        <v>303</v>
      </c>
      <c r="I160" s="72">
        <v>8.75</v>
      </c>
      <c r="J160" s="72">
        <v>0.25</v>
      </c>
      <c r="K160" s="72">
        <f t="shared" ref="K160" si="15">I160+J160</f>
        <v>9</v>
      </c>
      <c r="L160" s="73">
        <v>125000</v>
      </c>
      <c r="M160" s="74">
        <v>5000000</v>
      </c>
      <c r="N160" s="73" t="s">
        <v>303</v>
      </c>
      <c r="O160" s="75" t="str">
        <f>ChurchillMatrix[[#This Row],[Experience Level]] &amp; "|" &amp; ChurchillMatrix[[#This Row],[Project Type]] &amp; "|" &amp; ChurchillMatrix[[#This Row],[Loan Type]] &amp; "|" &amp; ChurchillMatrix[[#This Row],[FICO]] &amp; "|" &amp; ChurchillMatrix[[#This Row],[Number of Units]]</f>
        <v>No Experience (0-2) ($0m)|Bridge (No Rehab)|Rate and Term Refinance|680 - 699|&lt;=4 Units</v>
      </c>
      <c r="R160" s="137" t="s">
        <v>329</v>
      </c>
      <c r="S160" s="129" t="s">
        <v>318</v>
      </c>
      <c r="T160" s="52" t="s">
        <v>256</v>
      </c>
      <c r="U160" s="76" t="s">
        <v>259</v>
      </c>
      <c r="V160" s="120" t="s">
        <v>305</v>
      </c>
      <c r="W160" s="78" t="s">
        <v>303</v>
      </c>
      <c r="X160" s="78" t="s">
        <v>303</v>
      </c>
      <c r="Y160" s="78" t="s">
        <v>303</v>
      </c>
      <c r="Z160" s="79" t="s">
        <v>303</v>
      </c>
      <c r="AA160" s="80" t="s">
        <v>303</v>
      </c>
      <c r="AB160" s="79" t="s">
        <v>303</v>
      </c>
      <c r="AC160" s="81" t="s">
        <v>303</v>
      </c>
      <c r="AD160" s="82" t="str">
        <f>ConstructiveMatrix[[#This Row],[Borrower Experience]] &amp; "|" &amp; ConstructiveMatrix[[#This Row],[Project Type]] &amp; "|" &amp; ConstructiveMatrix[[#This Row],[Loan Type]] &amp; "|" &amp; ConstructiveMatrix[[#This Row],[Dwelling Type]] &amp; "|" &amp; ConstructiveMatrix[[#This Row],[FICO]]</f>
        <v>Silver (1-2)|Fix and Flip (Heavy Rehab)|Rate and Term Refinance|Non-Warrantable Condo|680-739</v>
      </c>
    </row>
    <row r="161" spans="1:30" x14ac:dyDescent="0.3">
      <c r="A161" s="135" t="s">
        <v>328</v>
      </c>
      <c r="B161" s="51" t="s">
        <v>255</v>
      </c>
      <c r="C161" s="104" t="s">
        <v>256</v>
      </c>
      <c r="D161" s="53" t="s">
        <v>313</v>
      </c>
      <c r="E161" s="54" t="s">
        <v>310</v>
      </c>
      <c r="F161" s="55" t="s">
        <v>303</v>
      </c>
      <c r="G161" s="55" t="s">
        <v>303</v>
      </c>
      <c r="H161" s="55" t="s">
        <v>303</v>
      </c>
      <c r="I161" s="56" t="s">
        <v>303</v>
      </c>
      <c r="J161" s="56" t="s">
        <v>303</v>
      </c>
      <c r="K161" s="56" t="s">
        <v>303</v>
      </c>
      <c r="L161" s="57" t="s">
        <v>303</v>
      </c>
      <c r="M161" s="58" t="s">
        <v>303</v>
      </c>
      <c r="N161" s="57" t="s">
        <v>303</v>
      </c>
      <c r="O161" s="59" t="str">
        <f>ChurchillMatrix[[#This Row],[Experience Level]] &amp; "|" &amp; ChurchillMatrix[[#This Row],[Project Type]] &amp; "|" &amp; ChurchillMatrix[[#This Row],[Loan Type]] &amp; "|" &amp; ChurchillMatrix[[#This Row],[FICO]] &amp; "|" &amp; ChurchillMatrix[[#This Row],[Number of Units]]</f>
        <v>No Experience (0-2) ($0m)|Bridge (No Rehab)|Rate and Term Refinance|680 - 699|5-19 Units</v>
      </c>
      <c r="R161" s="137" t="s">
        <v>329</v>
      </c>
      <c r="S161" s="129" t="s">
        <v>318</v>
      </c>
      <c r="T161" s="52" t="s">
        <v>256</v>
      </c>
      <c r="U161" s="83" t="s">
        <v>259</v>
      </c>
      <c r="V161" s="121" t="s">
        <v>311</v>
      </c>
      <c r="W161" s="63" t="s">
        <v>303</v>
      </c>
      <c r="X161" s="63" t="s">
        <v>303</v>
      </c>
      <c r="Y161" s="63" t="s">
        <v>303</v>
      </c>
      <c r="Z161" s="64" t="s">
        <v>303</v>
      </c>
      <c r="AA161" s="65" t="s">
        <v>303</v>
      </c>
      <c r="AB161" s="64" t="s">
        <v>303</v>
      </c>
      <c r="AC161" s="66" t="s">
        <v>303</v>
      </c>
      <c r="AD161" s="67" t="str">
        <f>ConstructiveMatrix[[#This Row],[Borrower Experience]] &amp; "|" &amp; ConstructiveMatrix[[#This Row],[Project Type]] &amp; "|" &amp; ConstructiveMatrix[[#This Row],[Loan Type]] &amp; "|" &amp; ConstructiveMatrix[[#This Row],[Dwelling Type]] &amp; "|" &amp; ConstructiveMatrix[[#This Row],[FICO]]</f>
        <v>Silver (1-2)|Fix and Flip (Heavy Rehab)|Rate and Term Refinance|Non-Warrantable Condo|740+</v>
      </c>
    </row>
    <row r="162" spans="1:30" x14ac:dyDescent="0.3">
      <c r="A162" s="135" t="s">
        <v>328</v>
      </c>
      <c r="B162" s="51" t="s">
        <v>255</v>
      </c>
      <c r="C162" s="52" t="s">
        <v>256</v>
      </c>
      <c r="D162" s="68" t="s">
        <v>315</v>
      </c>
      <c r="E162" s="69" t="s">
        <v>302</v>
      </c>
      <c r="F162" s="71">
        <v>0.7</v>
      </c>
      <c r="G162" s="71">
        <v>0.7</v>
      </c>
      <c r="H162" s="71" t="s">
        <v>303</v>
      </c>
      <c r="I162" s="72">
        <v>8.75</v>
      </c>
      <c r="J162" s="72">
        <v>0</v>
      </c>
      <c r="K162" s="72">
        <f t="shared" ref="K162" si="16">I162+J162</f>
        <v>8.75</v>
      </c>
      <c r="L162" s="73">
        <v>125000</v>
      </c>
      <c r="M162" s="74">
        <v>5000000</v>
      </c>
      <c r="N162" s="73" t="s">
        <v>303</v>
      </c>
      <c r="O162" s="75" t="str">
        <f>ChurchillMatrix[[#This Row],[Experience Level]] &amp; "|" &amp; ChurchillMatrix[[#This Row],[Project Type]] &amp; "|" &amp; ChurchillMatrix[[#This Row],[Loan Type]] &amp; "|" &amp; ChurchillMatrix[[#This Row],[FICO]] &amp; "|" &amp; ChurchillMatrix[[#This Row],[Number of Units]]</f>
        <v>No Experience (0-2) ($0m)|Bridge (No Rehab)|Rate and Term Refinance|&gt;=700|&lt;=4 Units</v>
      </c>
      <c r="R162" s="137" t="s">
        <v>329</v>
      </c>
      <c r="S162" s="129" t="s">
        <v>318</v>
      </c>
      <c r="T162" s="52" t="s">
        <v>256</v>
      </c>
      <c r="U162" s="85" t="s">
        <v>316</v>
      </c>
      <c r="V162" s="120" t="s">
        <v>305</v>
      </c>
      <c r="W162" s="78" t="s">
        <v>303</v>
      </c>
      <c r="X162" s="78" t="s">
        <v>303</v>
      </c>
      <c r="Y162" s="78" t="s">
        <v>303</v>
      </c>
      <c r="Z162" s="79" t="s">
        <v>303</v>
      </c>
      <c r="AA162" s="80" t="s">
        <v>303</v>
      </c>
      <c r="AB162" s="79" t="s">
        <v>303</v>
      </c>
      <c r="AC162" s="81" t="s">
        <v>303</v>
      </c>
      <c r="AD162" s="82" t="str">
        <f>ConstructiveMatrix[[#This Row],[Borrower Experience]] &amp; "|" &amp; ConstructiveMatrix[[#This Row],[Project Type]] &amp; "|" &amp; ConstructiveMatrix[[#This Row],[Loan Type]] &amp; "|" &amp; ConstructiveMatrix[[#This Row],[Dwelling Type]] &amp; "|" &amp; ConstructiveMatrix[[#This Row],[FICO]]</f>
        <v>Silver (1-2)|Fix and Flip (Heavy Rehab)|Rate and Term Refinance|Other (2-4 unit)|680-739</v>
      </c>
    </row>
    <row r="163" spans="1:30" ht="15" thickBot="1" x14ac:dyDescent="0.35">
      <c r="A163" s="138" t="s">
        <v>328</v>
      </c>
      <c r="B163" s="111" t="s">
        <v>255</v>
      </c>
      <c r="C163" s="86" t="s">
        <v>256</v>
      </c>
      <c r="D163" s="87" t="s">
        <v>315</v>
      </c>
      <c r="E163" s="88" t="s">
        <v>310</v>
      </c>
      <c r="F163" s="89" t="s">
        <v>303</v>
      </c>
      <c r="G163" s="89" t="s">
        <v>303</v>
      </c>
      <c r="H163" s="89" t="s">
        <v>303</v>
      </c>
      <c r="I163" s="90" t="s">
        <v>303</v>
      </c>
      <c r="J163" s="90" t="s">
        <v>303</v>
      </c>
      <c r="K163" s="90" t="s">
        <v>303</v>
      </c>
      <c r="L163" s="91" t="s">
        <v>303</v>
      </c>
      <c r="M163" s="92" t="s">
        <v>303</v>
      </c>
      <c r="N163" s="91" t="s">
        <v>303</v>
      </c>
      <c r="O163" s="93" t="str">
        <f>ChurchillMatrix[[#This Row],[Experience Level]] &amp; "|" &amp; ChurchillMatrix[[#This Row],[Project Type]] &amp; "|" &amp; ChurchillMatrix[[#This Row],[Loan Type]] &amp; "|" &amp; ChurchillMatrix[[#This Row],[FICO]] &amp; "|" &amp; ChurchillMatrix[[#This Row],[Number of Units]]</f>
        <v>No Experience (0-2) ($0m)|Bridge (No Rehab)|Rate and Term Refinance|&gt;=700|5-19 Units</v>
      </c>
      <c r="R163" s="137" t="s">
        <v>329</v>
      </c>
      <c r="S163" s="129" t="s">
        <v>318</v>
      </c>
      <c r="T163" s="52" t="s">
        <v>256</v>
      </c>
      <c r="U163" s="139" t="s">
        <v>316</v>
      </c>
      <c r="V163" s="113" t="s">
        <v>311</v>
      </c>
      <c r="W163" s="114" t="s">
        <v>303</v>
      </c>
      <c r="X163" s="114" t="s">
        <v>303</v>
      </c>
      <c r="Y163" s="114" t="s">
        <v>303</v>
      </c>
      <c r="Z163" s="115" t="s">
        <v>303</v>
      </c>
      <c r="AA163" s="116" t="s">
        <v>303</v>
      </c>
      <c r="AB163" s="115" t="s">
        <v>303</v>
      </c>
      <c r="AC163" s="117" t="s">
        <v>303</v>
      </c>
      <c r="AD163" s="82" t="str">
        <f>ConstructiveMatrix[[#This Row],[Borrower Experience]] &amp; "|" &amp; ConstructiveMatrix[[#This Row],[Project Type]] &amp; "|" &amp; ConstructiveMatrix[[#This Row],[Loan Type]] &amp; "|" &amp; ConstructiveMatrix[[#This Row],[Dwelling Type]] &amp; "|" &amp; ConstructiveMatrix[[#This Row],[FICO]]</f>
        <v>Silver (1-2)|Fix and Flip (Heavy Rehab)|Rate and Term Refinance|Other (2-4 unit)|740+</v>
      </c>
    </row>
  </sheetData>
  <conditionalFormatting sqref="F1:N163">
    <cfRule type="cellIs" dxfId="85" priority="3" operator="equal">
      <formula>"N/a"</formula>
    </cfRule>
  </conditionalFormatting>
  <conditionalFormatting sqref="W1:AD1">
    <cfRule type="cellIs" dxfId="84" priority="2" operator="equal">
      <formula>"N/a"</formula>
    </cfRule>
  </conditionalFormatting>
  <conditionalFormatting sqref="AD1 W1:AC163">
    <cfRule type="cellIs" dxfId="83" priority="1" operator="equal">
      <formula>"N/A"</formula>
    </cfRule>
  </conditionalFormatting>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9E1-D178-45B9-9EF5-22A4D3C620ED}">
  <dimension ref="A1:Q15"/>
  <sheetViews>
    <sheetView workbookViewId="0">
      <selection activeCell="P3" sqref="P3"/>
    </sheetView>
  </sheetViews>
  <sheetFormatPr defaultRowHeight="14.4" x14ac:dyDescent="0.3"/>
  <cols>
    <col min="1" max="1" width="18.88671875" bestFit="1" customWidth="1"/>
    <col min="2" max="2" width="7" bestFit="1" customWidth="1"/>
    <col min="3" max="3" width="7" customWidth="1"/>
    <col min="8" max="8" width="23" bestFit="1" customWidth="1"/>
    <col min="9" max="9" width="24.5546875" bestFit="1" customWidth="1"/>
    <col min="12" max="12" width="25.88671875" bestFit="1" customWidth="1"/>
    <col min="13" max="13" width="17.6640625" bestFit="1" customWidth="1"/>
    <col min="16" max="16" width="13.109375" bestFit="1" customWidth="1"/>
  </cols>
  <sheetData>
    <row r="1" spans="1:17" x14ac:dyDescent="0.3">
      <c r="A1" s="294" t="s">
        <v>330</v>
      </c>
      <c r="B1" s="294"/>
      <c r="C1" s="113"/>
      <c r="E1" t="s">
        <v>331</v>
      </c>
      <c r="H1" s="295" t="s">
        <v>332</v>
      </c>
      <c r="I1" s="296"/>
      <c r="J1" s="297"/>
      <c r="L1" s="294" t="s">
        <v>333</v>
      </c>
      <c r="M1" s="294"/>
      <c r="P1" s="298" t="s">
        <v>334</v>
      </c>
      <c r="Q1" s="298"/>
    </row>
    <row r="2" spans="1:17" x14ac:dyDescent="0.3">
      <c r="A2" s="141" t="s">
        <v>335</v>
      </c>
      <c r="B2" s="141" t="s">
        <v>336</v>
      </c>
      <c r="C2" s="113"/>
      <c r="E2" s="141" t="s">
        <v>335</v>
      </c>
      <c r="F2" s="141" t="s">
        <v>336</v>
      </c>
      <c r="H2" s="141" t="s">
        <v>337</v>
      </c>
      <c r="I2" s="141" t="s">
        <v>338</v>
      </c>
      <c r="J2" s="141" t="s">
        <v>339</v>
      </c>
      <c r="L2" s="142" t="s">
        <v>262</v>
      </c>
      <c r="M2" s="143" t="s">
        <v>340</v>
      </c>
      <c r="P2" t="s">
        <v>111</v>
      </c>
      <c r="Q2" t="s">
        <v>341</v>
      </c>
    </row>
    <row r="3" spans="1:17" x14ac:dyDescent="0.3">
      <c r="A3" s="143" t="s">
        <v>253</v>
      </c>
      <c r="B3" s="143" t="s">
        <v>342</v>
      </c>
      <c r="E3" s="143" t="s">
        <v>253</v>
      </c>
      <c r="F3" s="143" t="s">
        <v>342</v>
      </c>
      <c r="H3" s="143" t="s">
        <v>343</v>
      </c>
      <c r="I3" s="143" t="s">
        <v>250</v>
      </c>
      <c r="J3" s="143">
        <v>700</v>
      </c>
      <c r="L3" s="142" t="s">
        <v>251</v>
      </c>
      <c r="M3" s="143">
        <v>2</v>
      </c>
      <c r="P3" t="s">
        <v>69</v>
      </c>
      <c r="Q3" t="s">
        <v>344</v>
      </c>
    </row>
    <row r="4" spans="1:17" x14ac:dyDescent="0.3">
      <c r="A4" s="143" t="s">
        <v>247</v>
      </c>
      <c r="B4" s="143" t="s">
        <v>342</v>
      </c>
      <c r="E4" s="143" t="s">
        <v>345</v>
      </c>
      <c r="F4" s="143" t="s">
        <v>342</v>
      </c>
      <c r="H4" s="143" t="s">
        <v>343</v>
      </c>
      <c r="I4" s="143" t="s">
        <v>346</v>
      </c>
      <c r="J4" s="143">
        <v>500</v>
      </c>
      <c r="L4" s="142" t="s">
        <v>249</v>
      </c>
      <c r="M4" s="143">
        <v>1</v>
      </c>
      <c r="P4" t="s">
        <v>69</v>
      </c>
      <c r="Q4" t="s">
        <v>347</v>
      </c>
    </row>
    <row r="5" spans="1:17" x14ac:dyDescent="0.3">
      <c r="A5" s="143" t="s">
        <v>345</v>
      </c>
      <c r="B5" s="143" t="s">
        <v>342</v>
      </c>
      <c r="E5" s="143" t="s">
        <v>348</v>
      </c>
      <c r="F5" s="143" t="s">
        <v>342</v>
      </c>
      <c r="H5" s="143" t="s">
        <v>343</v>
      </c>
      <c r="I5" s="143" t="s">
        <v>257</v>
      </c>
      <c r="J5" s="143">
        <v>500</v>
      </c>
      <c r="L5" s="142" t="s">
        <v>256</v>
      </c>
      <c r="M5" s="143">
        <v>2</v>
      </c>
      <c r="P5" t="s">
        <v>69</v>
      </c>
      <c r="Q5" t="s">
        <v>69</v>
      </c>
    </row>
    <row r="6" spans="1:17" x14ac:dyDescent="0.3">
      <c r="A6" s="143" t="s">
        <v>348</v>
      </c>
      <c r="B6" s="143" t="s">
        <v>342</v>
      </c>
      <c r="H6" s="143" t="s">
        <v>343</v>
      </c>
      <c r="I6" s="143" t="s">
        <v>349</v>
      </c>
      <c r="J6" s="143">
        <v>500</v>
      </c>
      <c r="P6" t="s">
        <v>69</v>
      </c>
      <c r="Q6" t="s">
        <v>350</v>
      </c>
    </row>
    <row r="7" spans="1:17" x14ac:dyDescent="0.3">
      <c r="H7" s="143" t="s">
        <v>343</v>
      </c>
      <c r="I7" s="143" t="s">
        <v>351</v>
      </c>
      <c r="J7" s="143">
        <v>500</v>
      </c>
      <c r="P7" t="s">
        <v>69</v>
      </c>
      <c r="Q7" t="s">
        <v>352</v>
      </c>
    </row>
    <row r="8" spans="1:17" x14ac:dyDescent="0.3">
      <c r="H8" s="143" t="s">
        <v>353</v>
      </c>
      <c r="I8" s="143" t="s">
        <v>353</v>
      </c>
      <c r="J8" s="143">
        <v>500</v>
      </c>
      <c r="P8" t="s">
        <v>31</v>
      </c>
      <c r="Q8" t="s">
        <v>354</v>
      </c>
    </row>
    <row r="9" spans="1:17" x14ac:dyDescent="0.3">
      <c r="H9" s="192"/>
      <c r="I9" s="192" t="s">
        <v>259</v>
      </c>
      <c r="P9" t="s">
        <v>31</v>
      </c>
      <c r="Q9" t="s">
        <v>355</v>
      </c>
    </row>
    <row r="10" spans="1:17" x14ac:dyDescent="0.3">
      <c r="H10" s="143" t="s">
        <v>356</v>
      </c>
      <c r="I10" s="144" t="s">
        <v>357</v>
      </c>
      <c r="J10" s="143">
        <v>700</v>
      </c>
      <c r="P10" t="s">
        <v>31</v>
      </c>
      <c r="Q10" t="s">
        <v>358</v>
      </c>
    </row>
    <row r="11" spans="1:17" x14ac:dyDescent="0.3">
      <c r="H11" s="145" t="s">
        <v>359</v>
      </c>
      <c r="I11" s="146" t="s">
        <v>360</v>
      </c>
      <c r="J11" s="145">
        <v>700</v>
      </c>
      <c r="P11" t="s">
        <v>31</v>
      </c>
      <c r="Q11" t="s">
        <v>361</v>
      </c>
    </row>
    <row r="12" spans="1:17" x14ac:dyDescent="0.3">
      <c r="H12" s="143" t="s">
        <v>343</v>
      </c>
      <c r="I12" s="143" t="s">
        <v>362</v>
      </c>
      <c r="J12" s="143">
        <v>500</v>
      </c>
      <c r="P12" t="s">
        <v>31</v>
      </c>
      <c r="Q12" t="s">
        <v>363</v>
      </c>
    </row>
    <row r="13" spans="1:17" x14ac:dyDescent="0.3">
      <c r="P13" t="s">
        <v>23</v>
      </c>
      <c r="Q13" t="s">
        <v>364</v>
      </c>
    </row>
    <row r="14" spans="1:17" x14ac:dyDescent="0.3">
      <c r="P14" t="s">
        <v>23</v>
      </c>
      <c r="Q14" t="s">
        <v>365</v>
      </c>
    </row>
    <row r="15" spans="1:17" x14ac:dyDescent="0.3">
      <c r="P15" t="s">
        <v>23</v>
      </c>
      <c r="Q15" t="s">
        <v>366</v>
      </c>
    </row>
  </sheetData>
  <autoFilter ref="H2:J12" xr:uid="{077FE9E1-D178-45B9-9EF5-22A4D3C620ED}"/>
  <mergeCells count="4">
    <mergeCell ref="A1:B1"/>
    <mergeCell ref="H1:J1"/>
    <mergeCell ref="L1:M1"/>
    <mergeCell ref="P1:Q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AF2C-5638-4CFF-9220-A69E1D898267}">
  <dimension ref="A1:BQ21"/>
  <sheetViews>
    <sheetView showGridLines="0" showRowColHeaders="0" zoomScale="85" zoomScaleNormal="85" workbookViewId="0">
      <selection activeCell="D26" sqref="D26"/>
    </sheetView>
  </sheetViews>
  <sheetFormatPr defaultColWidth="9.109375" defaultRowHeight="14.4" outlineLevelCol="1" x14ac:dyDescent="0.3"/>
  <cols>
    <col min="1" max="1" width="4.6640625" style="159" customWidth="1"/>
    <col min="2" max="2" width="2.109375" customWidth="1"/>
    <col min="3" max="3" width="18.88671875" bestFit="1" customWidth="1"/>
    <col min="4" max="4" width="34.109375" bestFit="1" customWidth="1"/>
    <col min="5" max="5" width="23" bestFit="1" customWidth="1"/>
    <col min="6" max="6" width="36" bestFit="1" customWidth="1"/>
    <col min="7" max="7" width="23" hidden="1" customWidth="1"/>
    <col min="8" max="8" width="9" bestFit="1" customWidth="1" outlineLevel="1"/>
    <col min="9" max="9" width="9" style="13" bestFit="1" customWidth="1" outlineLevel="1"/>
    <col min="10" max="10" width="9" bestFit="1" customWidth="1" outlineLevel="1"/>
    <col min="11" max="12" width="8.44140625" bestFit="1" customWidth="1" outlineLevel="1"/>
    <col min="13" max="13" width="7.44140625" bestFit="1" customWidth="1" outlineLevel="1"/>
    <col min="14" max="15" width="8.109375" bestFit="1" customWidth="1" outlineLevel="1"/>
    <col min="16" max="17" width="8.44140625" bestFit="1" customWidth="1" outlineLevel="1"/>
    <col min="18" max="18" width="2" bestFit="1" customWidth="1"/>
    <col min="19" max="22" width="9.33203125" customWidth="1" outlineLevel="1"/>
    <col min="23" max="24" width="9.33203125" bestFit="1" customWidth="1" outlineLevel="1"/>
    <col min="25" max="25" width="6.33203125" bestFit="1" customWidth="1" outlineLevel="1"/>
    <col min="26" max="26" width="2" bestFit="1" customWidth="1"/>
    <col min="27" max="35" width="11.5546875" bestFit="1" customWidth="1" outlineLevel="1"/>
    <col min="36" max="36" width="11.6640625" customWidth="1" outlineLevel="1"/>
    <col min="37" max="37" width="4.33203125" customWidth="1"/>
    <col min="38" max="38" width="9.109375" style="162" customWidth="1"/>
    <col min="39" max="44" width="9.109375" style="158" customWidth="1"/>
    <col min="45" max="54" width="9.109375" style="158"/>
    <col min="55" max="69" width="9.109375" style="158" bestFit="1"/>
  </cols>
  <sheetData>
    <row r="1" spans="1:69" ht="46.5" customHeight="1" x14ac:dyDescent="0.3">
      <c r="A1" s="158"/>
      <c r="B1" s="158"/>
      <c r="C1" s="158"/>
      <c r="D1" s="158"/>
      <c r="E1" s="158"/>
      <c r="F1" s="158"/>
      <c r="G1" s="158"/>
      <c r="H1" s="158"/>
      <c r="I1" s="257"/>
      <c r="J1" s="158"/>
      <c r="K1" s="158"/>
      <c r="L1" s="158"/>
      <c r="M1" s="158"/>
      <c r="N1" s="158"/>
      <c r="O1" s="158"/>
      <c r="P1" s="158"/>
      <c r="Q1" s="158"/>
      <c r="R1" s="299" t="s">
        <v>367</v>
      </c>
      <c r="S1" s="158"/>
      <c r="T1" s="158"/>
      <c r="U1" s="158"/>
      <c r="V1" s="158"/>
      <c r="W1" s="158"/>
      <c r="X1" s="158"/>
      <c r="Y1" s="158"/>
      <c r="Z1" s="300" t="s">
        <v>368</v>
      </c>
      <c r="AA1" s="158"/>
      <c r="AB1" s="158"/>
      <c r="AC1" s="158"/>
      <c r="AD1" s="158"/>
      <c r="AE1" s="158"/>
      <c r="AF1" s="158"/>
      <c r="AG1" s="158"/>
      <c r="AH1" s="158"/>
      <c r="AI1" s="158"/>
      <c r="AJ1" s="158"/>
      <c r="AK1" s="301" t="s">
        <v>369</v>
      </c>
      <c r="AL1" s="158"/>
    </row>
    <row r="2" spans="1:69" ht="30" customHeight="1" x14ac:dyDescent="0.3">
      <c r="A2" s="158"/>
      <c r="B2" s="158"/>
      <c r="C2" s="158"/>
      <c r="D2" s="158"/>
      <c r="E2" s="158"/>
      <c r="F2" s="158"/>
      <c r="G2" s="158"/>
      <c r="H2" s="158"/>
      <c r="I2" s="257"/>
      <c r="J2" s="158"/>
      <c r="K2" s="158"/>
      <c r="L2" s="158"/>
      <c r="M2" s="158"/>
      <c r="N2" s="158"/>
      <c r="O2" s="158"/>
      <c r="P2" s="158"/>
      <c r="Q2" s="158"/>
      <c r="R2" s="299"/>
      <c r="S2" s="158"/>
      <c r="T2" s="158"/>
      <c r="U2" s="158"/>
      <c r="V2" s="158"/>
      <c r="W2" s="158"/>
      <c r="X2" s="158"/>
      <c r="Y2" s="158"/>
      <c r="Z2" s="300"/>
      <c r="AA2" s="158"/>
      <c r="AB2" s="158"/>
      <c r="AC2" s="158"/>
      <c r="AD2" s="158"/>
      <c r="AE2" s="158"/>
      <c r="AF2" s="158"/>
      <c r="AG2" s="158"/>
      <c r="AH2" s="158"/>
      <c r="AI2" s="158"/>
      <c r="AJ2" s="158"/>
      <c r="AK2" s="301"/>
      <c r="AL2" s="158"/>
    </row>
    <row r="3" spans="1:69" ht="30" customHeight="1" x14ac:dyDescent="0.3">
      <c r="A3" s="158"/>
      <c r="B3" s="158"/>
      <c r="C3" s="158"/>
      <c r="D3" s="158"/>
      <c r="E3" s="158"/>
      <c r="F3" s="158"/>
      <c r="G3" s="158"/>
      <c r="H3" s="158"/>
      <c r="I3" s="257"/>
      <c r="J3" s="158"/>
      <c r="K3" s="158"/>
      <c r="L3" s="158"/>
      <c r="M3" s="158"/>
      <c r="N3" s="158"/>
      <c r="O3" s="158"/>
      <c r="P3" s="158"/>
      <c r="Q3" s="158"/>
      <c r="R3" s="299"/>
      <c r="S3" s="158"/>
      <c r="T3" s="158"/>
      <c r="U3" s="158"/>
      <c r="V3" s="158"/>
      <c r="W3" s="158"/>
      <c r="X3" s="158"/>
      <c r="Y3" s="158"/>
      <c r="Z3" s="300"/>
      <c r="AA3" s="158"/>
      <c r="AB3" s="158"/>
      <c r="AC3" s="158"/>
      <c r="AD3" s="158"/>
      <c r="AE3" s="158"/>
      <c r="AF3" s="158"/>
      <c r="AG3" s="158"/>
      <c r="AH3" s="158"/>
      <c r="AI3" s="158"/>
      <c r="AJ3" s="158"/>
      <c r="AK3" s="301"/>
      <c r="AL3" s="158"/>
    </row>
    <row r="4" spans="1:69" ht="30" customHeight="1" x14ac:dyDescent="0.3">
      <c r="A4" s="158"/>
      <c r="B4" s="158"/>
      <c r="C4" s="158"/>
      <c r="D4" s="158"/>
      <c r="E4" s="158"/>
      <c r="F4" s="158"/>
      <c r="G4" s="158"/>
      <c r="H4" s="158"/>
      <c r="I4" s="257"/>
      <c r="J4" s="158"/>
      <c r="K4" s="158"/>
      <c r="L4" s="158"/>
      <c r="M4" s="158"/>
      <c r="N4" s="158"/>
      <c r="O4" s="158"/>
      <c r="P4" s="158"/>
      <c r="Q4" s="158"/>
      <c r="R4" s="299"/>
      <c r="S4" s="158"/>
      <c r="T4" s="158"/>
      <c r="U4" s="158"/>
      <c r="V4" s="158"/>
      <c r="W4" s="158"/>
      <c r="X4" s="158"/>
      <c r="Y4" s="158"/>
      <c r="Z4" s="300"/>
      <c r="AA4" s="158"/>
      <c r="AB4" s="158"/>
      <c r="AC4" s="158"/>
      <c r="AD4" s="158"/>
      <c r="AE4" s="158"/>
      <c r="AF4" s="158"/>
      <c r="AG4" s="158"/>
      <c r="AH4" s="158"/>
      <c r="AI4" s="158"/>
      <c r="AJ4" s="158"/>
      <c r="AK4" s="301"/>
      <c r="AL4" s="158"/>
    </row>
    <row r="5" spans="1:69" ht="30" customHeight="1" x14ac:dyDescent="0.3">
      <c r="A5" s="158"/>
      <c r="B5" s="158"/>
      <c r="C5" s="158"/>
      <c r="D5" s="158"/>
      <c r="E5" s="158"/>
      <c r="F5" s="158"/>
      <c r="G5" s="158"/>
      <c r="H5" s="158"/>
      <c r="I5" s="257"/>
      <c r="J5" s="158"/>
      <c r="K5" s="158"/>
      <c r="L5" s="158"/>
      <c r="M5" s="158"/>
      <c r="N5" s="158"/>
      <c r="O5" s="158"/>
      <c r="P5" s="158"/>
      <c r="Q5" s="158"/>
      <c r="R5" s="299"/>
      <c r="S5" s="158"/>
      <c r="T5" s="158"/>
      <c r="U5" s="158"/>
      <c r="V5" s="158"/>
      <c r="W5" s="158"/>
      <c r="X5" s="158"/>
      <c r="Y5" s="158"/>
      <c r="Z5" s="300"/>
      <c r="AA5" s="158"/>
      <c r="AB5" s="158"/>
      <c r="AC5" s="158"/>
      <c r="AD5" s="158"/>
      <c r="AE5" s="158"/>
      <c r="AF5" s="158"/>
      <c r="AG5" s="158"/>
      <c r="AH5" s="158"/>
      <c r="AI5" s="158"/>
      <c r="AJ5" s="158"/>
      <c r="AK5" s="301"/>
      <c r="AL5" s="158"/>
    </row>
    <row r="6" spans="1:69" ht="30" customHeight="1" x14ac:dyDescent="0.3">
      <c r="A6" s="158"/>
      <c r="B6" s="158"/>
      <c r="C6" s="158"/>
      <c r="D6" s="158"/>
      <c r="E6" s="158"/>
      <c r="F6" s="158"/>
      <c r="G6" s="158"/>
      <c r="H6" s="158"/>
      <c r="I6" s="257"/>
      <c r="J6" s="158"/>
      <c r="K6" s="158"/>
      <c r="L6" s="158"/>
      <c r="M6" s="158"/>
      <c r="N6" s="158"/>
      <c r="O6" s="158"/>
      <c r="P6" s="158"/>
      <c r="Q6" s="158"/>
      <c r="R6" s="299"/>
      <c r="S6" s="158"/>
      <c r="T6" s="158"/>
      <c r="U6" s="158"/>
      <c r="V6" s="158"/>
      <c r="W6" s="158"/>
      <c r="X6" s="158"/>
      <c r="Y6" s="158"/>
      <c r="Z6" s="300"/>
      <c r="AA6" s="158"/>
      <c r="AB6" s="158"/>
      <c r="AC6" s="158"/>
      <c r="AD6" s="158"/>
      <c r="AE6" s="158"/>
      <c r="AF6" s="158"/>
      <c r="AG6" s="158"/>
      <c r="AH6" s="158"/>
      <c r="AI6" s="158"/>
      <c r="AJ6" s="158"/>
      <c r="AK6" s="301"/>
      <c r="AL6" s="158"/>
    </row>
    <row r="7" spans="1:69" ht="15" thickBot="1" x14ac:dyDescent="0.35">
      <c r="A7" s="158"/>
      <c r="B7" s="161"/>
      <c r="C7" s="161"/>
      <c r="D7" s="161"/>
      <c r="E7" s="161"/>
      <c r="F7" s="161"/>
      <c r="G7" s="161"/>
      <c r="H7" s="161"/>
      <c r="I7" s="258"/>
      <c r="J7" s="161"/>
      <c r="K7" s="161"/>
      <c r="L7" s="161"/>
      <c r="M7" s="161"/>
      <c r="N7" s="161"/>
      <c r="O7" s="161"/>
      <c r="P7" s="161"/>
      <c r="Q7" s="161"/>
      <c r="R7" s="299"/>
      <c r="S7" s="161"/>
      <c r="T7" s="161"/>
      <c r="U7" s="161"/>
      <c r="V7" s="161"/>
      <c r="W7" s="161"/>
      <c r="X7" s="161"/>
      <c r="Y7" s="161"/>
      <c r="Z7" s="300"/>
      <c r="AA7" s="161"/>
      <c r="AB7" s="161"/>
      <c r="AC7" s="161"/>
      <c r="AD7" s="161"/>
      <c r="AE7" s="161"/>
      <c r="AF7" s="161"/>
      <c r="AG7" s="161"/>
      <c r="AH7" s="161"/>
      <c r="AI7" s="158"/>
      <c r="AJ7" s="158"/>
      <c r="AK7" s="301"/>
      <c r="AL7" s="158"/>
    </row>
    <row r="8" spans="1:69" ht="11.25" customHeight="1" x14ac:dyDescent="0.3"/>
    <row r="9" spans="1:69" s="154" customFormat="1" ht="57.6" x14ac:dyDescent="0.3">
      <c r="A9" s="160"/>
      <c r="C9" s="156" t="s">
        <v>156</v>
      </c>
      <c r="D9" s="155" t="s">
        <v>157</v>
      </c>
      <c r="E9" s="155" t="s">
        <v>370</v>
      </c>
      <c r="F9" s="156" t="s">
        <v>371</v>
      </c>
      <c r="G9" s="278" t="s">
        <v>169</v>
      </c>
      <c r="H9" s="157" t="s">
        <v>372</v>
      </c>
      <c r="I9" s="263" t="s">
        <v>373</v>
      </c>
      <c r="J9" s="157" t="s">
        <v>374</v>
      </c>
      <c r="K9" s="265" t="s">
        <v>375</v>
      </c>
      <c r="L9" s="263" t="s">
        <v>376</v>
      </c>
      <c r="M9" s="263" t="s">
        <v>377</v>
      </c>
      <c r="N9" s="263" t="s">
        <v>378</v>
      </c>
      <c r="O9" s="157" t="s">
        <v>379</v>
      </c>
      <c r="P9" s="265" t="s">
        <v>380</v>
      </c>
      <c r="Q9" s="157" t="s">
        <v>381</v>
      </c>
      <c r="R9" s="264" t="s">
        <v>382</v>
      </c>
      <c r="S9" s="174" t="s">
        <v>383</v>
      </c>
      <c r="T9" s="174" t="s">
        <v>384</v>
      </c>
      <c r="U9" s="174" t="s">
        <v>385</v>
      </c>
      <c r="V9" s="182" t="s">
        <v>386</v>
      </c>
      <c r="W9" s="182" t="s">
        <v>387</v>
      </c>
      <c r="X9" s="182" t="s">
        <v>388</v>
      </c>
      <c r="Y9" s="176" t="s">
        <v>389</v>
      </c>
      <c r="Z9" s="227" t="s">
        <v>390</v>
      </c>
      <c r="AA9" s="177" t="s">
        <v>391</v>
      </c>
      <c r="AB9" s="177" t="s">
        <v>392</v>
      </c>
      <c r="AC9" s="177" t="s">
        <v>393</v>
      </c>
      <c r="AD9" s="178" t="s">
        <v>394</v>
      </c>
      <c r="AE9" s="178" t="s">
        <v>395</v>
      </c>
      <c r="AF9" s="178" t="s">
        <v>396</v>
      </c>
      <c r="AG9" s="226" t="s">
        <v>397</v>
      </c>
      <c r="AH9" s="225" t="s">
        <v>398</v>
      </c>
      <c r="AI9" s="225" t="s">
        <v>399</v>
      </c>
      <c r="AJ9" s="225" t="s">
        <v>400</v>
      </c>
      <c r="AK9"/>
      <c r="AL9" s="163"/>
      <c r="AM9" s="164"/>
      <c r="AN9" s="164"/>
      <c r="AO9" s="164"/>
      <c r="AP9" s="164"/>
      <c r="AQ9" s="164"/>
      <c r="AR9" s="164"/>
      <c r="AS9" s="164"/>
      <c r="AT9" s="164"/>
      <c r="AU9" s="164"/>
      <c r="AV9" s="164"/>
      <c r="AW9" s="164"/>
      <c r="AX9" s="164"/>
      <c r="AY9" s="164"/>
      <c r="AZ9" s="164"/>
      <c r="BA9" s="164"/>
      <c r="BB9" s="164"/>
      <c r="BC9" s="164"/>
      <c r="BD9" s="164"/>
      <c r="BE9" s="164"/>
      <c r="BF9" s="164"/>
      <c r="BG9" s="164"/>
      <c r="BH9" s="164"/>
      <c r="BI9" s="164"/>
      <c r="BJ9" s="164"/>
      <c r="BK9" s="164"/>
      <c r="BL9" s="164"/>
      <c r="BM9" s="164"/>
      <c r="BN9" s="164"/>
      <c r="BO9" s="164"/>
      <c r="BP9" s="164"/>
      <c r="BQ9" s="164"/>
    </row>
    <row r="10" spans="1:69" x14ac:dyDescent="0.3">
      <c r="C10" s="239" t="s">
        <v>401</v>
      </c>
      <c r="D10" s="166" t="s">
        <v>254</v>
      </c>
      <c r="E10" s="167">
        <v>33329376338</v>
      </c>
      <c r="F10" s="166" t="s">
        <v>252</v>
      </c>
      <c r="G10" t="s">
        <v>402</v>
      </c>
      <c r="H10" s="49">
        <v>157500</v>
      </c>
      <c r="I10" s="50"/>
      <c r="J10" s="269">
        <v>157500</v>
      </c>
      <c r="K10" s="266">
        <v>0.85</v>
      </c>
      <c r="L10" s="275"/>
      <c r="M10" s="273">
        <v>0.01</v>
      </c>
      <c r="N10" s="273">
        <v>0.01</v>
      </c>
      <c r="O10" s="259">
        <v>2.5000000000000001E-2</v>
      </c>
      <c r="P10" s="274">
        <v>0.105</v>
      </c>
      <c r="Q10" s="259">
        <v>0.13500000000000001</v>
      </c>
      <c r="R10" s="264">
        <v>1</v>
      </c>
      <c r="S10" s="49">
        <v>150000</v>
      </c>
      <c r="T10" s="49">
        <v>0</v>
      </c>
      <c r="U10" s="49">
        <v>150000</v>
      </c>
      <c r="V10" s="181">
        <v>0.75</v>
      </c>
      <c r="W10" s="165">
        <v>0.75</v>
      </c>
      <c r="X10" s="180"/>
      <c r="Y10" s="165">
        <v>0.09</v>
      </c>
      <c r="Z10" s="227">
        <v>1</v>
      </c>
      <c r="AA10" s="49">
        <v>150000</v>
      </c>
      <c r="AB10" s="49">
        <v>0</v>
      </c>
      <c r="AC10" s="49">
        <v>150000</v>
      </c>
      <c r="AD10" s="165">
        <v>0.75</v>
      </c>
      <c r="AE10" s="165"/>
      <c r="AF10" s="165"/>
      <c r="AG10" s="179">
        <v>1995</v>
      </c>
      <c r="AH10" s="165">
        <v>0.1149</v>
      </c>
      <c r="AI10" s="165">
        <v>0.10489999999999999</v>
      </c>
      <c r="AJ10" s="165">
        <v>9.4899999999999998E-2</v>
      </c>
    </row>
    <row r="11" spans="1:69" x14ac:dyDescent="0.3">
      <c r="C11" s="239"/>
      <c r="D11" s="166"/>
      <c r="E11" s="167">
        <v>33330149550</v>
      </c>
      <c r="F11" s="166" t="s">
        <v>252</v>
      </c>
      <c r="G11" t="s">
        <v>402</v>
      </c>
      <c r="H11" s="49">
        <v>135000</v>
      </c>
      <c r="I11" s="50"/>
      <c r="J11" s="267">
        <v>385000</v>
      </c>
      <c r="K11" s="266">
        <v>0.9</v>
      </c>
      <c r="L11" s="275"/>
      <c r="M11" s="271">
        <v>0.01</v>
      </c>
      <c r="N11" s="271">
        <v>0.01</v>
      </c>
      <c r="O11" s="259">
        <v>2.5000000000000001E-2</v>
      </c>
      <c r="P11" s="262">
        <v>0.10625</v>
      </c>
      <c r="Q11" s="259">
        <v>0.13625000000000001</v>
      </c>
      <c r="R11" s="264">
        <v>1</v>
      </c>
      <c r="S11" s="49">
        <v>132500</v>
      </c>
      <c r="T11" s="49">
        <v>250000</v>
      </c>
      <c r="U11" s="49">
        <v>382500</v>
      </c>
      <c r="V11" s="181">
        <v>0.85</v>
      </c>
      <c r="W11" s="165">
        <v>0.85</v>
      </c>
      <c r="X11" s="180">
        <v>0.7</v>
      </c>
      <c r="Y11" s="165">
        <v>9.2499999999999999E-2</v>
      </c>
      <c r="Z11" s="255">
        <v>1</v>
      </c>
      <c r="AA11" s="49">
        <v>110000</v>
      </c>
      <c r="AB11" s="49">
        <v>250000</v>
      </c>
      <c r="AC11" s="49">
        <v>360000</v>
      </c>
      <c r="AD11" s="165">
        <v>0.8</v>
      </c>
      <c r="AE11" s="165">
        <v>0.8</v>
      </c>
      <c r="AF11" s="165">
        <v>0.75</v>
      </c>
      <c r="AG11" s="179">
        <v>2495</v>
      </c>
      <c r="AH11" s="165">
        <v>0.11990000000000001</v>
      </c>
      <c r="AI11" s="165">
        <v>0.1099</v>
      </c>
      <c r="AJ11" s="165">
        <v>9.9900000000000003E-2</v>
      </c>
    </row>
    <row r="12" spans="1:69" x14ac:dyDescent="0.3">
      <c r="C12" s="239"/>
      <c r="D12" s="166"/>
      <c r="E12" s="167">
        <v>33334908950</v>
      </c>
      <c r="F12" s="166" t="s">
        <v>252</v>
      </c>
      <c r="G12" t="s">
        <v>402</v>
      </c>
      <c r="H12" s="49">
        <v>150000</v>
      </c>
      <c r="I12" s="50"/>
      <c r="J12" s="267">
        <v>175000</v>
      </c>
      <c r="K12" s="266">
        <v>0.85</v>
      </c>
      <c r="L12" s="275"/>
      <c r="M12" s="271">
        <v>0.01</v>
      </c>
      <c r="N12" s="271">
        <v>0.01</v>
      </c>
      <c r="O12" s="259">
        <v>2.5000000000000001E-2</v>
      </c>
      <c r="P12" s="262">
        <v>0.105</v>
      </c>
      <c r="Q12" s="259">
        <v>0.13500000000000001</v>
      </c>
      <c r="R12" s="264">
        <v>1</v>
      </c>
      <c r="S12" s="49">
        <v>162500</v>
      </c>
      <c r="T12" s="49">
        <v>25000</v>
      </c>
      <c r="U12" s="49">
        <v>187500</v>
      </c>
      <c r="V12" s="181">
        <v>0.85</v>
      </c>
      <c r="W12" s="165">
        <v>0.9</v>
      </c>
      <c r="X12" s="180">
        <v>0.75</v>
      </c>
      <c r="Y12" s="165">
        <v>9.5000000000000001E-2</v>
      </c>
      <c r="Z12" s="255">
        <v>1</v>
      </c>
      <c r="AA12" s="49">
        <v>150000</v>
      </c>
      <c r="AB12" s="49">
        <v>25000</v>
      </c>
      <c r="AC12" s="49">
        <v>175000</v>
      </c>
      <c r="AD12" s="165">
        <v>0.8</v>
      </c>
      <c r="AE12" s="165">
        <v>0.8</v>
      </c>
      <c r="AF12" s="165">
        <v>0.7</v>
      </c>
      <c r="AG12" s="179">
        <v>1995</v>
      </c>
      <c r="AH12" s="165">
        <v>0.1249</v>
      </c>
      <c r="AI12" s="165">
        <v>0.11489999999999999</v>
      </c>
      <c r="AJ12" s="165">
        <v>0.10489999999999999</v>
      </c>
    </row>
    <row r="13" spans="1:69" x14ac:dyDescent="0.3">
      <c r="C13" s="239" t="s">
        <v>403</v>
      </c>
      <c r="D13" s="166" t="s">
        <v>246</v>
      </c>
      <c r="E13" s="167">
        <v>33383240489</v>
      </c>
      <c r="F13" s="166" t="s">
        <v>244</v>
      </c>
      <c r="G13" t="s">
        <v>404</v>
      </c>
      <c r="H13" s="49">
        <v>370500</v>
      </c>
      <c r="I13" s="50">
        <v>67000</v>
      </c>
      <c r="J13" s="267">
        <v>437500</v>
      </c>
      <c r="K13" s="266">
        <v>0.85</v>
      </c>
      <c r="L13" s="275">
        <v>0.7</v>
      </c>
      <c r="M13" s="271">
        <v>0.01</v>
      </c>
      <c r="N13" s="271">
        <v>0.01</v>
      </c>
      <c r="O13" s="259">
        <v>2.5000000000000001E-2</v>
      </c>
      <c r="P13" s="262">
        <v>0.105</v>
      </c>
      <c r="Q13" s="259">
        <v>0.13500000000000001</v>
      </c>
      <c r="R13" s="264">
        <v>1</v>
      </c>
      <c r="S13" s="49">
        <v>401750</v>
      </c>
      <c r="T13" s="49">
        <v>67000</v>
      </c>
      <c r="U13" s="49">
        <v>468750</v>
      </c>
      <c r="V13" s="181">
        <v>0.85</v>
      </c>
      <c r="W13" s="165">
        <v>0.9</v>
      </c>
      <c r="X13" s="180">
        <v>0.75</v>
      </c>
      <c r="Y13" s="165">
        <v>9.2499999999999999E-2</v>
      </c>
      <c r="Z13" s="255">
        <v>1</v>
      </c>
      <c r="AA13" s="49">
        <v>370500</v>
      </c>
      <c r="AB13" s="49">
        <v>67000</v>
      </c>
      <c r="AC13" s="49">
        <v>437500</v>
      </c>
      <c r="AD13" s="165">
        <v>0.8</v>
      </c>
      <c r="AE13" s="165">
        <v>0.8</v>
      </c>
      <c r="AF13" s="165">
        <v>0.7</v>
      </c>
      <c r="AG13" s="179">
        <v>1995</v>
      </c>
      <c r="AH13" s="165">
        <v>0.1249</v>
      </c>
      <c r="AI13" s="165">
        <v>0.11489999999999999</v>
      </c>
      <c r="AJ13" s="165">
        <v>0.10489999999999999</v>
      </c>
    </row>
    <row r="14" spans="1:69" x14ac:dyDescent="0.3">
      <c r="C14" s="239"/>
      <c r="D14" s="166"/>
      <c r="E14" s="167">
        <v>33383084951</v>
      </c>
      <c r="F14" s="166" t="s">
        <v>244</v>
      </c>
      <c r="G14" t="s">
        <v>404</v>
      </c>
      <c r="H14" s="49">
        <v>160000</v>
      </c>
      <c r="I14" s="286">
        <v>50000</v>
      </c>
      <c r="J14" s="267">
        <v>187500</v>
      </c>
      <c r="K14" s="266">
        <v>0.75</v>
      </c>
      <c r="L14" s="275">
        <v>0.7</v>
      </c>
      <c r="M14" s="271">
        <v>0.01</v>
      </c>
      <c r="N14" s="271">
        <v>0.01</v>
      </c>
      <c r="O14" s="259">
        <v>2.5000000000000001E-2</v>
      </c>
      <c r="P14" s="262">
        <v>0.105</v>
      </c>
      <c r="Q14" s="259">
        <v>0.13500000000000001</v>
      </c>
      <c r="R14" s="264">
        <v>1</v>
      </c>
      <c r="S14" s="49"/>
      <c r="T14" s="49"/>
      <c r="U14" s="49"/>
      <c r="V14" s="181"/>
      <c r="W14" s="165"/>
      <c r="X14" s="180"/>
      <c r="Y14" s="165"/>
      <c r="Z14" s="255">
        <v>1</v>
      </c>
      <c r="AA14" s="49"/>
      <c r="AB14" s="49"/>
      <c r="AC14" s="49"/>
      <c r="AD14" s="165"/>
      <c r="AE14" s="165"/>
      <c r="AF14" s="165"/>
      <c r="AG14" s="179"/>
      <c r="AH14" s="165"/>
      <c r="AI14" s="165"/>
      <c r="AJ14" s="165"/>
    </row>
    <row r="15" spans="1:69" x14ac:dyDescent="0.3">
      <c r="C15" s="239" t="s">
        <v>405</v>
      </c>
      <c r="D15" s="166" t="s">
        <v>254</v>
      </c>
      <c r="E15" s="167">
        <v>33321779329</v>
      </c>
      <c r="F15" s="166" t="s">
        <v>258</v>
      </c>
      <c r="G15" t="s">
        <v>402</v>
      </c>
      <c r="H15" s="49">
        <v>153000</v>
      </c>
      <c r="I15" s="50"/>
      <c r="J15" s="268">
        <v>168000</v>
      </c>
      <c r="K15" s="266">
        <v>0.85</v>
      </c>
      <c r="L15" s="275"/>
      <c r="M15" s="272">
        <v>8.7500000000000008E-3</v>
      </c>
      <c r="N15" s="272">
        <v>8.7500000000000008E-3</v>
      </c>
      <c r="O15" s="259">
        <v>2.2499999999999999E-2</v>
      </c>
      <c r="P15" s="270">
        <v>0.10249999999999999</v>
      </c>
      <c r="Q15" s="259">
        <v>0.13</v>
      </c>
      <c r="R15" s="264">
        <v>1</v>
      </c>
      <c r="S15" s="49">
        <v>165000</v>
      </c>
      <c r="T15" s="49">
        <v>15000</v>
      </c>
      <c r="U15" s="49">
        <v>180000</v>
      </c>
      <c r="V15" s="181">
        <v>0.85</v>
      </c>
      <c r="W15" s="165">
        <v>0.9</v>
      </c>
      <c r="X15" s="180">
        <v>0.75</v>
      </c>
      <c r="Y15" s="165">
        <v>8.7499999999999994E-2</v>
      </c>
      <c r="Z15" s="256">
        <v>1</v>
      </c>
      <c r="AA15" s="49">
        <v>130000</v>
      </c>
      <c r="AB15" s="49">
        <v>15000</v>
      </c>
      <c r="AC15" s="49">
        <v>145000</v>
      </c>
      <c r="AD15" s="165">
        <v>0.65</v>
      </c>
      <c r="AE15" s="165">
        <v>0.9</v>
      </c>
      <c r="AF15" s="165">
        <v>0.65</v>
      </c>
      <c r="AG15" s="179">
        <v>1995</v>
      </c>
      <c r="AH15" s="165">
        <v>0.1099</v>
      </c>
      <c r="AI15" s="165">
        <v>9.9900000000000003E-2</v>
      </c>
      <c r="AJ15" s="165">
        <v>8.7499999999999994E-2</v>
      </c>
    </row>
    <row r="16" spans="1:69" x14ac:dyDescent="0.3">
      <c r="I16"/>
    </row>
    <row r="17" spans="9:9" x14ac:dyDescent="0.3">
      <c r="I17"/>
    </row>
    <row r="18" spans="9:9" x14ac:dyDescent="0.3">
      <c r="I18"/>
    </row>
    <row r="19" spans="9:9" x14ac:dyDescent="0.3">
      <c r="I19"/>
    </row>
    <row r="20" spans="9:9" x14ac:dyDescent="0.3">
      <c r="I20"/>
    </row>
    <row r="21" spans="9:9" x14ac:dyDescent="0.3">
      <c r="I21"/>
    </row>
  </sheetData>
  <mergeCells count="3">
    <mergeCell ref="R1:R7"/>
    <mergeCell ref="Z1:Z7"/>
    <mergeCell ref="AK1:AK7"/>
  </mergeCells>
  <conditionalFormatting pivot="1" sqref="I10:I15">
    <cfRule type="expression" dxfId="82" priority="9">
      <formula>$G10="FALSE"</formula>
    </cfRule>
  </conditionalFormatting>
  <conditionalFormatting pivot="1" sqref="J10:J15">
    <cfRule type="expression" dxfId="81" priority="8">
      <formula>$G10="FALSE"</formula>
    </cfRule>
  </conditionalFormatting>
  <conditionalFormatting pivot="1" sqref="K10:K15">
    <cfRule type="expression" dxfId="80" priority="7">
      <formula>$G10="FALSE"</formula>
    </cfRule>
  </conditionalFormatting>
  <conditionalFormatting pivot="1" sqref="L10:L15">
    <cfRule type="expression" dxfId="79" priority="6">
      <formula>$G10="FALSE"</formula>
    </cfRule>
  </conditionalFormatting>
  <conditionalFormatting pivot="1" sqref="M10:M15">
    <cfRule type="expression" dxfId="78" priority="5">
      <formula>$G10="FALSE"</formula>
    </cfRule>
  </conditionalFormatting>
  <conditionalFormatting pivot="1" sqref="N10:N15">
    <cfRule type="expression" dxfId="77" priority="4">
      <formula>$G10="FALSE"</formula>
    </cfRule>
  </conditionalFormatting>
  <conditionalFormatting pivot="1" sqref="O10:O15">
    <cfRule type="expression" dxfId="76" priority="3">
      <formula>$G10="FALSE"</formula>
    </cfRule>
  </conditionalFormatting>
  <conditionalFormatting pivot="1" sqref="P10:P15">
    <cfRule type="expression" dxfId="75" priority="2">
      <formula>$G10="FALSE"</formula>
    </cfRule>
  </conditionalFormatting>
  <conditionalFormatting pivot="1" sqref="Q10:Q15">
    <cfRule type="expression" dxfId="74" priority="1">
      <formula>$G10="FALSE"</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D472-DB8B-411C-BD72-FC301F926B8E}">
  <dimension ref="A1:EF104"/>
  <sheetViews>
    <sheetView showGridLines="0" zoomScale="60" zoomScaleNormal="60" workbookViewId="0">
      <selection activeCell="BR14" sqref="BR14"/>
    </sheetView>
  </sheetViews>
  <sheetFormatPr defaultColWidth="0" defaultRowHeight="14.4" zeroHeight="1" x14ac:dyDescent="0.3"/>
  <cols>
    <col min="1" max="2" width="2.109375" customWidth="1"/>
    <col min="3" max="16" width="2.33203125" customWidth="1"/>
    <col min="17" max="17" width="0.88671875" customWidth="1"/>
    <col min="18" max="28" width="2.33203125" customWidth="1"/>
    <col min="29" max="29" width="0.88671875" customWidth="1"/>
    <col min="30" max="62" width="2.33203125" customWidth="1"/>
    <col min="63" max="67" width="2.109375" customWidth="1"/>
    <col min="68" max="81" width="2.33203125" customWidth="1"/>
    <col min="82" max="82" width="0.88671875" customWidth="1"/>
    <col min="83" max="97" width="2.33203125" customWidth="1"/>
    <col min="98" max="98" width="0.88671875" customWidth="1"/>
    <col min="99" max="133" width="2.33203125" customWidth="1"/>
    <col min="134" max="135" width="2.109375" customWidth="1"/>
    <col min="136" max="136" width="2.109375" hidden="1" customWidth="1"/>
    <col min="137" max="16384" width="9.109375" hidden="1"/>
  </cols>
  <sheetData>
    <row r="1" spans="1:136" ht="9.9" customHeight="1" thickBot="1" x14ac:dyDescent="0.35">
      <c r="A1" s="158"/>
      <c r="B1" s="158"/>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c r="AO1" s="158"/>
      <c r="AP1" s="158"/>
      <c r="AQ1" s="158"/>
      <c r="AR1" s="158"/>
      <c r="AS1" s="158"/>
      <c r="AT1" s="158"/>
      <c r="AU1" s="158"/>
      <c r="AV1" s="158"/>
      <c r="AW1" s="158"/>
      <c r="AX1" s="158"/>
      <c r="AY1" s="158"/>
      <c r="AZ1" s="158"/>
      <c r="BA1" s="158"/>
      <c r="BB1" s="158"/>
      <c r="BC1" s="158"/>
      <c r="BD1" s="158"/>
      <c r="BE1" s="158"/>
      <c r="BF1" s="158"/>
      <c r="BG1" s="158"/>
      <c r="BH1" s="158"/>
      <c r="BI1" s="158"/>
      <c r="BJ1" s="158"/>
      <c r="BK1" s="158"/>
      <c r="BL1" s="158"/>
      <c r="BM1" s="173"/>
      <c r="BN1" s="158"/>
      <c r="BO1" s="158"/>
      <c r="BP1" s="158"/>
      <c r="BQ1" s="158"/>
      <c r="BR1" s="158"/>
      <c r="BS1" s="158"/>
      <c r="BT1" s="158"/>
      <c r="BU1" s="158"/>
      <c r="BV1" s="158"/>
      <c r="BW1" s="158"/>
      <c r="BX1" s="158"/>
      <c r="BY1" s="158"/>
      <c r="BZ1" s="158"/>
      <c r="CA1" s="158"/>
      <c r="CB1" s="158"/>
      <c r="CC1" s="158"/>
      <c r="CD1" s="158"/>
      <c r="CE1" s="158"/>
      <c r="CF1" s="158"/>
      <c r="CG1" s="158"/>
      <c r="CH1" s="158"/>
      <c r="CI1" s="158"/>
      <c r="CJ1" s="158"/>
      <c r="CK1" s="158"/>
      <c r="CL1" s="158"/>
      <c r="CM1" s="158"/>
      <c r="CN1" s="158"/>
      <c r="CO1" s="158"/>
      <c r="CP1" s="158"/>
      <c r="CQ1" s="158"/>
      <c r="CR1" s="158"/>
      <c r="CS1" s="158"/>
      <c r="CT1" s="158"/>
      <c r="CU1" s="158"/>
      <c r="CV1" s="158"/>
      <c r="CW1" s="158"/>
      <c r="CX1" s="158"/>
      <c r="CY1" s="158"/>
      <c r="CZ1" s="158"/>
      <c r="DA1" s="158"/>
      <c r="DB1" s="158"/>
      <c r="DC1" s="158"/>
      <c r="DD1" s="158"/>
      <c r="DE1" s="158"/>
      <c r="DF1" s="158"/>
      <c r="DG1" s="158"/>
      <c r="DH1" s="158"/>
      <c r="DI1" s="158"/>
      <c r="DJ1" s="158"/>
      <c r="DK1" s="158"/>
      <c r="DL1" s="158"/>
      <c r="DM1" s="158"/>
      <c r="DN1" s="158"/>
      <c r="DO1" s="158"/>
      <c r="DP1" s="158"/>
      <c r="DQ1" s="158"/>
      <c r="DR1" s="158"/>
      <c r="DS1" s="158"/>
      <c r="DT1" s="158"/>
      <c r="DU1" s="158"/>
      <c r="DV1" s="158"/>
      <c r="DW1" s="158"/>
      <c r="DX1" s="158"/>
      <c r="DY1" s="158"/>
      <c r="DZ1" s="158"/>
      <c r="EA1" s="158"/>
      <c r="EB1" s="158"/>
      <c r="EC1" s="158"/>
      <c r="ED1" s="158"/>
      <c r="EE1" s="158"/>
      <c r="EF1" s="158"/>
    </row>
    <row r="2" spans="1:136" ht="15" thickBot="1" x14ac:dyDescent="0.35">
      <c r="A2" s="158"/>
      <c r="B2" s="158"/>
      <c r="C2" s="233"/>
      <c r="D2" s="234"/>
      <c r="E2" s="234"/>
      <c r="F2" s="234"/>
      <c r="G2" s="234"/>
      <c r="H2" s="234"/>
      <c r="I2" s="234"/>
      <c r="J2" s="234"/>
      <c r="K2" s="234"/>
      <c r="L2" s="234"/>
      <c r="M2" s="322" t="s">
        <v>406</v>
      </c>
      <c r="N2" s="323"/>
      <c r="O2" s="323"/>
      <c r="P2" s="323"/>
      <c r="Q2" s="323"/>
      <c r="R2" s="323"/>
      <c r="S2" s="323"/>
      <c r="T2" s="323"/>
      <c r="U2" s="323"/>
      <c r="V2" s="323"/>
      <c r="W2" s="323"/>
      <c r="X2" s="323"/>
      <c r="Y2" s="324"/>
      <c r="Z2" s="158"/>
      <c r="AA2" s="158"/>
      <c r="AB2" s="158"/>
      <c r="AC2" s="158"/>
      <c r="AD2" s="158"/>
      <c r="AE2" s="158"/>
      <c r="AF2" s="158"/>
      <c r="AG2" s="158"/>
      <c r="AH2" s="158"/>
      <c r="AI2" s="158"/>
      <c r="AJ2" s="158"/>
      <c r="AK2" s="158"/>
      <c r="AL2" s="158"/>
      <c r="AM2" s="158"/>
      <c r="AN2" s="158"/>
      <c r="AO2" s="158"/>
      <c r="AP2" s="158"/>
      <c r="AQ2" s="158"/>
      <c r="AR2" s="158"/>
      <c r="AS2" s="158"/>
      <c r="AT2" s="158"/>
      <c r="AU2" s="158"/>
      <c r="AV2" s="158"/>
      <c r="AW2" s="158"/>
      <c r="AX2" s="158"/>
      <c r="AY2" s="158"/>
      <c r="AZ2" s="158"/>
      <c r="BA2" s="158"/>
      <c r="BB2" s="158"/>
      <c r="BC2" s="158"/>
      <c r="BD2" s="158"/>
      <c r="BE2" s="158"/>
      <c r="BF2" s="158"/>
      <c r="BG2" s="158"/>
      <c r="BH2" s="158"/>
      <c r="BI2" s="158"/>
      <c r="BJ2" s="158"/>
      <c r="BK2" s="158"/>
      <c r="BL2" s="158"/>
      <c r="BM2" s="173"/>
      <c r="BN2" s="158"/>
      <c r="BO2" s="158"/>
      <c r="BP2" s="158"/>
      <c r="BQ2" s="158"/>
      <c r="BR2" s="158"/>
      <c r="BS2" s="158"/>
      <c r="BT2" s="158"/>
      <c r="BU2" s="158"/>
      <c r="BV2" s="158"/>
      <c r="BW2" s="158"/>
      <c r="BX2" s="158"/>
      <c r="BY2" s="158"/>
      <c r="BZ2" s="158"/>
      <c r="CA2" s="158"/>
      <c r="CB2" s="158"/>
      <c r="CC2" s="158"/>
      <c r="CD2" s="158"/>
      <c r="CE2" s="158"/>
      <c r="CF2" s="158"/>
      <c r="CG2" s="158"/>
      <c r="CH2" s="158"/>
      <c r="CI2" s="158"/>
      <c r="CJ2" s="158"/>
      <c r="CK2" s="158"/>
      <c r="CL2" s="158"/>
      <c r="CM2" s="158"/>
      <c r="CN2" s="158"/>
      <c r="CO2" s="158"/>
      <c r="CP2" s="158"/>
      <c r="CQ2" s="158"/>
      <c r="CR2" s="158"/>
      <c r="CS2" s="158"/>
      <c r="CT2" s="158"/>
      <c r="CU2" s="158"/>
      <c r="CV2" s="158"/>
      <c r="CW2" s="158"/>
      <c r="CX2" s="158"/>
      <c r="CY2" s="158"/>
      <c r="CZ2" s="158"/>
      <c r="DA2" s="158"/>
      <c r="DB2" s="158"/>
      <c r="DC2" s="158"/>
      <c r="DD2" s="158"/>
      <c r="DE2" s="158"/>
      <c r="DF2" s="158"/>
      <c r="DG2" s="158"/>
      <c r="DH2" s="158"/>
      <c r="DI2" s="158"/>
      <c r="DJ2" s="158"/>
      <c r="DK2" s="158"/>
      <c r="DL2" s="158"/>
      <c r="DM2" s="158"/>
      <c r="DN2" s="158"/>
      <c r="DO2" s="158"/>
      <c r="DP2" s="158"/>
      <c r="DQ2" s="158"/>
      <c r="DR2" s="158"/>
      <c r="DS2" s="158"/>
      <c r="DT2" s="158"/>
      <c r="DU2" s="158"/>
      <c r="DV2" s="158"/>
      <c r="DW2" s="158"/>
      <c r="DX2" s="158"/>
      <c r="DY2" s="158"/>
      <c r="DZ2" s="158"/>
      <c r="EA2" s="158"/>
      <c r="EB2" s="158"/>
      <c r="EC2" s="158"/>
      <c r="ED2" s="158"/>
      <c r="EE2" s="158"/>
      <c r="EF2" s="158"/>
    </row>
    <row r="3" spans="1:136" ht="19.5" customHeight="1" thickBot="1" x14ac:dyDescent="0.35">
      <c r="A3" s="158"/>
      <c r="B3" s="158"/>
      <c r="C3" s="325" t="s">
        <v>370</v>
      </c>
      <c r="D3" s="326"/>
      <c r="E3" s="326"/>
      <c r="F3" s="326"/>
      <c r="G3" s="326"/>
      <c r="H3" s="326"/>
      <c r="I3" s="326"/>
      <c r="J3" s="326"/>
      <c r="K3" s="326"/>
      <c r="L3" s="326"/>
      <c r="M3" s="327"/>
      <c r="N3" s="328"/>
      <c r="O3" s="328"/>
      <c r="P3" s="328"/>
      <c r="Q3" s="328"/>
      <c r="R3" s="328"/>
      <c r="S3" s="328"/>
      <c r="T3" s="328"/>
      <c r="U3" s="328"/>
      <c r="V3" s="328"/>
      <c r="W3" s="328"/>
      <c r="X3" s="328"/>
      <c r="Y3" s="329"/>
      <c r="Z3" s="158"/>
      <c r="AA3" s="158"/>
      <c r="AB3" s="158"/>
      <c r="AC3" s="158"/>
      <c r="AD3" s="158"/>
      <c r="AE3" s="158"/>
      <c r="AF3" s="158"/>
      <c r="AG3" s="158"/>
      <c r="AH3" s="158"/>
      <c r="AI3" s="158"/>
      <c r="AJ3" s="158"/>
      <c r="AK3" s="158"/>
      <c r="AL3" s="158"/>
      <c r="AM3" s="158"/>
      <c r="AN3" s="158"/>
      <c r="AO3" s="158"/>
      <c r="AP3" s="158"/>
      <c r="AQ3" s="158"/>
      <c r="AR3" s="158"/>
      <c r="AS3" s="158"/>
      <c r="AT3" s="158"/>
      <c r="AU3" s="158"/>
      <c r="AV3" s="158"/>
      <c r="AW3" s="158"/>
      <c r="AX3" s="158"/>
      <c r="AY3" s="158"/>
      <c r="AZ3" s="158"/>
      <c r="BA3" s="158"/>
      <c r="BB3" s="158"/>
      <c r="BC3" s="158"/>
      <c r="BD3" s="158"/>
      <c r="BE3" s="158"/>
      <c r="BF3" s="158"/>
      <c r="BG3" s="158"/>
      <c r="BH3" s="158"/>
      <c r="BI3" s="158"/>
      <c r="BJ3" s="158"/>
      <c r="BK3" s="158"/>
      <c r="BL3" s="158"/>
      <c r="BM3" s="173"/>
      <c r="BN3" s="158"/>
      <c r="BO3" s="158"/>
      <c r="BP3" s="330" t="s">
        <v>407</v>
      </c>
      <c r="BQ3" s="330"/>
      <c r="BR3" s="330"/>
      <c r="BS3" s="330"/>
      <c r="BT3" s="330"/>
      <c r="BU3" s="330"/>
      <c r="BV3" s="330"/>
      <c r="BW3" s="158"/>
      <c r="BX3" s="158"/>
      <c r="BY3" s="158"/>
      <c r="BZ3" s="158"/>
      <c r="CA3" s="158"/>
      <c r="CB3" s="158"/>
      <c r="CC3" s="158"/>
      <c r="CD3" s="158"/>
      <c r="CE3" s="158"/>
      <c r="CF3" s="158"/>
      <c r="CG3" s="158"/>
      <c r="CH3" s="158"/>
      <c r="CI3" s="158"/>
      <c r="CJ3" s="158"/>
      <c r="CK3" s="158"/>
      <c r="CL3" s="158"/>
      <c r="CM3" s="158"/>
      <c r="CN3" s="158"/>
      <c r="CO3" s="158"/>
      <c r="CP3" s="158"/>
      <c r="CQ3" s="158"/>
      <c r="CR3" s="158"/>
      <c r="CS3" s="158"/>
      <c r="CT3" s="158"/>
      <c r="CU3" s="158"/>
      <c r="CV3" s="158"/>
      <c r="CW3" s="158"/>
      <c r="CX3" s="158"/>
      <c r="CY3" s="158"/>
      <c r="CZ3" s="158"/>
      <c r="DA3" s="158"/>
      <c r="DB3" s="158"/>
      <c r="DC3" s="158"/>
      <c r="DD3" s="158"/>
      <c r="DE3" s="158"/>
      <c r="DF3" s="158"/>
      <c r="DG3" s="158"/>
      <c r="DH3" s="158"/>
      <c r="DI3" s="158"/>
      <c r="DJ3" s="158"/>
      <c r="DK3" s="158"/>
      <c r="DL3" s="158"/>
      <c r="DM3" s="158"/>
      <c r="DN3" s="158"/>
      <c r="DO3" s="158"/>
      <c r="DP3" s="158"/>
      <c r="DQ3" s="158"/>
      <c r="DR3" s="158"/>
      <c r="DS3" s="158"/>
      <c r="DT3" s="158"/>
      <c r="DU3" s="158"/>
      <c r="DV3" s="158"/>
      <c r="DW3" s="158"/>
      <c r="DX3" s="158"/>
      <c r="DY3" s="158"/>
      <c r="DZ3" s="158"/>
      <c r="EA3" s="158"/>
      <c r="EB3" s="158"/>
      <c r="EC3" s="158"/>
      <c r="ED3" s="158"/>
      <c r="EE3" s="158"/>
      <c r="EF3" s="158"/>
    </row>
    <row r="4" spans="1:136" x14ac:dyDescent="0.3">
      <c r="A4" s="158"/>
      <c r="B4" s="158"/>
      <c r="C4" s="158"/>
      <c r="D4" s="158"/>
      <c r="E4" s="158"/>
      <c r="F4" s="158"/>
      <c r="G4" s="158"/>
      <c r="H4" s="158"/>
      <c r="I4" s="158"/>
      <c r="J4" s="158"/>
      <c r="K4" s="158"/>
      <c r="L4" s="158"/>
      <c r="M4" s="158"/>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8"/>
      <c r="BG4" s="158"/>
      <c r="BH4" s="158"/>
      <c r="BI4" s="158"/>
      <c r="BJ4" s="158"/>
      <c r="BK4" s="158"/>
      <c r="BL4" s="158"/>
      <c r="BM4" s="173"/>
      <c r="BN4" s="158"/>
      <c r="BO4" s="158"/>
      <c r="BP4" s="158"/>
      <c r="BQ4" s="158"/>
      <c r="BR4" s="158"/>
      <c r="BS4" s="158"/>
      <c r="BT4" s="158"/>
      <c r="BU4" s="158"/>
      <c r="BV4" s="158"/>
      <c r="BW4" s="158"/>
      <c r="BX4" s="158"/>
      <c r="BY4" s="158"/>
      <c r="BZ4" s="158"/>
      <c r="CA4" s="158"/>
      <c r="CB4" s="158"/>
      <c r="CC4" s="158"/>
      <c r="CD4" s="158"/>
      <c r="CE4" s="158"/>
      <c r="CF4" s="158"/>
      <c r="CG4" s="158"/>
      <c r="CH4" s="158"/>
      <c r="CI4" s="158"/>
      <c r="CJ4" s="158"/>
      <c r="CK4" s="158"/>
      <c r="CL4" s="158"/>
      <c r="CM4" s="158"/>
      <c r="CN4" s="158"/>
      <c r="CO4" s="158"/>
      <c r="CP4" s="158"/>
      <c r="CQ4" s="158"/>
      <c r="CR4" s="158"/>
      <c r="CS4" s="158"/>
      <c r="CT4" s="158"/>
      <c r="CU4" s="158"/>
      <c r="CV4" s="158"/>
      <c r="CW4" s="158"/>
      <c r="CX4" s="158"/>
      <c r="CY4" s="158"/>
      <c r="CZ4" s="158"/>
      <c r="DA4" s="158"/>
      <c r="DB4" s="158"/>
      <c r="DC4" s="158"/>
      <c r="DD4" s="158"/>
      <c r="DE4" s="158"/>
      <c r="DF4" s="158"/>
      <c r="DG4" s="158"/>
      <c r="DH4" s="158"/>
      <c r="DI4" s="158"/>
      <c r="DJ4" s="158"/>
      <c r="DK4" s="158"/>
      <c r="DL4" s="158"/>
      <c r="DM4" s="158"/>
      <c r="DN4" s="158"/>
      <c r="DO4" s="158"/>
      <c r="DP4" s="158"/>
      <c r="DQ4" s="158"/>
      <c r="DR4" s="158"/>
      <c r="DS4" s="158"/>
      <c r="DT4" s="158"/>
      <c r="DU4" s="158"/>
      <c r="DV4" s="158"/>
      <c r="DW4" s="158"/>
      <c r="DX4" s="158"/>
      <c r="DY4" s="158"/>
      <c r="DZ4" s="158"/>
      <c r="EA4" s="158"/>
      <c r="EB4" s="158"/>
      <c r="EC4" s="158"/>
      <c r="ED4" s="158"/>
      <c r="EE4" s="158"/>
      <c r="EF4" s="158"/>
    </row>
    <row r="5" spans="1:136" ht="23.4" x14ac:dyDescent="0.3">
      <c r="A5" s="158"/>
      <c r="B5" s="158"/>
      <c r="C5" s="331" t="s">
        <v>408</v>
      </c>
      <c r="D5" s="331"/>
      <c r="E5" s="331"/>
      <c r="F5" s="331"/>
      <c r="G5" s="331"/>
      <c r="H5" s="331"/>
      <c r="I5" s="331"/>
      <c r="J5" s="331"/>
      <c r="K5" s="331"/>
      <c r="L5" s="331"/>
      <c r="M5" s="331"/>
      <c r="N5" s="331"/>
      <c r="O5" s="331"/>
      <c r="P5" s="331"/>
      <c r="Q5" s="331"/>
      <c r="R5" s="331"/>
      <c r="S5" s="331"/>
      <c r="T5" s="331"/>
      <c r="U5" s="331"/>
      <c r="V5" s="331"/>
      <c r="W5" s="331"/>
      <c r="X5" s="331"/>
      <c r="Y5" s="331"/>
      <c r="Z5" s="331"/>
      <c r="AA5" s="331"/>
      <c r="AB5" s="331"/>
      <c r="AC5" s="331"/>
      <c r="AD5" s="331"/>
      <c r="AE5" s="331"/>
      <c r="AF5" s="331"/>
      <c r="AG5" s="331"/>
      <c r="AH5" s="331"/>
      <c r="AI5" s="331"/>
      <c r="AJ5" s="331"/>
      <c r="AK5" s="331"/>
      <c r="AL5" s="331"/>
      <c r="AM5" s="331"/>
      <c r="AN5" s="331"/>
      <c r="AO5" s="331"/>
      <c r="AP5" s="331"/>
      <c r="AQ5" s="331"/>
      <c r="AR5" s="331"/>
      <c r="AS5" s="331"/>
      <c r="AT5" s="331"/>
      <c r="AU5" s="331"/>
      <c r="AV5" s="331"/>
      <c r="AW5" s="331"/>
      <c r="AX5" s="331"/>
      <c r="AY5" s="331"/>
      <c r="AZ5" s="331"/>
      <c r="BA5" s="331"/>
      <c r="BB5" s="331"/>
      <c r="BC5" s="331"/>
      <c r="BD5" s="331"/>
      <c r="BE5" s="331"/>
      <c r="BF5" s="331"/>
      <c r="BG5" s="331"/>
      <c r="BH5" s="331"/>
      <c r="BI5" s="331"/>
      <c r="BJ5" s="331"/>
      <c r="BK5" s="158"/>
      <c r="BL5" s="158"/>
      <c r="BM5" s="173"/>
      <c r="BN5" s="158"/>
      <c r="BO5" s="158"/>
      <c r="BP5" s="331" t="s">
        <v>408</v>
      </c>
      <c r="BQ5" s="331"/>
      <c r="BR5" s="331"/>
      <c r="BS5" s="331"/>
      <c r="BT5" s="331"/>
      <c r="BU5" s="331"/>
      <c r="BV5" s="331"/>
      <c r="BW5" s="331"/>
      <c r="BX5" s="331"/>
      <c r="BY5" s="331"/>
      <c r="BZ5" s="331"/>
      <c r="CA5" s="331"/>
      <c r="CB5" s="331"/>
      <c r="CC5" s="331"/>
      <c r="CD5" s="331"/>
      <c r="CE5" s="331"/>
      <c r="CF5" s="331"/>
      <c r="CG5" s="331"/>
      <c r="CH5" s="331"/>
      <c r="CI5" s="331"/>
      <c r="CJ5" s="331"/>
      <c r="CK5" s="331"/>
      <c r="CL5" s="331"/>
      <c r="CM5" s="331"/>
      <c r="CN5" s="331"/>
      <c r="CO5" s="331"/>
      <c r="CP5" s="331"/>
      <c r="CQ5" s="331"/>
      <c r="CR5" s="331"/>
      <c r="CS5" s="331"/>
      <c r="CT5" s="331"/>
      <c r="CU5" s="331"/>
      <c r="CV5" s="331"/>
      <c r="CW5" s="331"/>
      <c r="CX5" s="331"/>
      <c r="CY5" s="331"/>
      <c r="CZ5" s="331"/>
      <c r="DA5" s="331"/>
      <c r="DB5" s="331"/>
      <c r="DC5" s="331"/>
      <c r="DD5" s="331"/>
      <c r="DE5" s="331"/>
      <c r="DF5" s="331"/>
      <c r="DG5" s="331"/>
      <c r="DH5" s="331"/>
      <c r="DI5" s="331"/>
      <c r="DJ5" s="331"/>
      <c r="DK5" s="331"/>
      <c r="DL5" s="331"/>
      <c r="DM5" s="331"/>
      <c r="DN5" s="331"/>
      <c r="DO5" s="331"/>
      <c r="DP5" s="331"/>
      <c r="DQ5" s="331"/>
      <c r="DR5" s="331"/>
      <c r="DS5" s="331"/>
      <c r="DT5" s="331"/>
      <c r="DU5" s="331"/>
      <c r="DV5" s="331"/>
      <c r="DW5" s="331"/>
      <c r="DX5" s="331"/>
      <c r="DY5" s="331"/>
      <c r="DZ5" s="331"/>
      <c r="EA5" s="331"/>
      <c r="EB5" s="331"/>
      <c r="EC5" s="331"/>
      <c r="ED5" s="158"/>
      <c r="EE5" s="158"/>
      <c r="EF5" s="158"/>
    </row>
    <row r="6" spans="1:136" ht="18" customHeight="1" x14ac:dyDescent="0.3">
      <c r="A6" s="158"/>
      <c r="B6" s="158"/>
      <c r="C6" s="193"/>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c r="AL6" s="194"/>
      <c r="AM6" s="194"/>
      <c r="AN6" s="194"/>
      <c r="AO6" s="194"/>
      <c r="AP6" s="194"/>
      <c r="AQ6" s="194"/>
      <c r="AR6" s="194"/>
      <c r="AS6" s="194"/>
      <c r="AT6" s="194"/>
      <c r="AU6" s="194"/>
      <c r="AV6" s="194"/>
      <c r="AW6" s="194"/>
      <c r="AX6" s="194"/>
      <c r="AY6" s="194"/>
      <c r="AZ6" s="194"/>
      <c r="BA6" s="194"/>
      <c r="BB6" s="194"/>
      <c r="BC6" s="194"/>
      <c r="BD6" s="194"/>
      <c r="BE6" s="194"/>
      <c r="BF6" s="194"/>
      <c r="BG6" s="194"/>
      <c r="BH6" s="194"/>
      <c r="BI6" s="194"/>
      <c r="BJ6" s="195"/>
      <c r="BK6" s="158"/>
      <c r="BL6" s="158"/>
      <c r="BM6" s="173"/>
      <c r="BN6" s="158"/>
      <c r="BO6" s="158"/>
      <c r="BP6" s="491" t="s">
        <v>409</v>
      </c>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3"/>
      <c r="ED6" s="158"/>
      <c r="EE6" s="158"/>
      <c r="EF6" s="158"/>
    </row>
    <row r="7" spans="1:136" s="189" customFormat="1" ht="15.6" x14ac:dyDescent="0.3">
      <c r="A7" s="240"/>
      <c r="B7" s="240"/>
      <c r="C7" s="242"/>
      <c r="D7" s="247"/>
      <c r="E7" s="310" t="s">
        <v>410</v>
      </c>
      <c r="F7" s="311"/>
      <c r="G7" s="311"/>
      <c r="H7" s="311"/>
      <c r="I7" s="311"/>
      <c r="J7" s="311"/>
      <c r="K7" s="311"/>
      <c r="L7" s="311"/>
      <c r="M7" s="311"/>
      <c r="N7" s="312"/>
      <c r="O7" s="243"/>
      <c r="P7" s="243"/>
      <c r="Q7" s="277"/>
      <c r="R7" s="243"/>
      <c r="S7" s="313" t="s">
        <v>411</v>
      </c>
      <c r="T7" s="313"/>
      <c r="U7" s="313"/>
      <c r="V7" s="313"/>
      <c r="W7" s="313"/>
      <c r="X7" s="313"/>
      <c r="Y7" s="313"/>
      <c r="Z7" s="313"/>
      <c r="AA7" s="313"/>
      <c r="AB7" s="243"/>
      <c r="AC7" s="277"/>
      <c r="AD7" s="243"/>
      <c r="AE7" s="243"/>
      <c r="AF7" s="310" t="s">
        <v>412</v>
      </c>
      <c r="AG7" s="311"/>
      <c r="AH7" s="311"/>
      <c r="AI7" s="311"/>
      <c r="AJ7" s="311"/>
      <c r="AK7" s="311"/>
      <c r="AL7" s="311"/>
      <c r="AM7" s="311"/>
      <c r="AN7" s="311"/>
      <c r="AO7" s="311"/>
      <c r="AP7" s="311"/>
      <c r="AQ7" s="311"/>
      <c r="AR7" s="311"/>
      <c r="AS7" s="311"/>
      <c r="AT7" s="311"/>
      <c r="AU7" s="311"/>
      <c r="AV7" s="311"/>
      <c r="AW7" s="311"/>
      <c r="AX7" s="311"/>
      <c r="AY7" s="311"/>
      <c r="AZ7" s="311"/>
      <c r="BA7" s="311"/>
      <c r="BB7" s="311"/>
      <c r="BC7" s="311"/>
      <c r="BD7" s="311"/>
      <c r="BE7" s="311"/>
      <c r="BF7" s="311"/>
      <c r="BG7" s="311"/>
      <c r="BH7" s="312"/>
      <c r="BI7" s="243"/>
      <c r="BJ7" s="244"/>
      <c r="BK7" s="240"/>
      <c r="BL7" s="240"/>
      <c r="BM7" s="246"/>
      <c r="BN7" s="240"/>
      <c r="BO7" s="240"/>
      <c r="BP7" s="242"/>
      <c r="BQ7" s="313" t="s">
        <v>410</v>
      </c>
      <c r="BR7" s="313"/>
      <c r="BS7" s="313"/>
      <c r="BT7" s="313"/>
      <c r="BU7" s="313"/>
      <c r="BV7" s="313"/>
      <c r="BW7" s="313"/>
      <c r="BX7" s="313"/>
      <c r="BY7" s="313"/>
      <c r="BZ7" s="313"/>
      <c r="CA7" s="313"/>
      <c r="CB7" s="243"/>
      <c r="CC7" s="243"/>
      <c r="CD7" s="277"/>
      <c r="CE7" s="243"/>
      <c r="CF7" s="243"/>
      <c r="CG7" s="313" t="s">
        <v>411</v>
      </c>
      <c r="CH7" s="313"/>
      <c r="CI7" s="313"/>
      <c r="CJ7" s="313"/>
      <c r="CK7" s="313"/>
      <c r="CL7" s="313"/>
      <c r="CM7" s="313"/>
      <c r="CN7" s="313"/>
      <c r="CO7" s="313"/>
      <c r="CP7" s="313"/>
      <c r="CQ7" s="313"/>
      <c r="CR7" s="243"/>
      <c r="CS7" s="243"/>
      <c r="CT7" s="277"/>
      <c r="CU7" s="243"/>
      <c r="CV7" s="243"/>
      <c r="CW7" s="310" t="s">
        <v>412</v>
      </c>
      <c r="CX7" s="311"/>
      <c r="CY7" s="311"/>
      <c r="CZ7" s="311"/>
      <c r="DA7" s="311"/>
      <c r="DB7" s="311"/>
      <c r="DC7" s="311"/>
      <c r="DD7" s="311"/>
      <c r="DE7" s="311"/>
      <c r="DF7" s="311"/>
      <c r="DG7" s="311"/>
      <c r="DH7" s="311"/>
      <c r="DI7" s="311"/>
      <c r="DJ7" s="311"/>
      <c r="DK7" s="311"/>
      <c r="DL7" s="311"/>
      <c r="DM7" s="311"/>
      <c r="DN7" s="311"/>
      <c r="DO7" s="311"/>
      <c r="DP7" s="311"/>
      <c r="DQ7" s="311"/>
      <c r="DR7" s="311"/>
      <c r="DS7" s="311"/>
      <c r="DT7" s="311"/>
      <c r="DU7" s="311"/>
      <c r="DV7" s="311"/>
      <c r="DW7" s="311"/>
      <c r="DX7" s="311"/>
      <c r="DY7" s="311"/>
      <c r="DZ7" s="311"/>
      <c r="EA7" s="312"/>
      <c r="EB7" s="243"/>
      <c r="EC7" s="244"/>
      <c r="ED7" s="240"/>
      <c r="EE7" s="240"/>
      <c r="EF7" s="240"/>
    </row>
    <row r="8" spans="1:136" ht="9.9" customHeight="1" x14ac:dyDescent="0.3">
      <c r="A8" s="158"/>
      <c r="B8" s="158"/>
      <c r="C8" s="196"/>
      <c r="D8" s="198"/>
      <c r="E8" s="198"/>
      <c r="F8" s="198"/>
      <c r="G8" s="198"/>
      <c r="H8" s="198"/>
      <c r="I8" s="198"/>
      <c r="J8" s="198"/>
      <c r="K8" s="198"/>
      <c r="L8" s="198"/>
      <c r="M8" s="198"/>
      <c r="N8" s="198"/>
      <c r="O8" s="198"/>
      <c r="P8" s="198"/>
      <c r="Q8" s="199"/>
      <c r="R8" s="198"/>
      <c r="S8" s="198"/>
      <c r="T8" s="198"/>
      <c r="U8" s="198"/>
      <c r="V8" s="198"/>
      <c r="W8" s="198"/>
      <c r="X8" s="198"/>
      <c r="Y8" s="198"/>
      <c r="Z8" s="198"/>
      <c r="AA8" s="198"/>
      <c r="AB8" s="198"/>
      <c r="AC8" s="199"/>
      <c r="AD8" s="198"/>
      <c r="AE8" s="198"/>
      <c r="AF8" s="198"/>
      <c r="AG8" s="198"/>
      <c r="AH8" s="198"/>
      <c r="AI8" s="198"/>
      <c r="AJ8" s="198"/>
      <c r="AK8" s="198"/>
      <c r="AL8" s="198"/>
      <c r="AM8" s="198"/>
      <c r="AN8" s="198"/>
      <c r="AO8" s="198"/>
      <c r="AP8" s="198"/>
      <c r="AQ8" s="198"/>
      <c r="AR8" s="198"/>
      <c r="AS8" s="198"/>
      <c r="AT8" s="198"/>
      <c r="AU8" s="198"/>
      <c r="AV8" s="198"/>
      <c r="AW8" s="198"/>
      <c r="AX8" s="198"/>
      <c r="AY8" s="198"/>
      <c r="AZ8" s="198"/>
      <c r="BA8" s="198"/>
      <c r="BB8" s="198"/>
      <c r="BC8" s="198"/>
      <c r="BD8" s="198"/>
      <c r="BE8" s="198"/>
      <c r="BF8" s="198"/>
      <c r="BG8" s="198"/>
      <c r="BH8" s="198"/>
      <c r="BI8" s="198"/>
      <c r="BJ8" s="200"/>
      <c r="BK8" s="158"/>
      <c r="BL8" s="158"/>
      <c r="BM8" s="173"/>
      <c r="BN8" s="158"/>
      <c r="BO8" s="158"/>
      <c r="BP8" s="196"/>
      <c r="BQ8" s="198"/>
      <c r="BR8" s="198"/>
      <c r="BS8" s="198"/>
      <c r="BT8" s="198"/>
      <c r="BU8" s="198"/>
      <c r="BV8" s="198"/>
      <c r="BW8" s="198"/>
      <c r="BX8" s="198"/>
      <c r="BY8" s="198"/>
      <c r="BZ8" s="198"/>
      <c r="CA8" s="198"/>
      <c r="CB8" s="198"/>
      <c r="CC8" s="198"/>
      <c r="CD8" s="199"/>
      <c r="CE8" s="198"/>
      <c r="CF8" s="198"/>
      <c r="CG8" s="198"/>
      <c r="CH8" s="198"/>
      <c r="CI8" s="198"/>
      <c r="CJ8" s="198"/>
      <c r="CK8" s="198"/>
      <c r="CL8" s="198"/>
      <c r="CM8" s="198"/>
      <c r="CN8" s="198"/>
      <c r="CO8" s="198"/>
      <c r="CP8" s="198"/>
      <c r="CQ8" s="198"/>
      <c r="CR8" s="198"/>
      <c r="CS8" s="198"/>
      <c r="CT8" s="199"/>
      <c r="CU8" s="198"/>
      <c r="CV8" s="198"/>
      <c r="CW8" s="198"/>
      <c r="CX8" s="198"/>
      <c r="CY8" s="198"/>
      <c r="CZ8" s="198"/>
      <c r="DA8" s="198"/>
      <c r="DB8" s="198"/>
      <c r="DC8" s="198"/>
      <c r="DD8" s="198"/>
      <c r="DE8" s="198"/>
      <c r="DF8" s="198"/>
      <c r="DG8" s="198"/>
      <c r="DH8" s="198"/>
      <c r="DI8" s="198"/>
      <c r="DJ8" s="198"/>
      <c r="DK8" s="198"/>
      <c r="DL8" s="198"/>
      <c r="DM8" s="198"/>
      <c r="DN8" s="198"/>
      <c r="DO8" s="198"/>
      <c r="DP8" s="198"/>
      <c r="DQ8" s="198"/>
      <c r="DR8" s="198"/>
      <c r="DS8" s="198"/>
      <c r="DT8" s="198"/>
      <c r="DU8" s="198"/>
      <c r="DV8" s="198"/>
      <c r="DW8" s="198"/>
      <c r="DX8" s="198"/>
      <c r="DY8" s="198"/>
      <c r="DZ8" s="198"/>
      <c r="EA8" s="198"/>
      <c r="EB8" s="198"/>
      <c r="EC8" s="200"/>
      <c r="ED8" s="158"/>
      <c r="EE8" s="158"/>
      <c r="EF8" s="158"/>
    </row>
    <row r="9" spans="1:136" x14ac:dyDescent="0.3">
      <c r="A9" s="158"/>
      <c r="B9" s="158"/>
      <c r="C9" s="196"/>
      <c r="D9" s="198"/>
      <c r="E9" s="302" t="s">
        <v>413</v>
      </c>
      <c r="F9" s="303"/>
      <c r="G9" s="303"/>
      <c r="H9" s="303"/>
      <c r="I9" s="303"/>
      <c r="J9" s="303"/>
      <c r="K9" s="303"/>
      <c r="L9" s="303"/>
      <c r="M9" s="303"/>
      <c r="N9" s="304"/>
      <c r="O9" s="198"/>
      <c r="P9" s="198"/>
      <c r="Q9" s="199"/>
      <c r="R9" s="198"/>
      <c r="S9" s="302" t="s">
        <v>414</v>
      </c>
      <c r="T9" s="303"/>
      <c r="U9" s="303"/>
      <c r="V9" s="303"/>
      <c r="W9" s="303"/>
      <c r="X9" s="303"/>
      <c r="Y9" s="303"/>
      <c r="Z9" s="303"/>
      <c r="AA9" s="304"/>
      <c r="AB9" s="198"/>
      <c r="AC9" s="199"/>
      <c r="AD9" s="198"/>
      <c r="AE9" s="198"/>
      <c r="AF9" s="198"/>
      <c r="AG9" s="302" t="s">
        <v>109</v>
      </c>
      <c r="AH9" s="303"/>
      <c r="AI9" s="303"/>
      <c r="AJ9" s="303"/>
      <c r="AK9" s="303"/>
      <c r="AL9" s="303"/>
      <c r="AM9" s="303"/>
      <c r="AN9" s="303"/>
      <c r="AO9" s="303"/>
      <c r="AP9" s="303"/>
      <c r="AQ9" s="303"/>
      <c r="AR9" s="303"/>
      <c r="AS9" s="303"/>
      <c r="AT9" s="303"/>
      <c r="AU9" s="303"/>
      <c r="AV9" s="303"/>
      <c r="AW9" s="304"/>
      <c r="AX9" s="201"/>
      <c r="AY9" s="302" t="s">
        <v>415</v>
      </c>
      <c r="AZ9" s="303"/>
      <c r="BA9" s="303"/>
      <c r="BB9" s="303"/>
      <c r="BC9" s="303"/>
      <c r="BD9" s="303"/>
      <c r="BE9" s="303"/>
      <c r="BF9" s="303"/>
      <c r="BG9" s="304"/>
      <c r="BH9" s="201"/>
      <c r="BI9" s="198"/>
      <c r="BJ9" s="200"/>
      <c r="BK9" s="158"/>
      <c r="BL9" s="158"/>
      <c r="BM9" s="173"/>
      <c r="BN9" s="158"/>
      <c r="BO9" s="158"/>
      <c r="BP9" s="196"/>
      <c r="BQ9" s="198"/>
      <c r="BR9" s="302" t="s">
        <v>416</v>
      </c>
      <c r="BS9" s="303"/>
      <c r="BT9" s="303"/>
      <c r="BU9" s="303"/>
      <c r="BV9" s="303"/>
      <c r="BW9" s="303"/>
      <c r="BX9" s="303"/>
      <c r="BY9" s="303"/>
      <c r="BZ9" s="304"/>
      <c r="CA9" s="198"/>
      <c r="CB9" s="198"/>
      <c r="CC9" s="198"/>
      <c r="CD9" s="199"/>
      <c r="CE9" s="198"/>
      <c r="CF9" s="198"/>
      <c r="CG9" s="305" t="s">
        <v>414</v>
      </c>
      <c r="CH9" s="305"/>
      <c r="CI9" s="305"/>
      <c r="CJ9" s="305"/>
      <c r="CK9" s="305"/>
      <c r="CL9" s="305"/>
      <c r="CM9" s="305"/>
      <c r="CN9" s="305"/>
      <c r="CO9" s="305"/>
      <c r="CP9" s="305"/>
      <c r="CQ9" s="305"/>
      <c r="CR9" s="198"/>
      <c r="CS9" s="198"/>
      <c r="CT9" s="199"/>
      <c r="CU9" s="198"/>
      <c r="CV9" s="198"/>
      <c r="CW9" s="198"/>
      <c r="CX9" s="302" t="s">
        <v>111</v>
      </c>
      <c r="CY9" s="303"/>
      <c r="CZ9" s="303"/>
      <c r="DA9" s="303"/>
      <c r="DB9" s="303"/>
      <c r="DC9" s="303"/>
      <c r="DD9" s="303"/>
      <c r="DE9" s="303"/>
      <c r="DF9" s="304"/>
      <c r="DG9" s="198"/>
      <c r="DH9" s="302" t="s">
        <v>341</v>
      </c>
      <c r="DI9" s="303"/>
      <c r="DJ9" s="303"/>
      <c r="DK9" s="303"/>
      <c r="DL9" s="303"/>
      <c r="DM9" s="303"/>
      <c r="DN9" s="303"/>
      <c r="DO9" s="303"/>
      <c r="DP9" s="304"/>
      <c r="DQ9" s="198"/>
      <c r="DR9" s="302" t="s">
        <v>415</v>
      </c>
      <c r="DS9" s="303"/>
      <c r="DT9" s="303"/>
      <c r="DU9" s="303"/>
      <c r="DV9" s="303"/>
      <c r="DW9" s="303"/>
      <c r="DX9" s="303"/>
      <c r="DY9" s="303"/>
      <c r="DZ9" s="304"/>
      <c r="EA9" s="198"/>
      <c r="EB9" s="198"/>
      <c r="EC9" s="200"/>
      <c r="ED9" s="158"/>
      <c r="EE9" s="158"/>
      <c r="EF9" s="158"/>
    </row>
    <row r="10" spans="1:136" x14ac:dyDescent="0.3">
      <c r="A10" s="158"/>
      <c r="B10" s="158"/>
      <c r="C10" s="196"/>
      <c r="D10" s="198"/>
      <c r="E10" s="333" t="str">
        <f>IFERROR(INDEX(Table59[],MATCH('Combined Sizer'!$M$3,Table59[Record ID],0),MATCH("Contact Name",Table59[#Headers],0)),"")</f>
        <v/>
      </c>
      <c r="F10" s="334"/>
      <c r="G10" s="334"/>
      <c r="H10" s="334"/>
      <c r="I10" s="334"/>
      <c r="J10" s="334"/>
      <c r="K10" s="334"/>
      <c r="L10" s="334"/>
      <c r="M10" s="334"/>
      <c r="N10" s="335"/>
      <c r="O10" s="198"/>
      <c r="P10" s="198"/>
      <c r="Q10" s="199"/>
      <c r="R10" s="198"/>
      <c r="S10" s="333" t="str">
        <f>IFERROR(INDEX(Table59[],MATCH('Combined Sizer'!$M$3,Table59[Record ID],0),MATCH("SM Loan Type",Table59[#Headers],0)),"")</f>
        <v/>
      </c>
      <c r="T10" s="334"/>
      <c r="U10" s="334"/>
      <c r="V10" s="334"/>
      <c r="W10" s="334"/>
      <c r="X10" s="334"/>
      <c r="Y10" s="334"/>
      <c r="Z10" s="334"/>
      <c r="AA10" s="335"/>
      <c r="AB10" s="198"/>
      <c r="AC10" s="199"/>
      <c r="AD10" s="198"/>
      <c r="AE10" s="198"/>
      <c r="AF10" s="198"/>
      <c r="AG10" s="336" cm="1">
        <f t="array" ref="AG10">IFERROR(_xlfn.LET(
  _xlpm.id, 'Combined Sizer'!$M$3,
  _xlpm.r,  _xlfn.XMATCH(_xlpm.id, Table59[Record ID], 0),
  _xlpm.addr, INDEX(Table59[Property Address], _xlpm.r),
  _xlpm.addr
),"")</f>
        <v>0</v>
      </c>
      <c r="AH10" s="337"/>
      <c r="AI10" s="337"/>
      <c r="AJ10" s="337"/>
      <c r="AK10" s="337"/>
      <c r="AL10" s="337"/>
      <c r="AM10" s="337"/>
      <c r="AN10" s="337"/>
      <c r="AO10" s="337"/>
      <c r="AP10" s="337"/>
      <c r="AQ10" s="337"/>
      <c r="AR10" s="337"/>
      <c r="AS10" s="337"/>
      <c r="AT10" s="337"/>
      <c r="AU10" s="337"/>
      <c r="AV10" s="337"/>
      <c r="AW10" s="338"/>
      <c r="AX10" s="198"/>
      <c r="AY10" s="314" t="str">
        <f>IFERROR(INDEX(Table59[],MATCH('Combined Sizer'!$M$3,Table59[Record ID],0),MATCH("SM Property Type",Table59[#Headers],0)),"")</f>
        <v/>
      </c>
      <c r="AZ10" s="314"/>
      <c r="BA10" s="314"/>
      <c r="BB10" s="314"/>
      <c r="BC10" s="314"/>
      <c r="BD10" s="314"/>
      <c r="BE10" s="314"/>
      <c r="BF10" s="314"/>
      <c r="BG10" s="314"/>
      <c r="BH10" s="198"/>
      <c r="BI10" s="198"/>
      <c r="BJ10" s="200"/>
      <c r="BK10" s="158"/>
      <c r="BL10" s="158"/>
      <c r="BM10" s="173"/>
      <c r="BN10" s="158"/>
      <c r="BO10" s="158"/>
      <c r="BP10" s="196"/>
      <c r="BQ10" s="198"/>
      <c r="BR10" s="342">
        <v>3</v>
      </c>
      <c r="BS10" s="342"/>
      <c r="BT10" s="342"/>
      <c r="BU10" s="342"/>
      <c r="BV10" s="342"/>
      <c r="BW10" s="342"/>
      <c r="BX10" s="342"/>
      <c r="BY10" s="342"/>
      <c r="BZ10" s="342"/>
      <c r="CA10" s="198"/>
      <c r="CB10" s="198"/>
      <c r="CC10" s="198"/>
      <c r="CD10" s="199"/>
      <c r="CE10" s="198"/>
      <c r="CF10" s="198"/>
      <c r="CG10" s="339" t="s">
        <v>249</v>
      </c>
      <c r="CH10" s="340"/>
      <c r="CI10" s="340"/>
      <c r="CJ10" s="340"/>
      <c r="CK10" s="340"/>
      <c r="CL10" s="340"/>
      <c r="CM10" s="340"/>
      <c r="CN10" s="340"/>
      <c r="CO10" s="340"/>
      <c r="CP10" s="340"/>
      <c r="CQ10" s="341"/>
      <c r="CR10" s="198"/>
      <c r="CS10" s="198"/>
      <c r="CT10" s="199"/>
      <c r="CU10" s="198"/>
      <c r="CV10" s="198"/>
      <c r="CW10" s="198"/>
      <c r="CX10" s="318" t="s">
        <v>10</v>
      </c>
      <c r="CY10" s="318"/>
      <c r="CZ10" s="318"/>
      <c r="DA10" s="318"/>
      <c r="DB10" s="318"/>
      <c r="DC10" s="318"/>
      <c r="DD10" s="318"/>
      <c r="DE10" s="318"/>
      <c r="DF10" s="318"/>
      <c r="DG10" s="198"/>
      <c r="DH10" s="318" t="s">
        <v>245</v>
      </c>
      <c r="DI10" s="318"/>
      <c r="DJ10" s="318"/>
      <c r="DK10" s="318"/>
      <c r="DL10" s="318"/>
      <c r="DM10" s="318"/>
      <c r="DN10" s="318"/>
      <c r="DO10" s="318"/>
      <c r="DP10" s="318"/>
      <c r="DQ10" s="198"/>
      <c r="DR10" s="318" t="s">
        <v>250</v>
      </c>
      <c r="DS10" s="318"/>
      <c r="DT10" s="318"/>
      <c r="DU10" s="318"/>
      <c r="DV10" s="318"/>
      <c r="DW10" s="318"/>
      <c r="DX10" s="318"/>
      <c r="DY10" s="318"/>
      <c r="DZ10" s="318"/>
      <c r="EA10" s="198"/>
      <c r="EB10" s="198"/>
      <c r="EC10" s="200"/>
      <c r="ED10" s="158"/>
      <c r="EE10" s="158"/>
      <c r="EF10" s="158"/>
    </row>
    <row r="11" spans="1:136" ht="9.9" customHeight="1" x14ac:dyDescent="0.3">
      <c r="A11" s="158"/>
      <c r="B11" s="158"/>
      <c r="C11" s="196"/>
      <c r="D11" s="198"/>
      <c r="E11" s="198"/>
      <c r="F11" s="198"/>
      <c r="G11" s="198"/>
      <c r="H11" s="198"/>
      <c r="I11" s="198"/>
      <c r="J11" s="198"/>
      <c r="K11" s="198"/>
      <c r="L11" s="198"/>
      <c r="M11" s="198"/>
      <c r="N11" s="198"/>
      <c r="O11" s="198"/>
      <c r="P11" s="198"/>
      <c r="Q11" s="199"/>
      <c r="R11" s="198"/>
      <c r="S11" s="198"/>
      <c r="T11" s="198"/>
      <c r="U11" s="198"/>
      <c r="V11" s="198"/>
      <c r="W11" s="198"/>
      <c r="X11" s="198"/>
      <c r="Y11" s="198"/>
      <c r="Z11" s="198"/>
      <c r="AA11" s="198"/>
      <c r="AB11" s="198"/>
      <c r="AC11" s="199"/>
      <c r="AD11" s="198"/>
      <c r="AE11" s="198"/>
      <c r="AF11" s="198"/>
      <c r="AG11" s="198"/>
      <c r="AH11" s="198"/>
      <c r="AI11" s="198"/>
      <c r="AJ11" s="198"/>
      <c r="AK11" s="198"/>
      <c r="AL11" s="198"/>
      <c r="AM11" s="198"/>
      <c r="AN11" s="198"/>
      <c r="AO11" s="198"/>
      <c r="AP11" s="198"/>
      <c r="AQ11" s="198"/>
      <c r="AR11" s="198"/>
      <c r="AS11" s="198"/>
      <c r="AT11" s="198"/>
      <c r="AU11" s="198"/>
      <c r="AV11" s="198"/>
      <c r="AW11" s="198"/>
      <c r="AX11" s="198"/>
      <c r="AY11" s="198"/>
      <c r="AZ11" s="198"/>
      <c r="BA11" s="198"/>
      <c r="BB11" s="198"/>
      <c r="BC11" s="198"/>
      <c r="BD11" s="198"/>
      <c r="BE11" s="198"/>
      <c r="BF11" s="198"/>
      <c r="BG11" s="198"/>
      <c r="BH11" s="198"/>
      <c r="BI11" s="198"/>
      <c r="BJ11" s="200"/>
      <c r="BK11" s="158"/>
      <c r="BL11" s="158"/>
      <c r="BM11" s="173"/>
      <c r="BN11" s="158"/>
      <c r="BO11" s="158"/>
      <c r="BP11" s="196"/>
      <c r="BQ11" s="198"/>
      <c r="BR11" s="198"/>
      <c r="BS11" s="198"/>
      <c r="BT11" s="198"/>
      <c r="BU11" s="198"/>
      <c r="BV11" s="198"/>
      <c r="BW11" s="198"/>
      <c r="BX11" s="198"/>
      <c r="BY11" s="198"/>
      <c r="BZ11" s="198"/>
      <c r="CA11" s="198"/>
      <c r="CB11" s="198"/>
      <c r="CC11" s="198"/>
      <c r="CD11" s="199"/>
      <c r="CE11" s="198"/>
      <c r="CF11" s="198"/>
      <c r="CG11" s="198"/>
      <c r="CH11" s="198"/>
      <c r="CI11" s="198"/>
      <c r="CJ11" s="198"/>
      <c r="CK11" s="198"/>
      <c r="CL11" s="198"/>
      <c r="CM11" s="198"/>
      <c r="CN11" s="198"/>
      <c r="CO11" s="198"/>
      <c r="CP11" s="198"/>
      <c r="CQ11" s="198"/>
      <c r="CR11" s="198"/>
      <c r="CS11" s="198"/>
      <c r="CT11" s="199"/>
      <c r="CU11" s="198"/>
      <c r="CV11" s="198"/>
      <c r="CW11" s="198"/>
      <c r="CX11" s="198"/>
      <c r="CY11" s="198"/>
      <c r="CZ11" s="198"/>
      <c r="DA11" s="198"/>
      <c r="DB11" s="198"/>
      <c r="DC11" s="198"/>
      <c r="DD11" s="198"/>
      <c r="DE11" s="198"/>
      <c r="DF11" s="198"/>
      <c r="DG11" s="198"/>
      <c r="DH11" s="198"/>
      <c r="DI11" s="198"/>
      <c r="DJ11" s="198"/>
      <c r="DK11" s="198"/>
      <c r="DL11" s="198"/>
      <c r="DM11" s="198"/>
      <c r="DN11" s="198"/>
      <c r="DO11" s="198"/>
      <c r="DP11" s="198"/>
      <c r="DQ11" s="198"/>
      <c r="DR11" s="198"/>
      <c r="DS11" s="198"/>
      <c r="DT11" s="198"/>
      <c r="DU11" s="198"/>
      <c r="DV11" s="198"/>
      <c r="DW11" s="198"/>
      <c r="DX11" s="198"/>
      <c r="DY11" s="198"/>
      <c r="DZ11" s="198"/>
      <c r="EA11" s="198"/>
      <c r="EB11" s="198"/>
      <c r="EC11" s="200"/>
      <c r="ED11" s="158"/>
      <c r="EE11" s="158"/>
      <c r="EF11" s="158"/>
    </row>
    <row r="12" spans="1:136" x14ac:dyDescent="0.3">
      <c r="A12" s="158"/>
      <c r="B12" s="158"/>
      <c r="C12" s="196"/>
      <c r="D12" s="198"/>
      <c r="E12" s="302" t="s">
        <v>416</v>
      </c>
      <c r="F12" s="303"/>
      <c r="G12" s="303"/>
      <c r="H12" s="303"/>
      <c r="I12" s="303"/>
      <c r="J12" s="303"/>
      <c r="K12" s="303"/>
      <c r="L12" s="303"/>
      <c r="M12" s="303"/>
      <c r="N12" s="304"/>
      <c r="O12" s="198"/>
      <c r="P12" s="198"/>
      <c r="Q12" s="199"/>
      <c r="R12" s="198"/>
      <c r="S12" s="302" t="s">
        <v>261</v>
      </c>
      <c r="T12" s="303"/>
      <c r="U12" s="303"/>
      <c r="V12" s="303"/>
      <c r="W12" s="303"/>
      <c r="X12" s="303"/>
      <c r="Y12" s="303"/>
      <c r="Z12" s="303"/>
      <c r="AA12" s="304"/>
      <c r="AB12" s="198"/>
      <c r="AC12" s="199"/>
      <c r="AD12" s="198"/>
      <c r="AE12" s="198"/>
      <c r="AF12" s="198"/>
      <c r="AG12" s="302" t="s">
        <v>114</v>
      </c>
      <c r="AH12" s="303"/>
      <c r="AI12" s="303"/>
      <c r="AJ12" s="303"/>
      <c r="AK12" s="303"/>
      <c r="AL12" s="303"/>
      <c r="AM12" s="304"/>
      <c r="AN12" s="201"/>
      <c r="AO12" s="302" t="s">
        <v>143</v>
      </c>
      <c r="AP12" s="303"/>
      <c r="AQ12" s="303"/>
      <c r="AR12" s="303"/>
      <c r="AS12" s="303"/>
      <c r="AT12" s="303"/>
      <c r="AU12" s="303"/>
      <c r="AV12" s="303"/>
      <c r="AW12" s="304"/>
      <c r="AX12" s="237"/>
      <c r="AY12" s="302" t="s">
        <v>417</v>
      </c>
      <c r="AZ12" s="303"/>
      <c r="BA12" s="303"/>
      <c r="BB12" s="303"/>
      <c r="BC12" s="303"/>
      <c r="BD12" s="303"/>
      <c r="BE12" s="303"/>
      <c r="BF12" s="303"/>
      <c r="BG12" s="304"/>
      <c r="BH12" s="198"/>
      <c r="BI12" s="198"/>
      <c r="BJ12" s="200"/>
      <c r="BK12" s="158"/>
      <c r="BL12" s="158"/>
      <c r="BM12" s="173"/>
      <c r="BN12" s="158"/>
      <c r="BO12" s="158"/>
      <c r="BP12" s="196"/>
      <c r="BQ12" s="198"/>
      <c r="BR12" s="302" t="s">
        <v>125</v>
      </c>
      <c r="BS12" s="303"/>
      <c r="BT12" s="303"/>
      <c r="BU12" s="303"/>
      <c r="BV12" s="303"/>
      <c r="BW12" s="303"/>
      <c r="BX12" s="303"/>
      <c r="BY12" s="303"/>
      <c r="BZ12" s="304"/>
      <c r="CA12" s="198"/>
      <c r="CB12" s="198"/>
      <c r="CC12" s="198"/>
      <c r="CD12" s="199"/>
      <c r="CE12" s="198"/>
      <c r="CF12" s="198"/>
      <c r="CG12" s="332" t="s">
        <v>261</v>
      </c>
      <c r="CH12" s="332"/>
      <c r="CI12" s="332"/>
      <c r="CJ12" s="332"/>
      <c r="CK12" s="332"/>
      <c r="CL12" s="332"/>
      <c r="CM12" s="332"/>
      <c r="CN12" s="332"/>
      <c r="CO12" s="332"/>
      <c r="CP12" s="332"/>
      <c r="CQ12" s="332"/>
      <c r="CR12" s="198"/>
      <c r="CS12" s="198"/>
      <c r="CT12" s="199"/>
      <c r="CU12" s="198"/>
      <c r="CV12" s="198"/>
      <c r="CW12" s="198"/>
      <c r="CX12" s="302" t="s">
        <v>114</v>
      </c>
      <c r="CY12" s="303"/>
      <c r="CZ12" s="303"/>
      <c r="DA12" s="303"/>
      <c r="DB12" s="303"/>
      <c r="DC12" s="303"/>
      <c r="DD12" s="303"/>
      <c r="DE12" s="303"/>
      <c r="DF12" s="304"/>
      <c r="DG12" s="198"/>
      <c r="DH12" s="302" t="s">
        <v>143</v>
      </c>
      <c r="DI12" s="303"/>
      <c r="DJ12" s="303"/>
      <c r="DK12" s="303"/>
      <c r="DL12" s="303"/>
      <c r="DM12" s="303"/>
      <c r="DN12" s="303"/>
      <c r="DO12" s="303"/>
      <c r="DP12" s="304"/>
      <c r="DQ12" s="198"/>
      <c r="DR12" s="302" t="s">
        <v>417</v>
      </c>
      <c r="DS12" s="303"/>
      <c r="DT12" s="303"/>
      <c r="DU12" s="303"/>
      <c r="DV12" s="303"/>
      <c r="DW12" s="303"/>
      <c r="DX12" s="303"/>
      <c r="DY12" s="303"/>
      <c r="DZ12" s="304"/>
      <c r="EA12" s="198"/>
      <c r="EB12" s="198"/>
      <c r="EC12" s="200"/>
      <c r="ED12" s="158"/>
      <c r="EE12" s="158"/>
      <c r="EF12" s="158"/>
    </row>
    <row r="13" spans="1:136" x14ac:dyDescent="0.3">
      <c r="A13" s="158"/>
      <c r="B13" s="158"/>
      <c r="C13" s="196"/>
      <c r="D13" s="198"/>
      <c r="E13" s="333" t="str">
        <f>IFERROR(INDEX(Table59[],MATCH('Combined Sizer'!$M$3,Table59[Record ID],0),MATCH("Borrower Experience - Number of Projects",Table59[#Headers],0)),"")</f>
        <v/>
      </c>
      <c r="F13" s="334"/>
      <c r="G13" s="334"/>
      <c r="H13" s="334"/>
      <c r="I13" s="334"/>
      <c r="J13" s="334"/>
      <c r="K13" s="334"/>
      <c r="L13" s="334"/>
      <c r="M13" s="334"/>
      <c r="N13" s="335"/>
      <c r="O13" s="198"/>
      <c r="P13" s="198"/>
      <c r="Q13" s="199"/>
      <c r="R13" s="198"/>
      <c r="S13" s="314" t="str">
        <f>IFERROR(INDEX(Table59[],MATCH('Combined Sizer'!$M$3,Table59[Record ID],0),MATCH("Product Type",Table59[#Headers],0)),"")</f>
        <v/>
      </c>
      <c r="T13" s="314"/>
      <c r="U13" s="314"/>
      <c r="V13" s="314"/>
      <c r="W13" s="314"/>
      <c r="X13" s="314"/>
      <c r="Y13" s="314"/>
      <c r="Z13" s="314"/>
      <c r="AA13" s="314"/>
      <c r="AB13" s="198"/>
      <c r="AC13" s="199"/>
      <c r="AD13" s="198"/>
      <c r="AE13" s="198"/>
      <c r="AF13" s="198"/>
      <c r="AG13" s="494" t="str">
        <f>IFERROR(INDEX(Table59[],MATCH('Combined Sizer'!$M$3,Table59[Record ID],0),MATCH("Acquisition Date",Table59[#Headers],0)),"")</f>
        <v/>
      </c>
      <c r="AH13" s="495"/>
      <c r="AI13" s="495"/>
      <c r="AJ13" s="495"/>
      <c r="AK13" s="495"/>
      <c r="AL13" s="495"/>
      <c r="AM13" s="496"/>
      <c r="AN13" s="198"/>
      <c r="AO13" s="319" t="str">
        <f>IFERROR(INDEX(Table59[],MATCH('Combined Sizer'!$M$3,Table59[Record ID],0),MATCH("Purchase Price",Table59[#Headers],0)),"")</f>
        <v/>
      </c>
      <c r="AP13" s="320"/>
      <c r="AQ13" s="320"/>
      <c r="AR13" s="320"/>
      <c r="AS13" s="320"/>
      <c r="AT13" s="320"/>
      <c r="AU13" s="320"/>
      <c r="AV13" s="320"/>
      <c r="AW13" s="321"/>
      <c r="AX13" s="238"/>
      <c r="AY13" s="315" t="str">
        <f>IFERROR(INDEX(Table59[],MATCH('Combined Sizer'!$M$3,Table59[Record ID],0),MATCH("Improvement Budget",Table59[#Headers],0)),"")</f>
        <v/>
      </c>
      <c r="AZ13" s="315"/>
      <c r="BA13" s="315"/>
      <c r="BB13" s="315"/>
      <c r="BC13" s="315"/>
      <c r="BD13" s="315"/>
      <c r="BE13" s="315"/>
      <c r="BF13" s="315"/>
      <c r="BG13" s="315"/>
      <c r="BH13" s="198"/>
      <c r="BI13" s="198"/>
      <c r="BJ13" s="200"/>
      <c r="BK13" s="158"/>
      <c r="BL13" s="158"/>
      <c r="BM13" s="173"/>
      <c r="BN13" s="158"/>
      <c r="BO13" s="158"/>
      <c r="BP13" s="196"/>
      <c r="BQ13" s="198"/>
      <c r="BR13" s="342">
        <v>675</v>
      </c>
      <c r="BS13" s="342"/>
      <c r="BT13" s="342"/>
      <c r="BU13" s="342"/>
      <c r="BV13" s="342"/>
      <c r="BW13" s="342"/>
      <c r="BX13" s="342"/>
      <c r="BY13" s="342"/>
      <c r="BZ13" s="342"/>
      <c r="CA13" s="198"/>
      <c r="CB13" s="198"/>
      <c r="CC13" s="198"/>
      <c r="CD13" s="199"/>
      <c r="CE13" s="198"/>
      <c r="CF13" s="198"/>
      <c r="CG13" s="318" t="s">
        <v>248</v>
      </c>
      <c r="CH13" s="318"/>
      <c r="CI13" s="318"/>
      <c r="CJ13" s="318"/>
      <c r="CK13" s="318"/>
      <c r="CL13" s="318"/>
      <c r="CM13" s="318"/>
      <c r="CN13" s="318"/>
      <c r="CO13" s="318"/>
      <c r="CP13" s="318"/>
      <c r="CQ13" s="318"/>
      <c r="CR13" s="198"/>
      <c r="CS13" s="198"/>
      <c r="CT13" s="199"/>
      <c r="CU13" s="198"/>
      <c r="CV13" s="198"/>
      <c r="CW13" s="198"/>
      <c r="CX13" s="343">
        <v>45802</v>
      </c>
      <c r="CY13" s="344"/>
      <c r="CZ13" s="344"/>
      <c r="DA13" s="344"/>
      <c r="DB13" s="344"/>
      <c r="DC13" s="344"/>
      <c r="DD13" s="344"/>
      <c r="DE13" s="344"/>
      <c r="DF13" s="345"/>
      <c r="DG13" s="198"/>
      <c r="DH13" s="316">
        <v>660000</v>
      </c>
      <c r="DI13" s="316"/>
      <c r="DJ13" s="316"/>
      <c r="DK13" s="316"/>
      <c r="DL13" s="316"/>
      <c r="DM13" s="316"/>
      <c r="DN13" s="316"/>
      <c r="DO13" s="316"/>
      <c r="DP13" s="316"/>
      <c r="DQ13" s="198"/>
      <c r="DR13" s="316">
        <v>20000</v>
      </c>
      <c r="DS13" s="316"/>
      <c r="DT13" s="316"/>
      <c r="DU13" s="316"/>
      <c r="DV13" s="316"/>
      <c r="DW13" s="316"/>
      <c r="DX13" s="316"/>
      <c r="DY13" s="316"/>
      <c r="DZ13" s="316"/>
      <c r="EA13" s="198"/>
      <c r="EB13" s="198"/>
      <c r="EC13" s="200"/>
      <c r="ED13" s="158"/>
      <c r="EE13" s="158"/>
      <c r="EF13" s="158"/>
    </row>
    <row r="14" spans="1:136" ht="9.9" customHeight="1" x14ac:dyDescent="0.3">
      <c r="A14" s="158"/>
      <c r="B14" s="158"/>
      <c r="C14" s="196"/>
      <c r="D14" s="198"/>
      <c r="E14" s="198"/>
      <c r="F14" s="198"/>
      <c r="G14" s="198"/>
      <c r="H14" s="198"/>
      <c r="I14" s="198"/>
      <c r="J14" s="198"/>
      <c r="K14" s="198"/>
      <c r="L14" s="198"/>
      <c r="M14" s="198"/>
      <c r="N14" s="198"/>
      <c r="O14" s="198"/>
      <c r="P14" s="198"/>
      <c r="Q14" s="199"/>
      <c r="R14" s="198"/>
      <c r="S14" s="198"/>
      <c r="T14" s="198"/>
      <c r="U14" s="198"/>
      <c r="V14" s="198"/>
      <c r="W14" s="198"/>
      <c r="X14" s="198"/>
      <c r="Y14" s="198"/>
      <c r="Z14" s="198"/>
      <c r="AA14" s="198"/>
      <c r="AB14" s="198"/>
      <c r="AC14" s="199"/>
      <c r="AD14" s="198"/>
      <c r="AE14" s="198"/>
      <c r="AF14" s="198"/>
      <c r="AG14" s="198"/>
      <c r="AH14" s="198"/>
      <c r="AI14" s="198"/>
      <c r="AJ14" s="198"/>
      <c r="AK14" s="198"/>
      <c r="AL14" s="198"/>
      <c r="AM14" s="198"/>
      <c r="AN14" s="198"/>
      <c r="AO14" s="198"/>
      <c r="AP14" s="198"/>
      <c r="AQ14" s="198"/>
      <c r="AR14" s="198"/>
      <c r="AS14" s="198"/>
      <c r="AT14" s="198"/>
      <c r="AU14" s="198"/>
      <c r="AV14" s="198"/>
      <c r="AW14" s="198"/>
      <c r="AX14" s="198"/>
      <c r="AY14" s="198"/>
      <c r="AZ14" s="198"/>
      <c r="BA14" s="198"/>
      <c r="BB14" s="198"/>
      <c r="BC14" s="198"/>
      <c r="BD14" s="198"/>
      <c r="BE14" s="198"/>
      <c r="BF14" s="198"/>
      <c r="BG14" s="198"/>
      <c r="BH14" s="198"/>
      <c r="BI14" s="198"/>
      <c r="BJ14" s="200"/>
      <c r="BK14" s="158"/>
      <c r="BL14" s="158"/>
      <c r="BM14" s="173"/>
      <c r="BN14" s="158"/>
      <c r="BO14" s="158"/>
      <c r="BP14" s="196"/>
      <c r="BQ14" s="198"/>
      <c r="BR14" s="198"/>
      <c r="BS14" s="198"/>
      <c r="BT14" s="198"/>
      <c r="BU14" s="198"/>
      <c r="BV14" s="198"/>
      <c r="BW14" s="198"/>
      <c r="BX14" s="198"/>
      <c r="BY14" s="198"/>
      <c r="BZ14" s="198"/>
      <c r="CA14" s="198"/>
      <c r="CB14" s="198"/>
      <c r="CC14" s="198"/>
      <c r="CD14" s="199"/>
      <c r="CE14" s="198"/>
      <c r="CF14" s="198"/>
      <c r="CG14" s="198"/>
      <c r="CH14" s="198"/>
      <c r="CI14" s="198"/>
      <c r="CJ14" s="198"/>
      <c r="CK14" s="198"/>
      <c r="CL14" s="198"/>
      <c r="CM14" s="198"/>
      <c r="CN14" s="198"/>
      <c r="CO14" s="198"/>
      <c r="CP14" s="198"/>
      <c r="CQ14" s="198"/>
      <c r="CR14" s="198"/>
      <c r="CS14" s="198"/>
      <c r="CT14" s="199"/>
      <c r="CU14" s="198"/>
      <c r="CV14" s="198"/>
      <c r="CW14" s="198"/>
      <c r="CX14" s="198"/>
      <c r="CY14" s="198"/>
      <c r="CZ14" s="198"/>
      <c r="DA14" s="198"/>
      <c r="DB14" s="198"/>
      <c r="DC14" s="198"/>
      <c r="DD14" s="198"/>
      <c r="DE14" s="198"/>
      <c r="DF14" s="198"/>
      <c r="DG14" s="198"/>
      <c r="DH14" s="198"/>
      <c r="DI14" s="198"/>
      <c r="DJ14" s="198"/>
      <c r="DK14" s="198"/>
      <c r="DL14" s="198"/>
      <c r="DM14" s="198"/>
      <c r="DN14" s="198"/>
      <c r="DO14" s="198"/>
      <c r="DP14" s="198"/>
      <c r="DQ14" s="198"/>
      <c r="DR14" s="198"/>
      <c r="DS14" s="198"/>
      <c r="DT14" s="198"/>
      <c r="DU14" s="198"/>
      <c r="DV14" s="198"/>
      <c r="DW14" s="198"/>
      <c r="DX14" s="198"/>
      <c r="DY14" s="198"/>
      <c r="DZ14" s="198"/>
      <c r="EA14" s="198"/>
      <c r="EB14" s="198"/>
      <c r="EC14" s="200"/>
      <c r="ED14" s="158"/>
      <c r="EE14" s="158"/>
      <c r="EF14" s="158"/>
    </row>
    <row r="15" spans="1:136" x14ac:dyDescent="0.3">
      <c r="A15" s="158"/>
      <c r="B15" s="158"/>
      <c r="C15" s="196"/>
      <c r="D15" s="198"/>
      <c r="E15" s="302" t="s">
        <v>125</v>
      </c>
      <c r="F15" s="303"/>
      <c r="G15" s="303"/>
      <c r="H15" s="303"/>
      <c r="I15" s="303"/>
      <c r="J15" s="303"/>
      <c r="K15" s="303"/>
      <c r="L15" s="303"/>
      <c r="M15" s="303"/>
      <c r="N15" s="304"/>
      <c r="O15" s="198"/>
      <c r="P15" s="198"/>
      <c r="Q15" s="199"/>
      <c r="R15" s="198"/>
      <c r="S15" s="302" t="s">
        <v>418</v>
      </c>
      <c r="T15" s="303"/>
      <c r="U15" s="303"/>
      <c r="V15" s="303"/>
      <c r="W15" s="303"/>
      <c r="X15" s="303"/>
      <c r="Y15" s="303"/>
      <c r="Z15" s="303"/>
      <c r="AA15" s="304"/>
      <c r="AB15" s="198"/>
      <c r="AC15" s="199"/>
      <c r="AD15" s="198"/>
      <c r="AE15" s="198"/>
      <c r="AF15" s="198"/>
      <c r="AG15" s="302" t="s">
        <v>419</v>
      </c>
      <c r="AH15" s="303"/>
      <c r="AI15" s="303"/>
      <c r="AJ15" s="303"/>
      <c r="AK15" s="303"/>
      <c r="AL15" s="303"/>
      <c r="AM15" s="304"/>
      <c r="AN15" s="201"/>
      <c r="AO15" s="302" t="s">
        <v>420</v>
      </c>
      <c r="AP15" s="303"/>
      <c r="AQ15" s="303"/>
      <c r="AR15" s="303"/>
      <c r="AS15" s="303"/>
      <c r="AT15" s="303"/>
      <c r="AU15" s="303"/>
      <c r="AV15" s="303"/>
      <c r="AW15" s="304"/>
      <c r="AX15" s="198"/>
      <c r="AY15" s="198"/>
      <c r="AZ15" s="198"/>
      <c r="BA15" s="198"/>
      <c r="BB15" s="198"/>
      <c r="BC15" s="198"/>
      <c r="BD15" s="198"/>
      <c r="BE15" s="198"/>
      <c r="BF15" s="198"/>
      <c r="BG15" s="198"/>
      <c r="BH15" s="198"/>
      <c r="BI15" s="198"/>
      <c r="BJ15" s="200"/>
      <c r="BK15" s="158"/>
      <c r="BL15" s="158"/>
      <c r="BM15" s="173"/>
      <c r="BN15" s="158"/>
      <c r="BO15" s="158"/>
      <c r="BP15" s="196"/>
      <c r="BQ15" s="198"/>
      <c r="BR15" s="302" t="s">
        <v>421</v>
      </c>
      <c r="BS15" s="303"/>
      <c r="BT15" s="303"/>
      <c r="BU15" s="303"/>
      <c r="BV15" s="303"/>
      <c r="BW15" s="303"/>
      <c r="BX15" s="303"/>
      <c r="BY15" s="303"/>
      <c r="BZ15" s="304"/>
      <c r="CA15" s="198"/>
      <c r="CB15" s="198"/>
      <c r="CC15" s="198"/>
      <c r="CD15" s="199"/>
      <c r="CE15" s="198"/>
      <c r="CF15" s="198"/>
      <c r="CG15" s="302" t="s">
        <v>418</v>
      </c>
      <c r="CH15" s="303"/>
      <c r="CI15" s="303"/>
      <c r="CJ15" s="303"/>
      <c r="CK15" s="303"/>
      <c r="CL15" s="303"/>
      <c r="CM15" s="303"/>
      <c r="CN15" s="303"/>
      <c r="CO15" s="303"/>
      <c r="CP15" s="303"/>
      <c r="CQ15" s="304"/>
      <c r="CR15" s="198"/>
      <c r="CS15" s="198"/>
      <c r="CT15" s="199"/>
      <c r="CU15" s="198"/>
      <c r="CV15" s="198"/>
      <c r="CW15" s="198"/>
      <c r="CX15" s="302" t="s">
        <v>419</v>
      </c>
      <c r="CY15" s="303"/>
      <c r="CZ15" s="303"/>
      <c r="DA15" s="303"/>
      <c r="DB15" s="303"/>
      <c r="DC15" s="303"/>
      <c r="DD15" s="303"/>
      <c r="DE15" s="303"/>
      <c r="DF15" s="304"/>
      <c r="DG15" s="198"/>
      <c r="DH15" s="302" t="s">
        <v>420</v>
      </c>
      <c r="DI15" s="303"/>
      <c r="DJ15" s="303"/>
      <c r="DK15" s="303"/>
      <c r="DL15" s="303"/>
      <c r="DM15" s="303"/>
      <c r="DN15" s="303"/>
      <c r="DO15" s="303"/>
      <c r="DP15" s="304"/>
      <c r="DQ15" s="198"/>
      <c r="DR15" s="198"/>
      <c r="DS15" s="198"/>
      <c r="DT15" s="198"/>
      <c r="DU15" s="198"/>
      <c r="DV15" s="198"/>
      <c r="DW15" s="198"/>
      <c r="DX15" s="198"/>
      <c r="DY15" s="198"/>
      <c r="DZ15" s="198"/>
      <c r="EA15" s="198"/>
      <c r="EB15" s="198"/>
      <c r="EC15" s="200"/>
      <c r="ED15" s="158"/>
      <c r="EE15" s="158"/>
      <c r="EF15" s="158"/>
    </row>
    <row r="16" spans="1:136" x14ac:dyDescent="0.3">
      <c r="A16" s="158"/>
      <c r="B16" s="158"/>
      <c r="C16" s="196"/>
      <c r="D16" s="198"/>
      <c r="E16" s="333" t="str">
        <f>IFERROR(INDEX(Table59[],MATCH('Combined Sizer'!$M$3,Table59[Record ID],0),MATCH("Fico",Table59[#Headers],0)),"")</f>
        <v/>
      </c>
      <c r="F16" s="334"/>
      <c r="G16" s="334"/>
      <c r="H16" s="334"/>
      <c r="I16" s="334"/>
      <c r="J16" s="334"/>
      <c r="K16" s="334"/>
      <c r="L16" s="334"/>
      <c r="M16" s="334"/>
      <c r="N16" s="335"/>
      <c r="O16" s="198"/>
      <c r="P16" s="198"/>
      <c r="Q16" s="199"/>
      <c r="R16" s="198"/>
      <c r="S16" s="319" t="str">
        <f>IFERROR(INDEX(Table59[],MATCH('Combined Sizer'!$M$3,Table59[Record ID],0),MATCH("Requested Loan Amount",Table59[#Headers],0)),"")</f>
        <v/>
      </c>
      <c r="T16" s="320"/>
      <c r="U16" s="320"/>
      <c r="V16" s="320"/>
      <c r="W16" s="320"/>
      <c r="X16" s="320"/>
      <c r="Y16" s="320"/>
      <c r="Z16" s="320"/>
      <c r="AA16" s="321"/>
      <c r="AB16" s="198"/>
      <c r="AC16" s="199"/>
      <c r="AD16" s="198"/>
      <c r="AE16" s="198"/>
      <c r="AF16" s="198"/>
      <c r="AG16" s="315" t="str">
        <f>IFERROR(INDEX(Table59[],MATCH('Combined Sizer'!$M$3,Table59[Record ID],0),MATCH("AIV",Table59[#Headers],0)),"")</f>
        <v/>
      </c>
      <c r="AH16" s="315"/>
      <c r="AI16" s="315"/>
      <c r="AJ16" s="315"/>
      <c r="AK16" s="315"/>
      <c r="AL16" s="315"/>
      <c r="AM16" s="315"/>
      <c r="AN16" s="198"/>
      <c r="AO16" s="315" t="str">
        <f>IFERROR(INDEX(Table59[],MATCH('Combined Sizer'!$M$3,Table59[Record ID],0),MATCH("ARV",Table59[#Headers],0)),"")</f>
        <v/>
      </c>
      <c r="AP16" s="315"/>
      <c r="AQ16" s="315"/>
      <c r="AR16" s="315"/>
      <c r="AS16" s="315"/>
      <c r="AT16" s="315"/>
      <c r="AU16" s="315"/>
      <c r="AV16" s="315"/>
      <c r="AW16" s="315"/>
      <c r="AX16" s="198"/>
      <c r="AY16" s="198"/>
      <c r="AZ16" s="198"/>
      <c r="BA16" s="198"/>
      <c r="BB16" s="198"/>
      <c r="BC16" s="198"/>
      <c r="BD16" s="198"/>
      <c r="BE16" s="198"/>
      <c r="BF16" s="198"/>
      <c r="BG16" s="198"/>
      <c r="BH16" s="198"/>
      <c r="BI16" s="198"/>
      <c r="BJ16" s="200"/>
      <c r="BK16" s="158"/>
      <c r="BL16" s="158"/>
      <c r="BM16" s="173"/>
      <c r="BN16" s="158"/>
      <c r="BO16" s="158"/>
      <c r="BP16" s="196"/>
      <c r="BQ16" s="198"/>
      <c r="BR16" s="342" t="s">
        <v>422</v>
      </c>
      <c r="BS16" s="342"/>
      <c r="BT16" s="342"/>
      <c r="BU16" s="342"/>
      <c r="BV16" s="342"/>
      <c r="BW16" s="342"/>
      <c r="BX16" s="342"/>
      <c r="BY16" s="342"/>
      <c r="BZ16" s="342"/>
      <c r="CA16" s="198"/>
      <c r="CB16" s="198"/>
      <c r="CC16" s="198"/>
      <c r="CD16" s="199"/>
      <c r="CE16" s="198"/>
      <c r="CF16" s="198"/>
      <c r="CG16" s="346">
        <v>350000</v>
      </c>
      <c r="CH16" s="347"/>
      <c r="CI16" s="347"/>
      <c r="CJ16" s="347"/>
      <c r="CK16" s="347"/>
      <c r="CL16" s="347"/>
      <c r="CM16" s="347"/>
      <c r="CN16" s="347"/>
      <c r="CO16" s="347"/>
      <c r="CP16" s="347"/>
      <c r="CQ16" s="348"/>
      <c r="CR16" s="198"/>
      <c r="CS16" s="198"/>
      <c r="CT16" s="199"/>
      <c r="CU16" s="198"/>
      <c r="CV16" s="198"/>
      <c r="CW16" s="198"/>
      <c r="CX16" s="316">
        <v>675000</v>
      </c>
      <c r="CY16" s="316"/>
      <c r="CZ16" s="316"/>
      <c r="DA16" s="316"/>
      <c r="DB16" s="316"/>
      <c r="DC16" s="316"/>
      <c r="DD16" s="316"/>
      <c r="DE16" s="316"/>
      <c r="DF16" s="316"/>
      <c r="DG16" s="198"/>
      <c r="DH16" s="316">
        <v>800000</v>
      </c>
      <c r="DI16" s="316"/>
      <c r="DJ16" s="316"/>
      <c r="DK16" s="316"/>
      <c r="DL16" s="316"/>
      <c r="DM16" s="316"/>
      <c r="DN16" s="316"/>
      <c r="DO16" s="316"/>
      <c r="DP16" s="316"/>
      <c r="DQ16" s="198"/>
      <c r="DR16" s="198"/>
      <c r="DS16" s="198"/>
      <c r="DT16" s="198"/>
      <c r="DU16" s="198"/>
      <c r="DV16" s="198"/>
      <c r="DW16" s="198"/>
      <c r="DX16" s="198"/>
      <c r="DY16" s="198"/>
      <c r="DZ16" s="198"/>
      <c r="EA16" s="198"/>
      <c r="EB16" s="198"/>
      <c r="EC16" s="200"/>
      <c r="ED16" s="158"/>
      <c r="EE16" s="158"/>
      <c r="EF16" s="158"/>
    </row>
    <row r="17" spans="1:136" ht="9.9" customHeight="1" x14ac:dyDescent="0.3">
      <c r="A17" s="158"/>
      <c r="B17" s="158"/>
      <c r="C17" s="196"/>
      <c r="D17" s="198"/>
      <c r="E17" s="198"/>
      <c r="F17" s="198"/>
      <c r="G17" s="198"/>
      <c r="H17" s="198"/>
      <c r="I17" s="198"/>
      <c r="J17" s="198"/>
      <c r="K17" s="198"/>
      <c r="L17" s="198"/>
      <c r="M17" s="198"/>
      <c r="N17" s="198"/>
      <c r="O17" s="198"/>
      <c r="P17" s="198"/>
      <c r="Q17" s="199"/>
      <c r="R17" s="198"/>
      <c r="S17" s="198"/>
      <c r="T17" s="198"/>
      <c r="U17" s="198"/>
      <c r="V17" s="198"/>
      <c r="W17" s="198"/>
      <c r="X17" s="198"/>
      <c r="Y17" s="198"/>
      <c r="Z17" s="198"/>
      <c r="AA17" s="198"/>
      <c r="AB17" s="198"/>
      <c r="AC17" s="199"/>
      <c r="AD17" s="198"/>
      <c r="AE17" s="198"/>
      <c r="AF17" s="198"/>
      <c r="AG17" s="198"/>
      <c r="AH17" s="198"/>
      <c r="AI17" s="198"/>
      <c r="AJ17" s="198"/>
      <c r="AK17" s="198"/>
      <c r="AL17" s="198"/>
      <c r="AM17" s="198"/>
      <c r="AN17" s="198"/>
      <c r="AO17" s="198"/>
      <c r="AP17" s="198"/>
      <c r="AQ17" s="198"/>
      <c r="AR17" s="198"/>
      <c r="AS17" s="198"/>
      <c r="AT17" s="198"/>
      <c r="AU17" s="198"/>
      <c r="AV17" s="198"/>
      <c r="AW17" s="198"/>
      <c r="AX17" s="198"/>
      <c r="AY17" s="198"/>
      <c r="AZ17" s="198"/>
      <c r="BA17" s="198"/>
      <c r="BB17" s="198"/>
      <c r="BC17" s="198"/>
      <c r="BD17" s="198"/>
      <c r="BE17" s="198"/>
      <c r="BF17" s="198"/>
      <c r="BG17" s="198"/>
      <c r="BH17" s="198"/>
      <c r="BI17" s="198"/>
      <c r="BJ17" s="200"/>
      <c r="BK17" s="158"/>
      <c r="BL17" s="158"/>
      <c r="BM17" s="173"/>
      <c r="BN17" s="158"/>
      <c r="BO17" s="158"/>
      <c r="BP17" s="196"/>
      <c r="BQ17" s="198"/>
      <c r="BR17" s="198"/>
      <c r="BS17" s="198"/>
      <c r="BT17" s="198"/>
      <c r="BU17" s="198"/>
      <c r="BV17" s="198"/>
      <c r="BW17" s="198"/>
      <c r="BX17" s="198"/>
      <c r="BY17" s="198"/>
      <c r="BZ17" s="198"/>
      <c r="CA17" s="198"/>
      <c r="CB17" s="198"/>
      <c r="CC17" s="198"/>
      <c r="CD17" s="199"/>
      <c r="CE17" s="198"/>
      <c r="CF17" s="198"/>
      <c r="CG17" s="198"/>
      <c r="CH17" s="198"/>
      <c r="CI17" s="198"/>
      <c r="CJ17" s="198"/>
      <c r="CK17" s="198"/>
      <c r="CL17" s="198"/>
      <c r="CM17" s="198"/>
      <c r="CN17" s="198"/>
      <c r="CO17" s="198"/>
      <c r="CP17" s="198"/>
      <c r="CQ17" s="198"/>
      <c r="CR17" s="198"/>
      <c r="CS17" s="198"/>
      <c r="CT17" s="199"/>
      <c r="CU17" s="198"/>
      <c r="CV17" s="198"/>
      <c r="CW17" s="198"/>
      <c r="CX17" s="198"/>
      <c r="CY17" s="198"/>
      <c r="CZ17" s="198"/>
      <c r="DA17" s="198"/>
      <c r="DB17" s="198"/>
      <c r="DC17" s="198"/>
      <c r="DD17" s="198"/>
      <c r="DE17" s="198"/>
      <c r="DF17" s="198"/>
      <c r="DG17" s="198"/>
      <c r="DH17" s="198"/>
      <c r="DI17" s="198"/>
      <c r="DJ17" s="198"/>
      <c r="DK17" s="198"/>
      <c r="DL17" s="198"/>
      <c r="DM17" s="198"/>
      <c r="DN17" s="198"/>
      <c r="DO17" s="198"/>
      <c r="DP17" s="198"/>
      <c r="DQ17" s="198"/>
      <c r="DR17" s="198"/>
      <c r="DS17" s="198"/>
      <c r="DT17" s="198"/>
      <c r="DU17" s="198"/>
      <c r="DV17" s="198"/>
      <c r="DW17" s="198"/>
      <c r="DX17" s="198"/>
      <c r="DY17" s="198"/>
      <c r="DZ17" s="198"/>
      <c r="EA17" s="198"/>
      <c r="EB17" s="198"/>
      <c r="EC17" s="200"/>
      <c r="ED17" s="158"/>
      <c r="EE17" s="158"/>
      <c r="EF17" s="158"/>
    </row>
    <row r="18" spans="1:136" x14ac:dyDescent="0.3">
      <c r="A18" s="158"/>
      <c r="B18" s="158"/>
      <c r="C18" s="196"/>
      <c r="D18" s="198"/>
      <c r="E18" s="302" t="s">
        <v>421</v>
      </c>
      <c r="F18" s="303"/>
      <c r="G18" s="303"/>
      <c r="H18" s="303"/>
      <c r="I18" s="303"/>
      <c r="J18" s="303"/>
      <c r="K18" s="303"/>
      <c r="L18" s="303"/>
      <c r="M18" s="303"/>
      <c r="N18" s="304"/>
      <c r="O18" s="198"/>
      <c r="P18" s="198"/>
      <c r="Q18" s="199"/>
      <c r="R18" s="198"/>
      <c r="S18" s="198"/>
      <c r="T18" s="198"/>
      <c r="U18" s="198"/>
      <c r="V18" s="198"/>
      <c r="W18" s="198"/>
      <c r="X18" s="198"/>
      <c r="Y18" s="198"/>
      <c r="Z18" s="198"/>
      <c r="AA18" s="198"/>
      <c r="AB18" s="198"/>
      <c r="AC18" s="199"/>
      <c r="AD18" s="198"/>
      <c r="AE18" s="198"/>
      <c r="AF18" s="198"/>
      <c r="AG18" s="302" t="s">
        <v>423</v>
      </c>
      <c r="AH18" s="303"/>
      <c r="AI18" s="303"/>
      <c r="AJ18" s="303"/>
      <c r="AK18" s="303"/>
      <c r="AL18" s="303"/>
      <c r="AM18" s="304"/>
      <c r="AN18" s="201"/>
      <c r="AO18" s="302" t="s">
        <v>424</v>
      </c>
      <c r="AP18" s="303"/>
      <c r="AQ18" s="303"/>
      <c r="AR18" s="303"/>
      <c r="AS18" s="303"/>
      <c r="AT18" s="303"/>
      <c r="AU18" s="303"/>
      <c r="AV18" s="303"/>
      <c r="AW18" s="304"/>
      <c r="AX18" s="198"/>
      <c r="AY18" s="302" t="s">
        <v>138</v>
      </c>
      <c r="AZ18" s="303"/>
      <c r="BA18" s="303"/>
      <c r="BB18" s="303"/>
      <c r="BC18" s="303"/>
      <c r="BD18" s="303"/>
      <c r="BE18" s="303"/>
      <c r="BF18" s="303"/>
      <c r="BG18" s="304"/>
      <c r="BH18" s="198"/>
      <c r="BI18" s="198"/>
      <c r="BJ18" s="200"/>
      <c r="BK18" s="158"/>
      <c r="BL18" s="158"/>
      <c r="BM18" s="173"/>
      <c r="BN18" s="158"/>
      <c r="BO18" s="158"/>
      <c r="BP18" s="196"/>
      <c r="BQ18" s="198"/>
      <c r="BR18" s="302" t="s">
        <v>129</v>
      </c>
      <c r="BS18" s="303"/>
      <c r="BT18" s="303"/>
      <c r="BU18" s="303"/>
      <c r="BV18" s="303"/>
      <c r="BW18" s="303"/>
      <c r="BX18" s="303"/>
      <c r="BY18" s="303"/>
      <c r="BZ18" s="304"/>
      <c r="CA18" s="198"/>
      <c r="CB18" s="198"/>
      <c r="CC18" s="198"/>
      <c r="CD18" s="199"/>
      <c r="CE18" s="198"/>
      <c r="CF18" s="198"/>
      <c r="CG18" s="198"/>
      <c r="CH18" s="198"/>
      <c r="CI18" s="198"/>
      <c r="CJ18" s="198"/>
      <c r="CK18" s="198"/>
      <c r="CL18" s="198"/>
      <c r="CM18" s="198"/>
      <c r="CN18" s="198"/>
      <c r="CO18" s="198"/>
      <c r="CP18" s="198"/>
      <c r="CQ18" s="198"/>
      <c r="CR18" s="198"/>
      <c r="CS18" s="198"/>
      <c r="CT18" s="199"/>
      <c r="CU18" s="198"/>
      <c r="CV18" s="198"/>
      <c r="CW18" s="198"/>
      <c r="CX18" s="302" t="s">
        <v>423</v>
      </c>
      <c r="CY18" s="303"/>
      <c r="CZ18" s="303"/>
      <c r="DA18" s="303"/>
      <c r="DB18" s="303"/>
      <c r="DC18" s="303"/>
      <c r="DD18" s="303"/>
      <c r="DE18" s="303"/>
      <c r="DF18" s="304"/>
      <c r="DG18" s="198"/>
      <c r="DH18" s="302" t="s">
        <v>424</v>
      </c>
      <c r="DI18" s="303"/>
      <c r="DJ18" s="303"/>
      <c r="DK18" s="303"/>
      <c r="DL18" s="303"/>
      <c r="DM18" s="303"/>
      <c r="DN18" s="303"/>
      <c r="DO18" s="303"/>
      <c r="DP18" s="304"/>
      <c r="DQ18" s="198"/>
      <c r="DR18" s="302" t="s">
        <v>138</v>
      </c>
      <c r="DS18" s="303"/>
      <c r="DT18" s="303"/>
      <c r="DU18" s="303"/>
      <c r="DV18" s="303"/>
      <c r="DW18" s="303"/>
      <c r="DX18" s="303"/>
      <c r="DY18" s="303"/>
      <c r="DZ18" s="304"/>
      <c r="EA18" s="198"/>
      <c r="EB18" s="198"/>
      <c r="EC18" s="200"/>
      <c r="ED18" s="158"/>
      <c r="EE18" s="158"/>
      <c r="EF18" s="158"/>
    </row>
    <row r="19" spans="1:136" x14ac:dyDescent="0.3">
      <c r="A19" s="158"/>
      <c r="B19" s="158"/>
      <c r="C19" s="196"/>
      <c r="D19" s="198"/>
      <c r="E19" s="333" t="str">
        <f>IFERROR(INDEX(Table59[],MATCH('Combined Sizer'!$M$3,Table59[Record ID],0),MATCH("Us Citizen?",Table59[#Headers],0)),"")</f>
        <v/>
      </c>
      <c r="F19" s="334"/>
      <c r="G19" s="334"/>
      <c r="H19" s="334"/>
      <c r="I19" s="334"/>
      <c r="J19" s="334"/>
      <c r="K19" s="334"/>
      <c r="L19" s="334"/>
      <c r="M19" s="334"/>
      <c r="N19" s="335"/>
      <c r="O19" s="198"/>
      <c r="P19" s="198"/>
      <c r="Q19" s="199"/>
      <c r="R19" s="198"/>
      <c r="S19" s="198"/>
      <c r="T19" s="198"/>
      <c r="U19" s="198"/>
      <c r="V19" s="198"/>
      <c r="W19" s="198"/>
      <c r="X19" s="198"/>
      <c r="Y19" s="198"/>
      <c r="Z19" s="198"/>
      <c r="AA19" s="198"/>
      <c r="AB19" s="198"/>
      <c r="AC19" s="199"/>
      <c r="AD19" s="198"/>
      <c r="AE19" s="198"/>
      <c r="AF19" s="198"/>
      <c r="AG19" s="333" t="str">
        <f>IFERROR(INDEX(Table59[],MATCH('Combined Sizer'!$M$3,Table59[Record ID],0),MATCH("Pre-Rehab Sq. Ft.",Table59[#Headers],0)),"")</f>
        <v/>
      </c>
      <c r="AH19" s="334"/>
      <c r="AI19" s="334"/>
      <c r="AJ19" s="334"/>
      <c r="AK19" s="334"/>
      <c r="AL19" s="334"/>
      <c r="AM19" s="335"/>
      <c r="AN19" s="198"/>
      <c r="AO19" s="333" t="str">
        <f>IFERROR(INDEX(Table59[],MATCH('Combined Sizer'!$M$3,Table59[Record ID],0),MATCH("Post-Rehab Sq. Ft.",Table59[#Headers],0)),"")</f>
        <v/>
      </c>
      <c r="AP19" s="334"/>
      <c r="AQ19" s="334"/>
      <c r="AR19" s="334"/>
      <c r="AS19" s="334"/>
      <c r="AT19" s="334"/>
      <c r="AU19" s="334"/>
      <c r="AV19" s="334"/>
      <c r="AW19" s="335"/>
      <c r="AX19" s="198"/>
      <c r="AY19" s="349" t="str">
        <f>IFERROR(INDEX(Table59[],MATCH('Combined Sizer'!$M$3,Table59[Record ID],0),MATCH("Number of Units",Table59[#Headers],0)),"")</f>
        <v/>
      </c>
      <c r="AZ19" s="349"/>
      <c r="BA19" s="349"/>
      <c r="BB19" s="349"/>
      <c r="BC19" s="349"/>
      <c r="BD19" s="349"/>
      <c r="BE19" s="349"/>
      <c r="BF19" s="349"/>
      <c r="BG19" s="349"/>
      <c r="BH19" s="198"/>
      <c r="BI19" s="198"/>
      <c r="BJ19" s="200"/>
      <c r="BK19" s="158"/>
      <c r="BL19" s="158"/>
      <c r="BM19" s="173"/>
      <c r="BN19" s="158"/>
      <c r="BO19" s="158"/>
      <c r="BP19" s="196"/>
      <c r="BQ19" s="198"/>
      <c r="BR19" s="316">
        <v>150000</v>
      </c>
      <c r="BS19" s="316"/>
      <c r="BT19" s="316"/>
      <c r="BU19" s="316"/>
      <c r="BV19" s="316"/>
      <c r="BW19" s="316"/>
      <c r="BX19" s="316"/>
      <c r="BY19" s="316"/>
      <c r="BZ19" s="316"/>
      <c r="CA19" s="198"/>
      <c r="CB19" s="198"/>
      <c r="CC19" s="198"/>
      <c r="CD19" s="199"/>
      <c r="CE19" s="198"/>
      <c r="CF19" s="198"/>
      <c r="CG19" s="198"/>
      <c r="CH19" s="198"/>
      <c r="CI19" s="198"/>
      <c r="CJ19" s="198"/>
      <c r="CK19" s="198"/>
      <c r="CL19" s="198"/>
      <c r="CM19" s="198"/>
      <c r="CN19" s="198"/>
      <c r="CO19" s="198"/>
      <c r="CP19" s="198"/>
      <c r="CQ19" s="198"/>
      <c r="CR19" s="198"/>
      <c r="CS19" s="198"/>
      <c r="CT19" s="199"/>
      <c r="CU19" s="198"/>
      <c r="CV19" s="198"/>
      <c r="CW19" s="198"/>
      <c r="CX19" s="318">
        <v>3128</v>
      </c>
      <c r="CY19" s="318"/>
      <c r="CZ19" s="318"/>
      <c r="DA19" s="318"/>
      <c r="DB19" s="318"/>
      <c r="DC19" s="318"/>
      <c r="DD19" s="318"/>
      <c r="DE19" s="318"/>
      <c r="DF19" s="318"/>
      <c r="DG19" s="198"/>
      <c r="DH19" s="318">
        <v>3128</v>
      </c>
      <c r="DI19" s="318"/>
      <c r="DJ19" s="318"/>
      <c r="DK19" s="318"/>
      <c r="DL19" s="318"/>
      <c r="DM19" s="318"/>
      <c r="DN19" s="318"/>
      <c r="DO19" s="318"/>
      <c r="DP19" s="318"/>
      <c r="DQ19" s="198"/>
      <c r="DR19" s="317">
        <v>1</v>
      </c>
      <c r="DS19" s="317"/>
      <c r="DT19" s="317"/>
      <c r="DU19" s="317"/>
      <c r="DV19" s="317"/>
      <c r="DW19" s="317"/>
      <c r="DX19" s="317"/>
      <c r="DY19" s="317"/>
      <c r="DZ19" s="317"/>
      <c r="EA19" s="198"/>
      <c r="EB19" s="198"/>
      <c r="EC19" s="200"/>
      <c r="ED19" s="158"/>
      <c r="EE19" s="158"/>
      <c r="EF19" s="158"/>
    </row>
    <row r="20" spans="1:136" ht="9.9" customHeight="1" x14ac:dyDescent="0.3">
      <c r="A20" s="158"/>
      <c r="B20" s="158"/>
      <c r="C20" s="196"/>
      <c r="D20" s="198"/>
      <c r="E20" s="236"/>
      <c r="F20" s="236"/>
      <c r="G20" s="236"/>
      <c r="H20" s="236"/>
      <c r="I20" s="236"/>
      <c r="J20" s="236"/>
      <c r="K20" s="236"/>
      <c r="L20" s="236"/>
      <c r="M20" s="236"/>
      <c r="N20" s="236"/>
      <c r="O20" s="198"/>
      <c r="P20" s="198"/>
      <c r="Q20" s="199"/>
      <c r="R20" s="198"/>
      <c r="S20" s="198"/>
      <c r="T20" s="198"/>
      <c r="U20" s="198"/>
      <c r="V20" s="198"/>
      <c r="W20" s="198"/>
      <c r="X20" s="198"/>
      <c r="Y20" s="198"/>
      <c r="Z20" s="198"/>
      <c r="AA20" s="198"/>
      <c r="AB20" s="198"/>
      <c r="AC20" s="199"/>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198"/>
      <c r="BG20" s="198"/>
      <c r="BH20" s="198"/>
      <c r="BI20" s="198"/>
      <c r="BJ20" s="200"/>
      <c r="BK20" s="158"/>
      <c r="BL20" s="158"/>
      <c r="BM20" s="173"/>
      <c r="BN20" s="158"/>
      <c r="BO20" s="158"/>
      <c r="BP20" s="196"/>
      <c r="BQ20" s="198"/>
      <c r="BR20" s="206"/>
      <c r="BS20" s="206"/>
      <c r="BT20" s="206"/>
      <c r="BU20" s="206"/>
      <c r="BV20" s="206"/>
      <c r="BW20" s="206"/>
      <c r="BX20" s="206"/>
      <c r="BY20" s="206"/>
      <c r="BZ20" s="206"/>
      <c r="CA20" s="198"/>
      <c r="CB20" s="198"/>
      <c r="CC20" s="198"/>
      <c r="CD20" s="199"/>
      <c r="CE20" s="198"/>
      <c r="CF20" s="198"/>
      <c r="CG20" s="198"/>
      <c r="CH20" s="198"/>
      <c r="CI20" s="198"/>
      <c r="CJ20" s="198"/>
      <c r="CK20" s="198"/>
      <c r="CL20" s="198"/>
      <c r="CM20" s="198"/>
      <c r="CN20" s="198"/>
      <c r="CO20" s="198"/>
      <c r="CP20" s="198"/>
      <c r="CQ20" s="198"/>
      <c r="CR20" s="198"/>
      <c r="CS20" s="198"/>
      <c r="CT20" s="199"/>
      <c r="CU20" s="198"/>
      <c r="CV20" s="198"/>
      <c r="CW20" s="198"/>
      <c r="CX20" s="206"/>
      <c r="CY20" s="206"/>
      <c r="CZ20" s="206"/>
      <c r="DA20" s="206"/>
      <c r="DB20" s="206"/>
      <c r="DC20" s="206"/>
      <c r="DD20" s="206"/>
      <c r="DE20" s="206"/>
      <c r="DF20" s="206"/>
      <c r="DG20" s="198"/>
      <c r="DH20" s="206"/>
      <c r="DI20" s="206"/>
      <c r="DJ20" s="206"/>
      <c r="DK20" s="206"/>
      <c r="DL20" s="206"/>
      <c r="DM20" s="206"/>
      <c r="DN20" s="206"/>
      <c r="DO20" s="206"/>
      <c r="DP20" s="206"/>
      <c r="DQ20" s="198"/>
      <c r="DR20" s="231"/>
      <c r="DS20" s="231"/>
      <c r="DT20" s="231"/>
      <c r="DU20" s="231"/>
      <c r="DV20" s="231"/>
      <c r="DW20" s="231"/>
      <c r="DX20" s="231"/>
      <c r="DY20" s="231"/>
      <c r="DZ20" s="231"/>
      <c r="EA20" s="198"/>
      <c r="EB20" s="198"/>
      <c r="EC20" s="200"/>
      <c r="ED20" s="158"/>
      <c r="EE20" s="158"/>
      <c r="EF20" s="158"/>
    </row>
    <row r="21" spans="1:136" x14ac:dyDescent="0.3">
      <c r="A21" s="158"/>
      <c r="B21" s="158"/>
      <c r="C21" s="196"/>
      <c r="D21" s="198"/>
      <c r="E21" s="302" t="s">
        <v>129</v>
      </c>
      <c r="F21" s="303"/>
      <c r="G21" s="303"/>
      <c r="H21" s="303"/>
      <c r="I21" s="303"/>
      <c r="J21" s="303"/>
      <c r="K21" s="303"/>
      <c r="L21" s="303"/>
      <c r="M21" s="303"/>
      <c r="N21" s="304"/>
      <c r="O21" s="198"/>
      <c r="P21" s="198"/>
      <c r="Q21" s="199"/>
      <c r="R21" s="198"/>
      <c r="S21" s="198"/>
      <c r="T21" s="198"/>
      <c r="U21" s="198"/>
      <c r="V21" s="198"/>
      <c r="W21" s="198"/>
      <c r="X21" s="198"/>
      <c r="Y21" s="198"/>
      <c r="Z21" s="198"/>
      <c r="AA21" s="198"/>
      <c r="AB21" s="198"/>
      <c r="AC21" s="199"/>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8"/>
      <c r="BE21" s="198"/>
      <c r="BF21" s="198"/>
      <c r="BG21" s="198"/>
      <c r="BH21" s="198"/>
      <c r="BI21" s="198"/>
      <c r="BJ21" s="200"/>
      <c r="BK21" s="158"/>
      <c r="BL21" s="158"/>
      <c r="BM21" s="173"/>
      <c r="BN21" s="158"/>
      <c r="BO21" s="158"/>
      <c r="BP21" s="196"/>
      <c r="BQ21" s="198"/>
      <c r="BR21" s="206"/>
      <c r="BS21" s="206"/>
      <c r="BT21" s="206"/>
      <c r="BU21" s="206"/>
      <c r="BV21" s="206"/>
      <c r="BW21" s="206"/>
      <c r="BX21" s="206"/>
      <c r="BY21" s="206"/>
      <c r="BZ21" s="206"/>
      <c r="CA21" s="198"/>
      <c r="CB21" s="198"/>
      <c r="CC21" s="198"/>
      <c r="CD21" s="199"/>
      <c r="CE21" s="198"/>
      <c r="CF21" s="198"/>
      <c r="CG21" s="198"/>
      <c r="CH21" s="198"/>
      <c r="CI21" s="198"/>
      <c r="CJ21" s="198"/>
      <c r="CK21" s="198"/>
      <c r="CL21" s="198"/>
      <c r="CM21" s="198"/>
      <c r="CN21" s="198"/>
      <c r="CO21" s="198"/>
      <c r="CP21" s="198"/>
      <c r="CQ21" s="198"/>
      <c r="CR21" s="198"/>
      <c r="CS21" s="198"/>
      <c r="CT21" s="199"/>
      <c r="CU21" s="198"/>
      <c r="CV21" s="198"/>
      <c r="CW21" s="198"/>
      <c r="CX21" s="206"/>
      <c r="CY21" s="206"/>
      <c r="CZ21" s="206"/>
      <c r="DA21" s="206"/>
      <c r="DB21" s="206"/>
      <c r="DC21" s="206"/>
      <c r="DD21" s="206"/>
      <c r="DE21" s="206"/>
      <c r="DF21" s="206"/>
      <c r="DG21" s="198"/>
      <c r="DH21" s="206"/>
      <c r="DI21" s="206"/>
      <c r="DJ21" s="206"/>
      <c r="DK21" s="206"/>
      <c r="DL21" s="206"/>
      <c r="DM21" s="206"/>
      <c r="DN21" s="206"/>
      <c r="DO21" s="206"/>
      <c r="DP21" s="206"/>
      <c r="DQ21" s="198"/>
      <c r="DR21" s="231"/>
      <c r="DS21" s="231"/>
      <c r="DT21" s="231"/>
      <c r="DU21" s="231"/>
      <c r="DV21" s="231"/>
      <c r="DW21" s="231"/>
      <c r="DX21" s="231"/>
      <c r="DY21" s="231"/>
      <c r="DZ21" s="231"/>
      <c r="EA21" s="198"/>
      <c r="EB21" s="198"/>
      <c r="EC21" s="200"/>
      <c r="ED21" s="158"/>
      <c r="EE21" s="158"/>
      <c r="EF21" s="158"/>
    </row>
    <row r="22" spans="1:136" x14ac:dyDescent="0.3">
      <c r="A22" s="158"/>
      <c r="B22" s="158"/>
      <c r="C22" s="196"/>
      <c r="D22" s="198"/>
      <c r="E22" s="319" t="str">
        <f>IFERROR(INDEX(Table59[],MATCH('Combined Sizer'!$M$3,Table59[Record ID],0),MATCH("Cash Reserves",Table59[#Headers],0)),"")</f>
        <v/>
      </c>
      <c r="F22" s="320"/>
      <c r="G22" s="320"/>
      <c r="H22" s="320"/>
      <c r="I22" s="320"/>
      <c r="J22" s="320"/>
      <c r="K22" s="320"/>
      <c r="L22" s="320"/>
      <c r="M22" s="320"/>
      <c r="N22" s="321"/>
      <c r="O22" s="198"/>
      <c r="P22" s="198"/>
      <c r="Q22" s="199"/>
      <c r="R22" s="198"/>
      <c r="S22" s="198"/>
      <c r="T22" s="198"/>
      <c r="U22" s="198"/>
      <c r="V22" s="198"/>
      <c r="W22" s="198"/>
      <c r="X22" s="198"/>
      <c r="Y22" s="198"/>
      <c r="Z22" s="198"/>
      <c r="AA22" s="198"/>
      <c r="AB22" s="198"/>
      <c r="AC22" s="199"/>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200"/>
      <c r="BK22" s="158"/>
      <c r="BL22" s="158"/>
      <c r="BM22" s="173"/>
      <c r="BN22" s="158"/>
      <c r="BO22" s="158"/>
      <c r="BP22" s="196"/>
      <c r="BQ22" s="198"/>
      <c r="BR22" s="206"/>
      <c r="BS22" s="206"/>
      <c r="BT22" s="206"/>
      <c r="BU22" s="206"/>
      <c r="BV22" s="206"/>
      <c r="BW22" s="206"/>
      <c r="BX22" s="206"/>
      <c r="BY22" s="206"/>
      <c r="BZ22" s="206"/>
      <c r="CA22" s="198"/>
      <c r="CB22" s="198"/>
      <c r="CC22" s="198"/>
      <c r="CD22" s="199"/>
      <c r="CE22" s="198"/>
      <c r="CF22" s="198"/>
      <c r="CG22" s="198"/>
      <c r="CH22" s="198"/>
      <c r="CI22" s="198"/>
      <c r="CJ22" s="198"/>
      <c r="CK22" s="198"/>
      <c r="CL22" s="198"/>
      <c r="CM22" s="198"/>
      <c r="CN22" s="198"/>
      <c r="CO22" s="198"/>
      <c r="CP22" s="198"/>
      <c r="CQ22" s="198"/>
      <c r="CR22" s="198"/>
      <c r="CS22" s="198"/>
      <c r="CT22" s="199"/>
      <c r="CU22" s="198"/>
      <c r="CV22" s="198"/>
      <c r="CW22" s="198"/>
      <c r="CX22" s="206"/>
      <c r="CY22" s="206"/>
      <c r="CZ22" s="206"/>
      <c r="DA22" s="206"/>
      <c r="DB22" s="206"/>
      <c r="DC22" s="206"/>
      <c r="DD22" s="206"/>
      <c r="DE22" s="206"/>
      <c r="DF22" s="206"/>
      <c r="DG22" s="198"/>
      <c r="DH22" s="206"/>
      <c r="DI22" s="206"/>
      <c r="DJ22" s="206"/>
      <c r="DK22" s="206"/>
      <c r="DL22" s="206"/>
      <c r="DM22" s="206"/>
      <c r="DN22" s="206"/>
      <c r="DO22" s="206"/>
      <c r="DP22" s="206"/>
      <c r="DQ22" s="198"/>
      <c r="DR22" s="231"/>
      <c r="DS22" s="231"/>
      <c r="DT22" s="231"/>
      <c r="DU22" s="231"/>
      <c r="DV22" s="231"/>
      <c r="DW22" s="231"/>
      <c r="DX22" s="231"/>
      <c r="DY22" s="231"/>
      <c r="DZ22" s="231"/>
      <c r="EA22" s="198"/>
      <c r="EB22" s="198"/>
      <c r="EC22" s="200"/>
      <c r="ED22" s="158"/>
      <c r="EE22" s="158"/>
      <c r="EF22" s="158"/>
    </row>
    <row r="23" spans="1:136" ht="6.9" customHeight="1" x14ac:dyDescent="0.3">
      <c r="A23" s="158"/>
      <c r="B23" s="158"/>
      <c r="C23" s="202"/>
      <c r="D23" s="203"/>
      <c r="E23" s="203"/>
      <c r="F23" s="203"/>
      <c r="G23" s="203"/>
      <c r="H23" s="203"/>
      <c r="I23" s="203"/>
      <c r="J23" s="203"/>
      <c r="K23" s="203"/>
      <c r="L23" s="203"/>
      <c r="M23" s="203"/>
      <c r="N23" s="203"/>
      <c r="O23" s="203"/>
      <c r="P23" s="203"/>
      <c r="Q23" s="203"/>
      <c r="R23" s="203"/>
      <c r="S23" s="203"/>
      <c r="T23" s="203"/>
      <c r="U23" s="203"/>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3"/>
      <c r="AU23" s="203"/>
      <c r="AV23" s="203"/>
      <c r="AW23" s="203"/>
      <c r="AX23" s="203"/>
      <c r="AY23" s="203"/>
      <c r="AZ23" s="203"/>
      <c r="BA23" s="203"/>
      <c r="BB23" s="203"/>
      <c r="BC23" s="203"/>
      <c r="BD23" s="203"/>
      <c r="BE23" s="203"/>
      <c r="BF23" s="203"/>
      <c r="BG23" s="203"/>
      <c r="BH23" s="203"/>
      <c r="BI23" s="203"/>
      <c r="BJ23" s="204"/>
      <c r="BK23" s="158"/>
      <c r="BL23" s="158"/>
      <c r="BM23" s="173"/>
      <c r="BN23" s="158"/>
      <c r="BO23" s="158"/>
      <c r="BP23" s="202"/>
      <c r="BQ23" s="203"/>
      <c r="BR23" s="203"/>
      <c r="BS23" s="203"/>
      <c r="BT23" s="203"/>
      <c r="BU23" s="203"/>
      <c r="BV23" s="203"/>
      <c r="BW23" s="203"/>
      <c r="BX23" s="203"/>
      <c r="BY23" s="203"/>
      <c r="BZ23" s="203"/>
      <c r="CA23" s="203"/>
      <c r="CB23" s="203"/>
      <c r="CC23" s="203"/>
      <c r="CD23" s="203"/>
      <c r="CE23" s="203"/>
      <c r="CF23" s="203"/>
      <c r="CG23" s="203"/>
      <c r="CH23" s="203"/>
      <c r="CI23" s="203"/>
      <c r="CJ23" s="203"/>
      <c r="CK23" s="203"/>
      <c r="CL23" s="203"/>
      <c r="CM23" s="203"/>
      <c r="CN23" s="203"/>
      <c r="CO23" s="203"/>
      <c r="CP23" s="203"/>
      <c r="CQ23" s="203"/>
      <c r="CR23" s="203"/>
      <c r="CS23" s="203"/>
      <c r="CT23" s="203"/>
      <c r="CU23" s="203"/>
      <c r="CV23" s="203"/>
      <c r="CW23" s="203"/>
      <c r="CX23" s="203"/>
      <c r="CY23" s="203"/>
      <c r="CZ23" s="203"/>
      <c r="DA23" s="203"/>
      <c r="DB23" s="203"/>
      <c r="DC23" s="203"/>
      <c r="DD23" s="203"/>
      <c r="DE23" s="203"/>
      <c r="DF23" s="203"/>
      <c r="DG23" s="203"/>
      <c r="DH23" s="203"/>
      <c r="DI23" s="203"/>
      <c r="DJ23" s="203"/>
      <c r="DK23" s="203"/>
      <c r="DL23" s="203"/>
      <c r="DM23" s="203"/>
      <c r="DN23" s="203"/>
      <c r="DO23" s="203"/>
      <c r="DP23" s="203"/>
      <c r="DQ23" s="203"/>
      <c r="DR23" s="203"/>
      <c r="DS23" s="203"/>
      <c r="DT23" s="203"/>
      <c r="DU23" s="203"/>
      <c r="DV23" s="203"/>
      <c r="DW23" s="203"/>
      <c r="DX23" s="203"/>
      <c r="DY23" s="203"/>
      <c r="DZ23" s="203"/>
      <c r="EA23" s="203"/>
      <c r="EB23" s="203"/>
      <c r="EC23" s="204"/>
      <c r="ED23" s="158"/>
      <c r="EE23" s="158"/>
      <c r="EF23" s="158"/>
    </row>
    <row r="24" spans="1:136" x14ac:dyDescent="0.3">
      <c r="A24" s="158"/>
      <c r="B24" s="158"/>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c r="AF24" s="186"/>
      <c r="AG24" s="186"/>
      <c r="AH24" s="186"/>
      <c r="AI24" s="186"/>
      <c r="AJ24" s="186"/>
      <c r="AK24" s="186"/>
      <c r="AL24" s="186"/>
      <c r="AM24" s="186"/>
      <c r="AN24" s="186"/>
      <c r="AO24" s="186"/>
      <c r="AP24" s="186"/>
      <c r="AQ24" s="186"/>
      <c r="AR24" s="186"/>
      <c r="AS24" s="186"/>
      <c r="AT24" s="186"/>
      <c r="AU24" s="186"/>
      <c r="AV24" s="186"/>
      <c r="AW24" s="186"/>
      <c r="AX24" s="186"/>
      <c r="AY24" s="186"/>
      <c r="AZ24" s="186"/>
      <c r="BA24" s="186"/>
      <c r="BB24" s="186"/>
      <c r="BC24" s="186"/>
      <c r="BD24" s="186"/>
      <c r="BE24" s="186"/>
      <c r="BF24" s="186"/>
      <c r="BG24" s="186"/>
      <c r="BH24" s="186"/>
      <c r="BI24" s="186"/>
      <c r="BJ24" s="186"/>
      <c r="BK24" s="158"/>
      <c r="BL24" s="158"/>
      <c r="BM24" s="173"/>
      <c r="BN24" s="158"/>
      <c r="BO24" s="158"/>
      <c r="BP24" s="158"/>
      <c r="BQ24" s="158"/>
      <c r="BR24" s="158"/>
      <c r="BS24" s="158"/>
      <c r="BT24" s="158"/>
      <c r="BU24" s="158"/>
      <c r="BV24" s="158"/>
      <c r="BW24" s="158"/>
      <c r="BX24" s="158"/>
      <c r="BY24" s="158"/>
      <c r="BZ24" s="158"/>
      <c r="CA24" s="158"/>
      <c r="CB24" s="158"/>
      <c r="CC24" s="158"/>
      <c r="CD24" s="158"/>
      <c r="CE24" s="158"/>
      <c r="CF24" s="158"/>
      <c r="CG24" s="158"/>
      <c r="CH24" s="158"/>
      <c r="CI24" s="158"/>
      <c r="CJ24" s="158"/>
      <c r="CK24" s="158"/>
      <c r="CL24" s="158"/>
      <c r="CM24" s="158"/>
      <c r="CN24" s="158"/>
      <c r="CO24" s="158"/>
      <c r="CP24" s="158"/>
      <c r="CQ24" s="158"/>
      <c r="CR24" s="158"/>
      <c r="CS24" s="158"/>
      <c r="CT24" s="158"/>
      <c r="CU24" s="158"/>
      <c r="CV24" s="158"/>
      <c r="CW24" s="158"/>
      <c r="CX24" s="158"/>
      <c r="CY24" s="158"/>
      <c r="CZ24" s="158"/>
      <c r="DA24" s="158"/>
      <c r="DB24" s="158"/>
      <c r="DC24" s="158"/>
      <c r="DD24" s="158"/>
      <c r="DE24" s="158"/>
      <c r="DF24" s="158"/>
      <c r="DG24" s="158"/>
      <c r="DH24" s="158"/>
      <c r="DI24" s="158"/>
      <c r="DJ24" s="158"/>
      <c r="DK24" s="158"/>
      <c r="DL24" s="158"/>
      <c r="DM24" s="158"/>
      <c r="DN24" s="158"/>
      <c r="DO24" s="158"/>
      <c r="DP24" s="158"/>
      <c r="DQ24" s="158"/>
      <c r="DR24" s="158"/>
      <c r="DS24" s="158"/>
      <c r="DT24" s="158"/>
      <c r="DU24" s="158"/>
      <c r="DV24" s="158"/>
      <c r="DW24" s="158"/>
      <c r="DX24" s="158"/>
      <c r="DY24" s="158"/>
      <c r="DZ24" s="158"/>
      <c r="EA24" s="158"/>
      <c r="EB24" s="158"/>
      <c r="EC24" s="158"/>
      <c r="ED24" s="158"/>
      <c r="EE24" s="158"/>
      <c r="EF24" s="158"/>
    </row>
    <row r="25" spans="1:136" s="189" customFormat="1" ht="23.4" x14ac:dyDescent="0.3">
      <c r="A25" s="240"/>
      <c r="B25" s="240"/>
      <c r="C25" s="331" t="s">
        <v>425</v>
      </c>
      <c r="D25" s="331"/>
      <c r="E25" s="331"/>
      <c r="F25" s="331"/>
      <c r="G25" s="331"/>
      <c r="H25" s="331"/>
      <c r="I25" s="331"/>
      <c r="J25" s="331"/>
      <c r="K25" s="331"/>
      <c r="L25" s="331"/>
      <c r="M25" s="331"/>
      <c r="N25" s="331"/>
      <c r="O25" s="331"/>
      <c r="P25" s="331"/>
      <c r="Q25" s="331"/>
      <c r="R25" s="331"/>
      <c r="S25" s="331"/>
      <c r="T25" s="331"/>
      <c r="U25" s="331"/>
      <c r="V25" s="331"/>
      <c r="W25" s="331"/>
      <c r="X25" s="331"/>
      <c r="Y25" s="331"/>
      <c r="Z25" s="331"/>
      <c r="AA25" s="331"/>
      <c r="AB25" s="331"/>
      <c r="AC25" s="331"/>
      <c r="AD25" s="331"/>
      <c r="AE25" s="331"/>
      <c r="AF25" s="331"/>
      <c r="AG25" s="331"/>
      <c r="AH25" s="331"/>
      <c r="AI25" s="331"/>
      <c r="AJ25" s="331"/>
      <c r="AK25" s="331"/>
      <c r="AL25" s="331"/>
      <c r="AM25" s="331"/>
      <c r="AN25" s="331"/>
      <c r="AO25" s="331"/>
      <c r="AP25" s="331"/>
      <c r="AQ25" s="331"/>
      <c r="AR25" s="331"/>
      <c r="AS25" s="331"/>
      <c r="AT25" s="331"/>
      <c r="AU25" s="331"/>
      <c r="AV25" s="331"/>
      <c r="AW25" s="331"/>
      <c r="AX25" s="331"/>
      <c r="AY25" s="331"/>
      <c r="AZ25" s="331"/>
      <c r="BA25" s="331"/>
      <c r="BB25" s="331"/>
      <c r="BC25" s="331"/>
      <c r="BD25" s="331"/>
      <c r="BE25" s="331"/>
      <c r="BF25" s="331"/>
      <c r="BG25" s="331"/>
      <c r="BH25" s="331"/>
      <c r="BI25" s="331"/>
      <c r="BJ25" s="331"/>
      <c r="BK25" s="240"/>
      <c r="BL25" s="240"/>
      <c r="BM25" s="246"/>
      <c r="BN25" s="240"/>
      <c r="BO25" s="240"/>
      <c r="BP25" s="331" t="s">
        <v>425</v>
      </c>
      <c r="BQ25" s="331"/>
      <c r="BR25" s="331"/>
      <c r="BS25" s="331"/>
      <c r="BT25" s="331"/>
      <c r="BU25" s="331"/>
      <c r="BV25" s="331"/>
      <c r="BW25" s="331"/>
      <c r="BX25" s="331"/>
      <c r="BY25" s="331"/>
      <c r="BZ25" s="331"/>
      <c r="CA25" s="331"/>
      <c r="CB25" s="331"/>
      <c r="CC25" s="331"/>
      <c r="CD25" s="331"/>
      <c r="CE25" s="331"/>
      <c r="CF25" s="331"/>
      <c r="CG25" s="331"/>
      <c r="CH25" s="331"/>
      <c r="CI25" s="331"/>
      <c r="CJ25" s="331"/>
      <c r="CK25" s="331"/>
      <c r="CL25" s="331"/>
      <c r="CM25" s="331"/>
      <c r="CN25" s="331"/>
      <c r="CO25" s="331"/>
      <c r="CP25" s="331"/>
      <c r="CQ25" s="331"/>
      <c r="CR25" s="331"/>
      <c r="CS25" s="331"/>
      <c r="CT25" s="331"/>
      <c r="CU25" s="331"/>
      <c r="CV25" s="331"/>
      <c r="CW25" s="331"/>
      <c r="CX25" s="331"/>
      <c r="CY25" s="331"/>
      <c r="CZ25" s="331"/>
      <c r="DA25" s="331"/>
      <c r="DB25" s="331"/>
      <c r="DC25" s="331"/>
      <c r="DD25" s="331"/>
      <c r="DE25" s="331"/>
      <c r="DF25" s="331"/>
      <c r="DG25" s="331"/>
      <c r="DH25" s="331"/>
      <c r="DI25" s="331"/>
      <c r="DJ25" s="331"/>
      <c r="DK25" s="331"/>
      <c r="DL25" s="331"/>
      <c r="DM25" s="331"/>
      <c r="DN25" s="331"/>
      <c r="DO25" s="331"/>
      <c r="DP25" s="331"/>
      <c r="DQ25" s="331"/>
      <c r="DR25" s="331"/>
      <c r="DS25" s="331"/>
      <c r="DT25" s="331"/>
      <c r="DU25" s="331"/>
      <c r="DV25" s="331"/>
      <c r="DW25" s="331"/>
      <c r="DX25" s="331"/>
      <c r="DY25" s="331"/>
      <c r="DZ25" s="331"/>
      <c r="EA25" s="331"/>
      <c r="EB25" s="331"/>
      <c r="EC25" s="331"/>
      <c r="ED25" s="240"/>
      <c r="EE25" s="240"/>
      <c r="EF25" s="240"/>
    </row>
    <row r="26" spans="1:136" ht="12" customHeight="1" x14ac:dyDescent="0.3">
      <c r="A26" s="158"/>
      <c r="B26" s="158"/>
      <c r="C26" s="196"/>
      <c r="D26" s="198"/>
      <c r="E26" s="198"/>
      <c r="F26" s="198"/>
      <c r="G26" s="198"/>
      <c r="H26" s="198"/>
      <c r="I26" s="198"/>
      <c r="J26" s="198"/>
      <c r="K26" s="198"/>
      <c r="L26" s="198"/>
      <c r="M26" s="198"/>
      <c r="N26" s="198"/>
      <c r="O26" s="198"/>
      <c r="P26" s="198"/>
      <c r="Q26" s="198"/>
      <c r="R26" s="198"/>
      <c r="S26" s="198"/>
      <c r="T26" s="198"/>
      <c r="U26" s="198"/>
      <c r="V26" s="198"/>
      <c r="W26" s="198"/>
      <c r="X26" s="198"/>
      <c r="Y26" s="198"/>
      <c r="Z26" s="198"/>
      <c r="AA26" s="198"/>
      <c r="AB26" s="198"/>
      <c r="AC26" s="198"/>
      <c r="AD26" s="198"/>
      <c r="AE26" s="198"/>
      <c r="AF26" s="198"/>
      <c r="AG26" s="198"/>
      <c r="AH26" s="198"/>
      <c r="AI26" s="198"/>
      <c r="AJ26" s="198"/>
      <c r="AK26" s="198"/>
      <c r="AL26" s="198"/>
      <c r="AM26" s="198"/>
      <c r="AN26" s="198"/>
      <c r="AO26" s="198"/>
      <c r="AP26" s="198"/>
      <c r="AQ26" s="198"/>
      <c r="AR26" s="198"/>
      <c r="AS26" s="198"/>
      <c r="AT26" s="198"/>
      <c r="AU26" s="198"/>
      <c r="AV26" s="198"/>
      <c r="AW26" s="198"/>
      <c r="AX26" s="198"/>
      <c r="AY26" s="198"/>
      <c r="AZ26" s="198"/>
      <c r="BA26" s="198"/>
      <c r="BB26" s="198"/>
      <c r="BC26" s="198"/>
      <c r="BD26" s="198"/>
      <c r="BE26" s="198"/>
      <c r="BF26" s="198"/>
      <c r="BG26" s="198"/>
      <c r="BH26" s="198"/>
      <c r="BI26" s="198"/>
      <c r="BJ26" s="200"/>
      <c r="BK26" s="158"/>
      <c r="BL26" s="158"/>
      <c r="BM26" s="173"/>
      <c r="BN26" s="158"/>
      <c r="BO26" s="158"/>
      <c r="ED26" s="158"/>
      <c r="EE26" s="158"/>
      <c r="EF26" s="158"/>
    </row>
    <row r="27" spans="1:136" s="189" customFormat="1" ht="21" x14ac:dyDescent="0.3">
      <c r="A27" s="240"/>
      <c r="B27" s="240"/>
      <c r="C27" s="242"/>
      <c r="D27" s="351" t="s">
        <v>367</v>
      </c>
      <c r="E27" s="352"/>
      <c r="F27" s="352"/>
      <c r="G27" s="352"/>
      <c r="H27" s="352"/>
      <c r="I27" s="352"/>
      <c r="J27" s="352"/>
      <c r="K27" s="352"/>
      <c r="L27" s="352"/>
      <c r="M27" s="352"/>
      <c r="N27" s="352"/>
      <c r="O27" s="352"/>
      <c r="P27" s="352"/>
      <c r="Q27" s="352"/>
      <c r="R27" s="352"/>
      <c r="S27" s="352"/>
      <c r="T27" s="352"/>
      <c r="U27" s="352"/>
      <c r="V27" s="352"/>
      <c r="W27" s="352"/>
      <c r="X27" s="352"/>
      <c r="Y27" s="352"/>
      <c r="Z27" s="352"/>
      <c r="AA27" s="352"/>
      <c r="AB27" s="352"/>
      <c r="AC27" s="352"/>
      <c r="AD27" s="352"/>
      <c r="AE27" s="352"/>
      <c r="AF27" s="352"/>
      <c r="AG27" s="352"/>
      <c r="AH27" s="352"/>
      <c r="AI27" s="352"/>
      <c r="AJ27" s="352"/>
      <c r="AK27" s="352"/>
      <c r="AL27" s="352"/>
      <c r="AM27" s="352"/>
      <c r="AN27" s="352"/>
      <c r="AO27" s="352"/>
      <c r="AP27" s="352"/>
      <c r="AQ27" s="352"/>
      <c r="AR27" s="352"/>
      <c r="AS27" s="352"/>
      <c r="AT27" s="352"/>
      <c r="AU27" s="352"/>
      <c r="AV27" s="352"/>
      <c r="AW27" s="352"/>
      <c r="AX27" s="352"/>
      <c r="AY27" s="352"/>
      <c r="AZ27" s="352"/>
      <c r="BA27" s="352"/>
      <c r="BB27" s="352"/>
      <c r="BC27" s="352"/>
      <c r="BD27" s="352"/>
      <c r="BE27" s="352"/>
      <c r="BF27" s="352"/>
      <c r="BG27" s="352"/>
      <c r="BH27" s="352"/>
      <c r="BI27" s="353"/>
      <c r="BJ27" s="244"/>
      <c r="BK27" s="240"/>
      <c r="BL27" s="240"/>
      <c r="BM27" s="246"/>
      <c r="BN27" s="240"/>
      <c r="BO27" s="240"/>
      <c r="BQ27" s="354" t="s">
        <v>367</v>
      </c>
      <c r="BR27" s="354"/>
      <c r="BS27" s="354"/>
      <c r="BT27" s="354"/>
      <c r="BU27" s="354"/>
      <c r="BV27" s="354"/>
      <c r="BW27" s="354"/>
      <c r="BX27" s="354"/>
      <c r="BY27" s="354"/>
      <c r="BZ27" s="354"/>
      <c r="CA27" s="354"/>
      <c r="CB27" s="354"/>
      <c r="CC27" s="354"/>
      <c r="CD27" s="354"/>
      <c r="CE27" s="354"/>
      <c r="CF27" s="354"/>
      <c r="CG27" s="354"/>
      <c r="CH27" s="354"/>
      <c r="CI27" s="354"/>
      <c r="CJ27" s="354"/>
      <c r="CK27" s="354"/>
      <c r="CL27" s="354"/>
      <c r="CM27" s="354"/>
      <c r="CN27" s="354"/>
      <c r="CO27" s="354"/>
      <c r="CP27" s="354"/>
      <c r="CQ27" s="354"/>
      <c r="CR27" s="354"/>
      <c r="CS27" s="354"/>
      <c r="CT27" s="354"/>
      <c r="CU27" s="354"/>
      <c r="CV27" s="354"/>
      <c r="CW27" s="354"/>
      <c r="CX27" s="354"/>
      <c r="CY27" s="354"/>
      <c r="CZ27" s="354"/>
      <c r="DA27" s="354"/>
      <c r="DB27" s="354"/>
      <c r="DC27" s="354"/>
      <c r="DD27" s="354"/>
      <c r="DE27" s="354"/>
      <c r="DF27" s="354"/>
      <c r="DG27" s="354"/>
      <c r="DH27" s="354"/>
      <c r="DI27" s="354"/>
      <c r="DJ27" s="354"/>
      <c r="DK27" s="354"/>
      <c r="DL27" s="354"/>
      <c r="DM27" s="354"/>
      <c r="DN27" s="354"/>
      <c r="DO27" s="354"/>
      <c r="DP27" s="354"/>
      <c r="DQ27" s="354"/>
      <c r="DR27" s="354"/>
      <c r="DS27" s="354"/>
      <c r="DT27" s="354"/>
      <c r="DU27" s="354"/>
      <c r="DV27" s="354"/>
      <c r="DW27" s="354"/>
      <c r="DX27" s="354"/>
      <c r="DY27" s="354"/>
      <c r="DZ27" s="354"/>
      <c r="EA27" s="354"/>
      <c r="EB27" s="354"/>
      <c r="ED27" s="240"/>
      <c r="EE27" s="240"/>
      <c r="EF27" s="240"/>
    </row>
    <row r="28" spans="1:136" ht="15" customHeight="1" x14ac:dyDescent="0.3">
      <c r="A28" s="158"/>
      <c r="B28" s="158"/>
      <c r="C28" s="196"/>
      <c r="D28" s="196"/>
      <c r="E28" s="198"/>
      <c r="F28" s="198"/>
      <c r="G28" s="198"/>
      <c r="H28" s="198"/>
      <c r="I28" s="198"/>
      <c r="J28" s="198"/>
      <c r="K28" s="198"/>
      <c r="L28" s="198"/>
      <c r="M28" s="198"/>
      <c r="N28" s="198"/>
      <c r="O28" s="198"/>
      <c r="P28" s="198"/>
      <c r="Q28" s="198"/>
      <c r="R28" s="198"/>
      <c r="S28" s="198"/>
      <c r="T28" s="198"/>
      <c r="U28" s="198"/>
      <c r="V28" s="198"/>
      <c r="W28" s="198"/>
      <c r="X28" s="198"/>
      <c r="Y28" s="198"/>
      <c r="Z28" s="198"/>
      <c r="AA28" s="198"/>
      <c r="AB28" s="198"/>
      <c r="AC28" s="198"/>
      <c r="AD28" s="198"/>
      <c r="AE28" s="198"/>
      <c r="AF28" s="198"/>
      <c r="AG28" s="198"/>
      <c r="AH28" s="198"/>
      <c r="AI28" s="198"/>
      <c r="AJ28" s="198"/>
      <c r="AK28" s="198"/>
      <c r="AL28" s="198"/>
      <c r="AM28" s="198"/>
      <c r="AN28" s="198"/>
      <c r="AO28" s="198"/>
      <c r="AP28" s="198"/>
      <c r="AQ28" s="198"/>
      <c r="AR28" s="198"/>
      <c r="AS28" s="198"/>
      <c r="AT28" s="198"/>
      <c r="AU28" s="198"/>
      <c r="AV28" s="198"/>
      <c r="AW28" s="198"/>
      <c r="AX28" s="198"/>
      <c r="AY28" s="198"/>
      <c r="AZ28" s="198"/>
      <c r="BA28" s="198"/>
      <c r="BB28" s="198"/>
      <c r="BC28" s="198"/>
      <c r="BD28" s="198"/>
      <c r="BE28" s="198"/>
      <c r="BF28" s="198"/>
      <c r="BG28" s="198"/>
      <c r="BH28" s="198"/>
      <c r="BI28" s="200"/>
      <c r="BJ28" s="200"/>
      <c r="BK28" s="158"/>
      <c r="BL28" s="158"/>
      <c r="BM28" s="173"/>
      <c r="BN28" s="158"/>
      <c r="BO28" s="158"/>
      <c r="BQ28" s="196"/>
      <c r="BR28" s="198"/>
      <c r="BS28" s="198"/>
      <c r="BT28" s="198"/>
      <c r="BU28" s="198"/>
      <c r="BV28" s="198"/>
      <c r="BW28" s="198"/>
      <c r="BX28" s="198"/>
      <c r="BY28" s="198"/>
      <c r="BZ28" s="198"/>
      <c r="CA28" s="198"/>
      <c r="CB28" s="198"/>
      <c r="CC28" s="198"/>
      <c r="CD28" s="198"/>
      <c r="CE28" s="198"/>
      <c r="CF28" s="198"/>
      <c r="CG28" s="198"/>
      <c r="CH28" s="198"/>
      <c r="CI28" s="198"/>
      <c r="CJ28" s="198"/>
      <c r="CK28" s="198"/>
      <c r="CL28" s="198"/>
      <c r="CM28" s="198"/>
      <c r="CN28" s="198"/>
      <c r="CO28" s="198"/>
      <c r="CP28" s="198"/>
      <c r="CQ28" s="198"/>
      <c r="CR28" s="198"/>
      <c r="CS28" s="198"/>
      <c r="CT28" s="198"/>
      <c r="CU28" s="198"/>
      <c r="CV28" s="198"/>
      <c r="CW28" s="198"/>
      <c r="CX28" s="198"/>
      <c r="CY28" s="198"/>
      <c r="CZ28" s="198"/>
      <c r="DA28" s="198"/>
      <c r="DB28" s="198"/>
      <c r="DC28" s="198"/>
      <c r="DD28" s="198"/>
      <c r="DE28" s="198"/>
      <c r="DF28" s="198"/>
      <c r="DG28" s="198"/>
      <c r="DH28" s="198"/>
      <c r="DI28" s="198"/>
      <c r="DJ28" s="198"/>
      <c r="DK28" s="198"/>
      <c r="DL28" s="198"/>
      <c r="DM28" s="198"/>
      <c r="DN28" s="198"/>
      <c r="DO28" s="198"/>
      <c r="DP28" s="198"/>
      <c r="DQ28" s="198"/>
      <c r="DR28" s="198"/>
      <c r="DS28" s="198"/>
      <c r="DT28" s="198"/>
      <c r="DU28" s="198"/>
      <c r="DV28" s="198"/>
      <c r="DW28" s="198"/>
      <c r="DX28" s="198"/>
      <c r="DY28" s="198"/>
      <c r="DZ28" s="198"/>
      <c r="EA28" s="198"/>
      <c r="EB28" s="200"/>
      <c r="ED28" s="158"/>
      <c r="EE28" s="158"/>
      <c r="EF28" s="158"/>
    </row>
    <row r="29" spans="1:136" x14ac:dyDescent="0.3">
      <c r="A29" s="158"/>
      <c r="B29" s="158"/>
      <c r="C29" s="196"/>
      <c r="D29" s="196"/>
      <c r="E29" s="198"/>
      <c r="F29" s="198"/>
      <c r="G29" s="198"/>
      <c r="H29" s="198"/>
      <c r="I29" s="198"/>
      <c r="J29" s="350" t="s">
        <v>426</v>
      </c>
      <c r="K29" s="350"/>
      <c r="L29" s="350"/>
      <c r="M29" s="350"/>
      <c r="N29" s="350"/>
      <c r="O29" s="350"/>
      <c r="P29" s="350"/>
      <c r="Q29" s="350"/>
      <c r="R29" s="350"/>
      <c r="S29" s="350"/>
      <c r="T29" s="350"/>
      <c r="U29" s="350"/>
      <c r="V29" s="350"/>
      <c r="W29" s="350"/>
      <c r="X29" s="350"/>
      <c r="Y29" s="198"/>
      <c r="Z29" s="198"/>
      <c r="AA29" s="198"/>
      <c r="AB29" s="198"/>
      <c r="AC29" s="198"/>
      <c r="AD29" s="198"/>
      <c r="AE29" s="198"/>
      <c r="AF29" s="198"/>
      <c r="AG29" s="198"/>
      <c r="AH29" s="355" t="s">
        <v>287</v>
      </c>
      <c r="AI29" s="356"/>
      <c r="AJ29" s="356"/>
      <c r="AK29" s="357"/>
      <c r="AL29" s="198"/>
      <c r="AM29" s="355" t="s">
        <v>288</v>
      </c>
      <c r="AN29" s="356"/>
      <c r="AO29" s="356"/>
      <c r="AP29" s="357"/>
      <c r="AQ29" s="198"/>
      <c r="AR29" s="350" t="s">
        <v>289</v>
      </c>
      <c r="AS29" s="350"/>
      <c r="AT29" s="350"/>
      <c r="AU29" s="350"/>
      <c r="AV29" s="350"/>
      <c r="AW29" s="350"/>
      <c r="AX29" s="198"/>
      <c r="AY29" s="355" t="s">
        <v>267</v>
      </c>
      <c r="AZ29" s="356"/>
      <c r="BA29" s="356"/>
      <c r="BB29" s="357"/>
      <c r="BC29" s="198"/>
      <c r="BD29" s="355" t="s">
        <v>290</v>
      </c>
      <c r="BE29" s="356"/>
      <c r="BF29" s="356"/>
      <c r="BG29" s="356"/>
      <c r="BH29" s="357"/>
      <c r="BI29" s="200"/>
      <c r="BJ29" s="200"/>
      <c r="BK29" s="158"/>
      <c r="BL29" s="158"/>
      <c r="BM29" s="173"/>
      <c r="BN29" s="158"/>
      <c r="BO29" s="158"/>
      <c r="BQ29" s="205"/>
      <c r="BR29" s="281"/>
      <c r="BS29" s="281"/>
      <c r="BT29" s="281"/>
      <c r="BU29" s="350" t="s">
        <v>426</v>
      </c>
      <c r="BV29" s="350"/>
      <c r="BW29" s="350"/>
      <c r="BX29" s="350"/>
      <c r="BY29" s="350"/>
      <c r="BZ29" s="350"/>
      <c r="CA29" s="350"/>
      <c r="CB29" s="350"/>
      <c r="CC29" s="350"/>
      <c r="CD29" s="350"/>
      <c r="CE29" s="350"/>
      <c r="CF29" s="350"/>
      <c r="CG29" s="350"/>
      <c r="CH29" s="281"/>
      <c r="CI29" s="281"/>
      <c r="CJ29" s="281"/>
      <c r="CK29" s="198"/>
      <c r="CL29" s="198"/>
      <c r="CM29" s="198"/>
      <c r="CN29" s="198"/>
      <c r="CO29" s="198"/>
      <c r="CP29" s="198"/>
      <c r="CQ29" s="198"/>
      <c r="CR29" s="198"/>
      <c r="CS29" s="198"/>
      <c r="CT29" s="198"/>
      <c r="CU29" s="198"/>
      <c r="CV29" s="198"/>
      <c r="CW29" s="198"/>
      <c r="CX29" s="198"/>
      <c r="CY29" s="198"/>
      <c r="CZ29" s="355" t="s">
        <v>287</v>
      </c>
      <c r="DA29" s="356"/>
      <c r="DB29" s="356"/>
      <c r="DC29" s="357"/>
      <c r="DD29" s="198"/>
      <c r="DE29" s="350" t="s">
        <v>288</v>
      </c>
      <c r="DF29" s="350"/>
      <c r="DG29" s="350"/>
      <c r="DH29" s="350"/>
      <c r="DI29" s="198"/>
      <c r="DJ29" s="355" t="s">
        <v>289</v>
      </c>
      <c r="DK29" s="356"/>
      <c r="DL29" s="356"/>
      <c r="DM29" s="356"/>
      <c r="DN29" s="356"/>
      <c r="DO29" s="357"/>
      <c r="DP29" s="198"/>
      <c r="DQ29" s="350" t="s">
        <v>286</v>
      </c>
      <c r="DR29" s="350"/>
      <c r="DS29" s="350"/>
      <c r="DT29" s="350"/>
      <c r="DU29" s="198"/>
      <c r="DV29" s="350" t="s">
        <v>290</v>
      </c>
      <c r="DW29" s="350"/>
      <c r="DX29" s="350"/>
      <c r="DY29" s="350"/>
      <c r="DZ29" s="350"/>
      <c r="EA29" s="350"/>
      <c r="EB29" s="200"/>
      <c r="ED29" s="158"/>
      <c r="EE29" s="158"/>
      <c r="EF29" s="158"/>
    </row>
    <row r="30" spans="1:136" ht="15.6" x14ac:dyDescent="0.3">
      <c r="A30" s="158"/>
      <c r="B30" s="158"/>
      <c r="C30" s="196"/>
      <c r="D30" s="196"/>
      <c r="E30" s="198"/>
      <c r="F30" s="198"/>
      <c r="G30" s="198"/>
      <c r="H30" s="198"/>
      <c r="I30" s="198"/>
      <c r="J30" s="427" t="e">
        <f>_xlfn.CONCAT(INDEX(Table59[],MATCH('Combined Sizer'!$M$3,Table59[Record ID],0),MATCH("AHL - Experience Category",Table59[#Headers],0)),", ",INDEX(Table59[],MATCH('Combined Sizer'!$M$3,Table59[Record ID],0),MATCH("AHL - FICO Category",Table59[#Headers],0))," Fico, ",(INDEX(Table59[],MATCH('Combined Sizer'!$M$3,Table59[Record ID],0),MATCH("AHL - Max LTC",Table59[#Headers],0))*100),"% LTC")</f>
        <v>#N/A</v>
      </c>
      <c r="K30" s="427"/>
      <c r="L30" s="427"/>
      <c r="M30" s="427"/>
      <c r="N30" s="427"/>
      <c r="O30" s="427"/>
      <c r="P30" s="427"/>
      <c r="Q30" s="427"/>
      <c r="R30" s="427"/>
      <c r="S30" s="427"/>
      <c r="T30" s="427"/>
      <c r="U30" s="427"/>
      <c r="V30" s="427"/>
      <c r="W30" s="427"/>
      <c r="X30" s="427"/>
      <c r="Y30" s="228"/>
      <c r="Z30" s="228"/>
      <c r="AA30" s="228"/>
      <c r="AB30" s="228"/>
      <c r="AC30" s="198"/>
      <c r="AD30" s="198"/>
      <c r="AE30" s="198"/>
      <c r="AF30" s="198"/>
      <c r="AG30" s="198"/>
      <c r="AH30" s="498" t="e">
        <f>INDEX(Table59[],MATCH('Combined Sizer'!$M$3,Table59[Record ID],0),MATCH("AHL - Points",Table59[#Headers],0))</f>
        <v>#N/A</v>
      </c>
      <c r="AI30" s="499"/>
      <c r="AJ30" s="499"/>
      <c r="AK30" s="500"/>
      <c r="AL30" s="197"/>
      <c r="AM30" s="498" t="e">
        <f>INDEX(Table59[],MATCH('Combined Sizer'!$M$3,Table59[Record ID],0),MATCH("AHL - Exit Fee",Table59[#Headers],0))</f>
        <v>#N/A</v>
      </c>
      <c r="AN30" s="499"/>
      <c r="AO30" s="499"/>
      <c r="AP30" s="500"/>
      <c r="AQ30" s="197"/>
      <c r="AR30" s="505" t="e">
        <f>INDEX(Table59[],MATCH('Combined Sizer'!$M$3,Table59[Record ID],0),MATCH("AHL - Exit Fee Only",Table59[#Headers],0))</f>
        <v>#N/A</v>
      </c>
      <c r="AS30" s="505"/>
      <c r="AT30" s="505"/>
      <c r="AU30" s="505"/>
      <c r="AV30" s="505"/>
      <c r="AW30" s="505"/>
      <c r="AX30" s="197"/>
      <c r="AY30" s="498" t="e">
        <f>INDEX(Table59[],MATCH('Combined Sizer'!$M$3,Table59[Record ID],0),MATCH("AHL - Rate",Table59[#Headers],0))</f>
        <v>#N/A</v>
      </c>
      <c r="AZ30" s="499"/>
      <c r="BA30" s="499"/>
      <c r="BB30" s="500"/>
      <c r="BC30" s="197"/>
      <c r="BD30" s="498" t="e">
        <f>INDEX(Table59[],MATCH('Combined Sizer'!$M$3,Table59[Record ID],0),MATCH("AHL - 0 Point Rate",Table59[#Headers],0))</f>
        <v>#N/A</v>
      </c>
      <c r="BE30" s="499"/>
      <c r="BF30" s="499"/>
      <c r="BG30" s="499"/>
      <c r="BH30" s="500"/>
      <c r="BI30" s="200"/>
      <c r="BJ30" s="200"/>
      <c r="BK30" s="158"/>
      <c r="BL30" s="158"/>
      <c r="BM30" s="173"/>
      <c r="BN30" s="158"/>
      <c r="BO30" s="158"/>
      <c r="BQ30" s="196"/>
      <c r="BR30" s="281"/>
      <c r="BS30" s="281"/>
      <c r="BT30" s="281"/>
      <c r="BU30" s="497" t="str">
        <f>_xlfn.LET(
_xlpm.PE,$BR$10,
_xlpm.FS,$BR$13,
_xlpm.LTC,($DS$34*$DH$16)/($DH$13+$DR$13),
_xlfn.CONCAT(
IF(_xlpm.PE&gt;=10,"&gt;= 10 Projects",
IF(_xlpm.PE&gt;=6,"6-9 Projects",
IF(_xlpm.PE&gt;=3,"3-5 Projects",
IF(_xlpm.PE=2,"2 Projects",
IF(_xlpm.PE=1,"1 Projects","0 Projects"))))),
"| ",IF(_xlpm.PE=0,IF(_xlpm.FS&gt;=700,"700+",IF(_xlpm.FS&gt;=660,"660-699",IF(_xlpm.FS&gt;=640,"640-659",IF(_xlpm.FS&gt;=620,"620-639","ERROR")))),IF(_xlpm.FS&gt;=660,"660+",
IF(_xlpm.FS&gt;=640,"640-659",IF(_xlpm.FS&gt;=620,"620-639","ERROR")))),
"| ",       _xlfn.SWITCH(TRUE,
       _xlpm.PE&gt;=6, IF(_xlpm.LTC&gt;0.9,"93%", IF(_xlpm.LTC&gt;0.85,"90%","85%")),
       _xlpm.PE&gt;=3, IF(_xlpm.LTC&gt;0.85,"90%","85%"),
       _xlpm.PE&gt;=1, IF(_xlpm.LTC&gt;0.8,"85%","80%"),
       TRUE,  IF(_xlpm.FS&gt;=700,"85%", IF(_xlpm.FS&gt;=660,"80%","EXPERIENCE AND FICO TOO LOW")))))</f>
        <v>3-5 Projects| 660+| 85%</v>
      </c>
      <c r="BV30" s="497"/>
      <c r="BW30" s="497"/>
      <c r="BX30" s="497"/>
      <c r="BY30" s="497"/>
      <c r="BZ30" s="497"/>
      <c r="CA30" s="497"/>
      <c r="CB30" s="497"/>
      <c r="CC30" s="497"/>
      <c r="CD30" s="497"/>
      <c r="CE30" s="497"/>
      <c r="CF30" s="497"/>
      <c r="CG30" s="497"/>
      <c r="CH30" s="281"/>
      <c r="CI30" s="281"/>
      <c r="CJ30" s="281"/>
      <c r="CK30" s="198"/>
      <c r="CL30" s="198"/>
      <c r="CM30" s="198"/>
      <c r="CN30" s="198"/>
      <c r="CO30" s="198"/>
      <c r="CP30" s="198"/>
      <c r="CQ30" s="198"/>
      <c r="CR30" s="198"/>
      <c r="CS30" s="198"/>
      <c r="CT30" s="198"/>
      <c r="CU30" s="198"/>
      <c r="CV30" s="198"/>
      <c r="CW30" s="198"/>
      <c r="CX30" s="198"/>
      <c r="CY30" s="201"/>
      <c r="CZ30" s="498" cm="1">
        <f t="array" ref="CZ30">_xlfn.LET(
  _xlpm.tbl,     'Matrixes w match key'!$AG$2:$BC$41,
  _xlpm.rowKeys, 'Matrixes w match key'!$AK$2:$AK$41,
  _xlpm.heads,   'Matrixes w match key'!$AG$1:$BC$1,
  _xlpm.key,     "No Franchise| Lender Funded| "&amp;$BU$30,
  _xlpm.r, _xlfn.XMATCH(_xlpm.key, _xlpm.rowKeys, 0),
  _xlpm.c, _xlfn.XMATCH(CZ$29, _xlpm.heads, 0),
  INDEX(_xlpm.tbl, _xlpm.r, _xlpm.c)
)</f>
        <v>0.01</v>
      </c>
      <c r="DA30" s="499"/>
      <c r="DB30" s="499"/>
      <c r="DC30" s="500"/>
      <c r="DD30" s="197"/>
      <c r="DE30" s="501" cm="1">
        <f t="array" ref="DE30">_xlfn.LET(
  _xlpm.tbl,     'Matrixes w match key'!$AG$2:$BC$41,
  _xlpm.rowKeys, 'Matrixes w match key'!$AK$2:$AK$41,
  _xlpm.heads,   'Matrixes w match key'!$AG$1:$BC$1,
  _xlpm.key,     "No Franchise| Lender Funded| "&amp;$BU$30,
  _xlpm.r, _xlfn.XMATCH(_xlpm.key, _xlpm.rowKeys, 0),
  _xlpm.c, _xlfn.XMATCH(DE$29, _xlpm.heads, 0),
  INDEX(_xlpm.tbl, _xlpm.r, _xlpm.c)
)</f>
        <v>0.01</v>
      </c>
      <c r="DF30" s="501"/>
      <c r="DG30" s="501"/>
      <c r="DH30" s="501"/>
      <c r="DI30" s="197"/>
      <c r="DJ30" s="502">
        <f>INDEX('Matrixes w match key'!$AG$2:$BC$41,MATCH(_xlfn.CONCAT("No Franchise| Lender Funded| ",$BU$30),'Matrixes w match key'!$AK$2:$AK$41,0),MATCH(DJ$29,'Matrixes w match key'!$AG$1:$BC$1,0))</f>
        <v>2.5000000000000001E-2</v>
      </c>
      <c r="DK30" s="499"/>
      <c r="DL30" s="499"/>
      <c r="DM30" s="499"/>
      <c r="DN30" s="499"/>
      <c r="DO30" s="500"/>
      <c r="DP30" s="197"/>
      <c r="DQ30" s="503">
        <f>INDEX('Matrixes w match key'!$AG$2:$BC$41,MATCH(_xlfn.CONCAT("No Franchise| Lender Funded| ",$BU$30),'Matrixes w match key'!$AK$2:$AK$41,0),MATCH(DQ$29,'Matrixes w match key'!$AG$1:$BC$1,0))</f>
        <v>0.105</v>
      </c>
      <c r="DR30" s="501"/>
      <c r="DS30" s="501"/>
      <c r="DT30" s="501"/>
      <c r="DU30" s="197"/>
      <c r="DV30" s="504">
        <f>INDEX('Matrixes w match key'!$AG$2:$BC$41,MATCH(_xlfn.CONCAT("No Franchise| Lender Funded| ",$BU$30),'Matrixes w match key'!$AK$2:$AK$41,0),MATCH(DV$29,'Matrixes w match key'!$AG$1:$BC$1,0))</f>
        <v>0.13500000000000001</v>
      </c>
      <c r="DW30" s="505"/>
      <c r="DX30" s="505"/>
      <c r="DY30" s="505"/>
      <c r="DZ30" s="505"/>
      <c r="EA30" s="505"/>
      <c r="EB30" s="200"/>
      <c r="ED30" s="158"/>
      <c r="EE30" s="158"/>
      <c r="EF30" s="158"/>
    </row>
    <row r="31" spans="1:136" ht="15" thickBot="1" x14ac:dyDescent="0.35">
      <c r="A31" s="158"/>
      <c r="B31" s="158"/>
      <c r="C31" s="196"/>
      <c r="D31" s="205"/>
      <c r="E31" s="206"/>
      <c r="F31" s="206"/>
      <c r="G31" s="206"/>
      <c r="H31" s="206"/>
      <c r="I31" s="206"/>
      <c r="J31" s="206"/>
      <c r="K31" s="206"/>
      <c r="L31" s="206"/>
      <c r="M31" s="206"/>
      <c r="N31" s="206"/>
      <c r="O31" s="198"/>
      <c r="P31" s="198"/>
      <c r="Q31" s="198"/>
      <c r="R31" s="198"/>
      <c r="S31" s="198"/>
      <c r="T31" s="206"/>
      <c r="U31" s="206"/>
      <c r="V31" s="206"/>
      <c r="W31" s="206"/>
      <c r="X31" s="206"/>
      <c r="Y31" s="206"/>
      <c r="Z31" s="206"/>
      <c r="AA31" s="198"/>
      <c r="AB31" s="198"/>
      <c r="AC31" s="198"/>
      <c r="AD31" s="198"/>
      <c r="AE31" s="198"/>
      <c r="AF31" s="198"/>
      <c r="AG31" s="206"/>
      <c r="AH31" s="206"/>
      <c r="AI31" s="206"/>
      <c r="AJ31" s="206"/>
      <c r="AK31" s="206"/>
      <c r="AL31" s="206"/>
      <c r="AM31" s="206"/>
      <c r="AN31" s="198"/>
      <c r="AO31" s="198"/>
      <c r="AP31" s="198"/>
      <c r="AQ31" s="198"/>
      <c r="AR31" s="198"/>
      <c r="AS31" s="198"/>
      <c r="AT31" s="198"/>
      <c r="AU31" s="206"/>
      <c r="AV31" s="206"/>
      <c r="AW31" s="206"/>
      <c r="AX31" s="206"/>
      <c r="AY31" s="198"/>
      <c r="AZ31" s="206"/>
      <c r="BA31" s="206"/>
      <c r="BB31" s="206"/>
      <c r="BC31" s="206"/>
      <c r="BD31" s="198"/>
      <c r="BE31" s="198"/>
      <c r="BF31" s="198"/>
      <c r="BG31" s="198"/>
      <c r="BH31" s="198"/>
      <c r="BI31" s="200"/>
      <c r="BJ31" s="200"/>
      <c r="BK31" s="158"/>
      <c r="BL31" s="158"/>
      <c r="BM31" s="173"/>
      <c r="BN31" s="158"/>
      <c r="BO31" s="158"/>
      <c r="BQ31" s="205"/>
      <c r="BR31" s="206"/>
      <c r="BS31" s="206"/>
      <c r="BT31" s="206"/>
      <c r="BU31" s="206"/>
      <c r="BV31" s="206"/>
      <c r="BW31" s="198"/>
      <c r="BX31" s="198"/>
      <c r="BY31" s="198"/>
      <c r="BZ31" s="198"/>
      <c r="CA31" s="198"/>
      <c r="CB31" s="198"/>
      <c r="CC31" s="198"/>
      <c r="CD31" s="198"/>
      <c r="CE31" s="198"/>
      <c r="CF31" s="198"/>
      <c r="CG31" s="198"/>
      <c r="CH31" s="198"/>
      <c r="CI31" s="198"/>
      <c r="CJ31" s="198"/>
      <c r="CK31" s="198"/>
      <c r="CL31" s="198"/>
      <c r="CM31" s="198"/>
      <c r="CN31" s="198"/>
      <c r="CO31" s="198"/>
      <c r="CP31" s="198"/>
      <c r="CQ31" s="198"/>
      <c r="CR31" s="198"/>
      <c r="CS31" s="198"/>
      <c r="CT31" s="198"/>
      <c r="CU31" s="198"/>
      <c r="CV31" s="198"/>
      <c r="CW31" s="198"/>
      <c r="CX31" s="206"/>
      <c r="CY31" s="206"/>
      <c r="CZ31" s="206"/>
      <c r="DA31" s="206"/>
      <c r="DB31" s="206"/>
      <c r="DC31" s="206"/>
      <c r="DD31" s="206"/>
      <c r="DE31" s="206"/>
      <c r="DF31" s="206"/>
      <c r="DG31" s="198"/>
      <c r="DH31" s="198"/>
      <c r="DI31" s="198"/>
      <c r="DJ31" s="198"/>
      <c r="DK31" s="198"/>
      <c r="DL31" s="198"/>
      <c r="DM31" s="198"/>
      <c r="DN31" s="206"/>
      <c r="DO31" s="206"/>
      <c r="DP31" s="206"/>
      <c r="DQ31" s="206"/>
      <c r="DR31" s="198"/>
      <c r="DS31" s="206"/>
      <c r="DT31" s="206"/>
      <c r="DU31" s="206"/>
      <c r="DV31" s="206"/>
      <c r="DW31" s="198"/>
      <c r="DX31" s="198"/>
      <c r="DY31" s="198"/>
      <c r="DZ31" s="198"/>
      <c r="EA31" s="198"/>
      <c r="EB31" s="200"/>
      <c r="ED31" s="158"/>
      <c r="EE31" s="158"/>
      <c r="EF31" s="158"/>
    </row>
    <row r="32" spans="1:136" ht="15" thickBot="1" x14ac:dyDescent="0.35">
      <c r="A32" s="158"/>
      <c r="B32" s="158"/>
      <c r="C32" s="196"/>
      <c r="D32" s="196"/>
      <c r="E32" s="361" t="s">
        <v>427</v>
      </c>
      <c r="F32" s="362"/>
      <c r="G32" s="362"/>
      <c r="H32" s="362"/>
      <c r="I32" s="362"/>
      <c r="J32" s="362"/>
      <c r="K32" s="362"/>
      <c r="L32" s="362"/>
      <c r="M32" s="362"/>
      <c r="N32" s="362"/>
      <c r="O32" s="362"/>
      <c r="P32" s="362"/>
      <c r="Q32" s="362"/>
      <c r="R32" s="362"/>
      <c r="S32" s="362"/>
      <c r="T32" s="362"/>
      <c r="U32" s="362"/>
      <c r="V32" s="362"/>
      <c r="W32" s="362"/>
      <c r="X32" s="362"/>
      <c r="Y32" s="362"/>
      <c r="Z32" s="362"/>
      <c r="AA32" s="362"/>
      <c r="AB32" s="363"/>
      <c r="AC32" s="198"/>
      <c r="AD32" s="198"/>
      <c r="AE32" s="198"/>
      <c r="AF32" s="198"/>
      <c r="AG32" s="198"/>
      <c r="AH32" s="361" t="s">
        <v>428</v>
      </c>
      <c r="AI32" s="362"/>
      <c r="AJ32" s="362"/>
      <c r="AK32" s="362"/>
      <c r="AL32" s="362"/>
      <c r="AM32" s="362"/>
      <c r="AN32" s="362"/>
      <c r="AO32" s="362"/>
      <c r="AP32" s="362"/>
      <c r="AQ32" s="362"/>
      <c r="AR32" s="362"/>
      <c r="AS32" s="362"/>
      <c r="AT32" s="362"/>
      <c r="AU32" s="362"/>
      <c r="AV32" s="362"/>
      <c r="AW32" s="362"/>
      <c r="AX32" s="362"/>
      <c r="AY32" s="362"/>
      <c r="AZ32" s="362"/>
      <c r="BA32" s="362"/>
      <c r="BB32" s="362"/>
      <c r="BC32" s="362"/>
      <c r="BD32" s="362"/>
      <c r="BE32" s="362"/>
      <c r="BF32" s="362"/>
      <c r="BG32" s="362"/>
      <c r="BH32" s="363"/>
      <c r="BI32" s="200"/>
      <c r="BJ32" s="200"/>
      <c r="BK32" s="158"/>
      <c r="BL32" s="158"/>
      <c r="BM32" s="173"/>
      <c r="BN32" s="158"/>
      <c r="BO32" s="158"/>
      <c r="BQ32" s="196"/>
      <c r="BR32" s="364" t="s">
        <v>427</v>
      </c>
      <c r="BS32" s="365"/>
      <c r="BT32" s="365"/>
      <c r="BU32" s="365"/>
      <c r="BV32" s="365"/>
      <c r="BW32" s="365"/>
      <c r="BX32" s="365"/>
      <c r="BY32" s="365"/>
      <c r="BZ32" s="365"/>
      <c r="CA32" s="365"/>
      <c r="CB32" s="365"/>
      <c r="CC32" s="365"/>
      <c r="CD32" s="365"/>
      <c r="CE32" s="365"/>
      <c r="CF32" s="365"/>
      <c r="CG32" s="365"/>
      <c r="CH32" s="365"/>
      <c r="CI32" s="365"/>
      <c r="CJ32" s="365"/>
      <c r="CK32" s="365"/>
      <c r="CL32" s="365"/>
      <c r="CM32" s="365"/>
      <c r="CN32" s="365"/>
      <c r="CO32" s="365"/>
      <c r="CP32" s="365"/>
      <c r="CQ32" s="365"/>
      <c r="CR32" s="366"/>
      <c r="CS32" s="198"/>
      <c r="CT32" s="198"/>
      <c r="CU32" s="198"/>
      <c r="CV32" s="198"/>
      <c r="CW32" s="198"/>
      <c r="CX32" s="198"/>
      <c r="CY32" s="198"/>
      <c r="CZ32" s="198"/>
      <c r="DA32" s="361" t="s">
        <v>428</v>
      </c>
      <c r="DB32" s="362"/>
      <c r="DC32" s="362"/>
      <c r="DD32" s="362"/>
      <c r="DE32" s="362"/>
      <c r="DF32" s="362"/>
      <c r="DG32" s="362"/>
      <c r="DH32" s="362"/>
      <c r="DI32" s="362"/>
      <c r="DJ32" s="362"/>
      <c r="DK32" s="362"/>
      <c r="DL32" s="362"/>
      <c r="DM32" s="362"/>
      <c r="DN32" s="362"/>
      <c r="DO32" s="362"/>
      <c r="DP32" s="362"/>
      <c r="DQ32" s="362"/>
      <c r="DR32" s="362"/>
      <c r="DS32" s="362"/>
      <c r="DT32" s="362"/>
      <c r="DU32" s="362"/>
      <c r="DV32" s="362"/>
      <c r="DW32" s="362"/>
      <c r="DX32" s="362"/>
      <c r="DY32" s="362"/>
      <c r="DZ32" s="362"/>
      <c r="EA32" s="363"/>
      <c r="EB32" s="200"/>
      <c r="ED32" s="158"/>
      <c r="EE32" s="158"/>
      <c r="EF32" s="158"/>
    </row>
    <row r="33" spans="1:136" x14ac:dyDescent="0.3">
      <c r="A33" s="158"/>
      <c r="B33" s="158"/>
      <c r="C33" s="196"/>
      <c r="D33" s="196"/>
      <c r="E33" s="367" t="s">
        <v>429</v>
      </c>
      <c r="F33" s="368"/>
      <c r="G33" s="368"/>
      <c r="H33" s="368"/>
      <c r="I33" s="368"/>
      <c r="J33" s="368"/>
      <c r="K33" s="368"/>
      <c r="L33" s="368"/>
      <c r="M33" s="368"/>
      <c r="N33" s="368" t="s">
        <v>430</v>
      </c>
      <c r="O33" s="368"/>
      <c r="P33" s="368"/>
      <c r="Q33" s="368"/>
      <c r="R33" s="368"/>
      <c r="S33" s="368"/>
      <c r="T33" s="368"/>
      <c r="U33" s="368"/>
      <c r="V33" s="368" t="s">
        <v>431</v>
      </c>
      <c r="W33" s="368"/>
      <c r="X33" s="368"/>
      <c r="Y33" s="368"/>
      <c r="Z33" s="368"/>
      <c r="AA33" s="368"/>
      <c r="AB33" s="369"/>
      <c r="AC33" s="198"/>
      <c r="AD33" s="198"/>
      <c r="AE33" s="198"/>
      <c r="AF33" s="198"/>
      <c r="AG33" s="198"/>
      <c r="AH33" s="370" t="s">
        <v>432</v>
      </c>
      <c r="AI33" s="371"/>
      <c r="AJ33" s="371"/>
      <c r="AK33" s="371"/>
      <c r="AL33" s="371"/>
      <c r="AM33" s="371"/>
      <c r="AN33" s="371"/>
      <c r="AO33" s="371"/>
      <c r="AP33" s="371"/>
      <c r="AQ33" s="371" t="s">
        <v>283</v>
      </c>
      <c r="AR33" s="371"/>
      <c r="AS33" s="371"/>
      <c r="AT33" s="371"/>
      <c r="AU33" s="371"/>
      <c r="AV33" s="371"/>
      <c r="AW33" s="371"/>
      <c r="AX33" s="371"/>
      <c r="AY33" s="371"/>
      <c r="AZ33" s="371" t="s">
        <v>433</v>
      </c>
      <c r="BA33" s="371"/>
      <c r="BB33" s="371"/>
      <c r="BC33" s="371"/>
      <c r="BD33" s="371"/>
      <c r="BE33" s="371"/>
      <c r="BF33" s="371"/>
      <c r="BG33" s="371"/>
      <c r="BH33" s="372"/>
      <c r="BI33" s="200"/>
      <c r="BJ33" s="200"/>
      <c r="BK33" s="158"/>
      <c r="BL33" s="158"/>
      <c r="BM33" s="173"/>
      <c r="BN33" s="158"/>
      <c r="BO33" s="158"/>
      <c r="BQ33" s="196"/>
      <c r="BR33" s="358" t="s">
        <v>429</v>
      </c>
      <c r="BS33" s="359"/>
      <c r="BT33" s="359"/>
      <c r="BU33" s="359"/>
      <c r="BV33" s="359"/>
      <c r="BW33" s="359"/>
      <c r="BX33" s="359"/>
      <c r="BY33" s="359"/>
      <c r="BZ33" s="359" t="s">
        <v>430</v>
      </c>
      <c r="CA33" s="359"/>
      <c r="CB33" s="359"/>
      <c r="CC33" s="359"/>
      <c r="CD33" s="359"/>
      <c r="CE33" s="359"/>
      <c r="CF33" s="359"/>
      <c r="CG33" s="359"/>
      <c r="CH33" s="359"/>
      <c r="CI33" s="359"/>
      <c r="CJ33" s="359" t="s">
        <v>431</v>
      </c>
      <c r="CK33" s="359"/>
      <c r="CL33" s="359"/>
      <c r="CM33" s="359"/>
      <c r="CN33" s="359"/>
      <c r="CO33" s="359"/>
      <c r="CP33" s="359"/>
      <c r="CQ33" s="359"/>
      <c r="CR33" s="360"/>
      <c r="CS33" s="198"/>
      <c r="CT33" s="198"/>
      <c r="CU33" s="198"/>
      <c r="CV33" s="198"/>
      <c r="CW33" s="198"/>
      <c r="CX33" s="198"/>
      <c r="CY33" s="198"/>
      <c r="CZ33" s="198"/>
      <c r="DA33" s="358" t="s">
        <v>432</v>
      </c>
      <c r="DB33" s="359"/>
      <c r="DC33" s="359"/>
      <c r="DD33" s="359"/>
      <c r="DE33" s="359"/>
      <c r="DF33" s="359"/>
      <c r="DG33" s="359"/>
      <c r="DH33" s="359"/>
      <c r="DI33" s="359"/>
      <c r="DJ33" s="359" t="s">
        <v>283</v>
      </c>
      <c r="DK33" s="359"/>
      <c r="DL33" s="359"/>
      <c r="DM33" s="359"/>
      <c r="DN33" s="359"/>
      <c r="DO33" s="359"/>
      <c r="DP33" s="359"/>
      <c r="DQ33" s="359"/>
      <c r="DR33" s="359"/>
      <c r="DS33" s="359" t="s">
        <v>433</v>
      </c>
      <c r="DT33" s="359"/>
      <c r="DU33" s="359"/>
      <c r="DV33" s="359"/>
      <c r="DW33" s="359"/>
      <c r="DX33" s="359"/>
      <c r="DY33" s="359"/>
      <c r="DZ33" s="359"/>
      <c r="EA33" s="360"/>
      <c r="EB33" s="200"/>
      <c r="ED33" s="158"/>
      <c r="EE33" s="158"/>
      <c r="EF33" s="158"/>
    </row>
    <row r="34" spans="1:136" ht="16.2" thickBot="1" x14ac:dyDescent="0.35">
      <c r="A34" s="158"/>
      <c r="B34" s="158"/>
      <c r="C34" s="196"/>
      <c r="D34" s="196"/>
      <c r="E34" s="375" t="e">
        <f>$V$34-$N$34</f>
        <v>#N/A</v>
      </c>
      <c r="F34" s="376"/>
      <c r="G34" s="376"/>
      <c r="H34" s="376"/>
      <c r="I34" s="376"/>
      <c r="J34" s="376"/>
      <c r="K34" s="376"/>
      <c r="L34" s="376"/>
      <c r="M34" s="376"/>
      <c r="N34" s="376" t="str">
        <f>$AY$13</f>
        <v/>
      </c>
      <c r="O34" s="376"/>
      <c r="P34" s="376"/>
      <c r="Q34" s="376"/>
      <c r="R34" s="376"/>
      <c r="S34" s="376"/>
      <c r="T34" s="376"/>
      <c r="U34" s="376"/>
      <c r="V34" s="376" t="e">
        <f>INDEX(Table59[],MATCH('Combined Sizer'!$M$3,Table59[Record ID],0),MATCH("AHL - MAX Loan Amount",Table59[#Headers],0))</f>
        <v>#N/A</v>
      </c>
      <c r="W34" s="376"/>
      <c r="X34" s="376"/>
      <c r="Y34" s="376"/>
      <c r="Z34" s="376"/>
      <c r="AA34" s="376"/>
      <c r="AB34" s="377"/>
      <c r="AC34" s="201"/>
      <c r="AD34" s="201"/>
      <c r="AE34" s="201"/>
      <c r="AF34" s="201"/>
      <c r="AG34" s="201"/>
      <c r="AH34" s="382"/>
      <c r="AI34" s="383"/>
      <c r="AJ34" s="383"/>
      <c r="AK34" s="383"/>
      <c r="AL34" s="383"/>
      <c r="AM34" s="383"/>
      <c r="AN34" s="383"/>
      <c r="AO34" s="383"/>
      <c r="AP34" s="383"/>
      <c r="AQ34" s="380" t="e">
        <f>INDEX(Table59[],MATCH('Combined Sizer'!$M$3,Table59[Record ID],0),MATCH("AHL - Max LTC",Table59[#Headers],0))</f>
        <v>#N/A</v>
      </c>
      <c r="AR34" s="380"/>
      <c r="AS34" s="380"/>
      <c r="AT34" s="380"/>
      <c r="AU34" s="380"/>
      <c r="AV34" s="380"/>
      <c r="AW34" s="380"/>
      <c r="AX34" s="380"/>
      <c r="AY34" s="380"/>
      <c r="AZ34" s="380" t="e">
        <f>INDEX(Table59[],MATCH('Combined Sizer'!$M$3,Table59[Record ID],0),MATCH("AHL - ARLTV",Table59[#Headers],0))</f>
        <v>#N/A</v>
      </c>
      <c r="BA34" s="380"/>
      <c r="BB34" s="380"/>
      <c r="BC34" s="380"/>
      <c r="BD34" s="380"/>
      <c r="BE34" s="380"/>
      <c r="BF34" s="380"/>
      <c r="BG34" s="380"/>
      <c r="BH34" s="381"/>
      <c r="BI34" s="200"/>
      <c r="BJ34" s="200"/>
      <c r="BK34" s="158"/>
      <c r="BL34" s="158"/>
      <c r="BM34" s="173"/>
      <c r="BN34" s="158"/>
      <c r="BO34" s="158"/>
      <c r="BQ34" s="196"/>
      <c r="BR34" s="375">
        <f>$CJ$34-$BZ$34</f>
        <v>540000</v>
      </c>
      <c r="BS34" s="376"/>
      <c r="BT34" s="376"/>
      <c r="BU34" s="376"/>
      <c r="BV34" s="376"/>
      <c r="BW34" s="376"/>
      <c r="BX34" s="376"/>
      <c r="BY34" s="376"/>
      <c r="BZ34" s="376">
        <f>$DR$13</f>
        <v>20000</v>
      </c>
      <c r="CA34" s="376"/>
      <c r="CB34" s="376"/>
      <c r="CC34" s="376"/>
      <c r="CD34" s="376"/>
      <c r="CE34" s="376"/>
      <c r="CF34" s="376"/>
      <c r="CG34" s="376"/>
      <c r="CH34" s="376"/>
      <c r="CI34" s="376"/>
      <c r="CJ34" s="376">
        <f>_xlfn.LET(
_xlpm.ST,$CX$10,
_xlpm.LTC,$DJ$34,
_xlpm.LTARV,$DS$34,
_xlpm.PP,$DH$13,
_xlpm.RB,$DR$13,
_xlpm.ARV,$DH$16,
IF(_xlpm.ST="CA",
   IF(MIN((_xlpm.LTC*(_xlpm.PP+_xlpm.RB)),(_xlpm.LTARV*_xlpm.ARV))&gt;3000000,3000000,
      IF(MIN((_xlpm.LTC*(_xlpm.PP+_xlpm.RB)),(_xlpm.LTARV*_xlpm.ARV))&gt;2000000,2000000,MIN((_xlpm.LTC*(_xlpm.PP+_xlpm.RB)),(_xlpm.LTARV*_xlpm.ARV)))),MIN((_xlpm.LTC*(_xlpm.PP+_xlpm.RB)),(_xlpm.LTARV*_xlpm.ARV))))</f>
        <v>560000</v>
      </c>
      <c r="CK34" s="376"/>
      <c r="CL34" s="376"/>
      <c r="CM34" s="376"/>
      <c r="CN34" s="376"/>
      <c r="CO34" s="376"/>
      <c r="CP34" s="376"/>
      <c r="CQ34" s="376"/>
      <c r="CR34" s="377"/>
      <c r="CS34" s="197"/>
      <c r="CT34" s="197"/>
      <c r="CU34" s="197"/>
      <c r="CV34" s="197"/>
      <c r="CW34" s="197"/>
      <c r="CX34" s="197"/>
      <c r="CY34" s="197"/>
      <c r="CZ34" s="197"/>
      <c r="DA34" s="378"/>
      <c r="DB34" s="379"/>
      <c r="DC34" s="379"/>
      <c r="DD34" s="379"/>
      <c r="DE34" s="379"/>
      <c r="DF34" s="379"/>
      <c r="DG34" s="379"/>
      <c r="DH34" s="379"/>
      <c r="DI34" s="379"/>
      <c r="DJ34" s="380">
        <f>DF45</f>
        <v>0.85</v>
      </c>
      <c r="DK34" s="380"/>
      <c r="DL34" s="380"/>
      <c r="DM34" s="380"/>
      <c r="DN34" s="380"/>
      <c r="DO34" s="380"/>
      <c r="DP34" s="380"/>
      <c r="DQ34" s="380"/>
      <c r="DR34" s="380"/>
      <c r="DS34" s="380">
        <f>_xlfn.LET(
  _xlpm.xp,    N(BR10),
  _xlpm.fico,  N(BR13),
  _xlpm.st,    _xlfn.XLOOKUP(CX10, State!$B:$B, State!$C:$C, "", 0),
  _xlpm.isNJD, _xlpm.st="NJD",
        IF(_xlpm.isNJD,
        IF(_xlpm.xp&gt;=3,0.75, IF(_xlpm.xp&gt;=1,0.7, IF(_xlpm.fico&gt;=700,0.85,0.8))),
        IF(_xlpm.xp&gt;=1,0.7,0.65)
     )
  )</f>
        <v>0.7</v>
      </c>
      <c r="DT34" s="380"/>
      <c r="DU34" s="380"/>
      <c r="DV34" s="380"/>
      <c r="DW34" s="380"/>
      <c r="DX34" s="380"/>
      <c r="DY34" s="380"/>
      <c r="DZ34" s="380"/>
      <c r="EA34" s="381"/>
      <c r="EB34" s="200"/>
      <c r="ED34" s="158"/>
      <c r="EE34" s="158"/>
      <c r="EF34" s="158"/>
    </row>
    <row r="35" spans="1:136" ht="15" thickBot="1" x14ac:dyDescent="0.35">
      <c r="A35" s="158"/>
      <c r="B35" s="158"/>
      <c r="C35" s="196"/>
      <c r="D35" s="196"/>
      <c r="E35" s="207"/>
      <c r="F35" s="207"/>
      <c r="G35" s="207"/>
      <c r="H35" s="207"/>
      <c r="I35" s="207"/>
      <c r="J35" s="207"/>
      <c r="K35" s="207"/>
      <c r="L35" s="207"/>
      <c r="M35" s="207"/>
      <c r="N35" s="207"/>
      <c r="O35" s="207"/>
      <c r="P35" s="207"/>
      <c r="Q35" s="207"/>
      <c r="R35" s="207"/>
      <c r="S35" s="207"/>
      <c r="T35" s="207"/>
      <c r="U35" s="207"/>
      <c r="V35" s="207"/>
      <c r="W35" s="207"/>
      <c r="X35" s="207"/>
      <c r="Y35" s="207"/>
      <c r="Z35" s="207"/>
      <c r="AA35" s="207"/>
      <c r="AB35" s="207"/>
      <c r="AC35" s="198"/>
      <c r="AD35" s="198"/>
      <c r="AE35" s="198"/>
      <c r="AF35" s="198"/>
      <c r="AG35" s="198"/>
      <c r="AH35" s="207"/>
      <c r="AI35" s="207"/>
      <c r="AJ35" s="207"/>
      <c r="AK35" s="207"/>
      <c r="AL35" s="207"/>
      <c r="AM35" s="207"/>
      <c r="AN35" s="207"/>
      <c r="AO35" s="207"/>
      <c r="AP35" s="207"/>
      <c r="AQ35" s="384" t="e">
        <f>_xlfn.LET(
_xlpm.InMat,INDEX(Table59[],MATCH('Combined Sizer'!$M$3,Table59[Record ID],0),MATCH("Exception Reserve Check",Table59[#Headers],0)),
IF(_xlpm.InMat=-0.1,"Low FICO impacting LTC",IF(_xlpm.InMat=-0.05,"Low Fico impacting LTC","")))</f>
        <v>#N/A</v>
      </c>
      <c r="AR35" s="384"/>
      <c r="AS35" s="384"/>
      <c r="AT35" s="384"/>
      <c r="AU35" s="384"/>
      <c r="AV35" s="384"/>
      <c r="AW35" s="384"/>
      <c r="AX35" s="384"/>
      <c r="AY35" s="384"/>
      <c r="AZ35" s="207"/>
      <c r="BA35" s="207"/>
      <c r="BB35" s="207"/>
      <c r="BC35" s="207"/>
      <c r="BD35" s="207"/>
      <c r="BE35" s="207"/>
      <c r="BF35" s="207"/>
      <c r="BG35" s="207"/>
      <c r="BH35" s="207"/>
      <c r="BI35" s="200"/>
      <c r="BJ35" s="200"/>
      <c r="BK35" s="158"/>
      <c r="BL35" s="158"/>
      <c r="BM35" s="173"/>
      <c r="BN35" s="158"/>
      <c r="BO35" s="158"/>
      <c r="BQ35" s="196"/>
      <c r="BR35" s="198"/>
      <c r="BS35" s="198"/>
      <c r="BT35" s="198"/>
      <c r="BU35" s="198"/>
      <c r="BV35" s="198"/>
      <c r="BW35" s="198"/>
      <c r="BX35" s="206"/>
      <c r="BY35" s="198"/>
      <c r="BZ35" s="198"/>
      <c r="CA35" s="198"/>
      <c r="CB35" s="198"/>
      <c r="CC35" s="198"/>
      <c r="CD35" s="198"/>
      <c r="CE35" s="198"/>
      <c r="CF35" s="198"/>
      <c r="CG35" s="198"/>
      <c r="CH35" s="198"/>
      <c r="CI35" s="198"/>
      <c r="CJ35" s="198"/>
      <c r="CK35" s="198"/>
      <c r="CL35" s="198"/>
      <c r="CM35" s="198"/>
      <c r="CN35" s="198"/>
      <c r="CO35" s="198"/>
      <c r="CP35" s="261"/>
      <c r="CQ35" s="198"/>
      <c r="CR35" s="198"/>
      <c r="CS35" s="198"/>
      <c r="CT35" s="198"/>
      <c r="CU35" s="198"/>
      <c r="CV35" s="198"/>
      <c r="CW35" s="198"/>
      <c r="CX35" s="198"/>
      <c r="CY35" s="198"/>
      <c r="CZ35" s="198"/>
      <c r="DA35" s="198"/>
      <c r="DB35" s="198"/>
      <c r="DC35" s="198"/>
      <c r="DD35" s="198"/>
      <c r="DE35" s="198"/>
      <c r="DF35" s="198"/>
      <c r="DG35" s="198"/>
      <c r="DH35" s="198"/>
      <c r="DI35" s="198"/>
      <c r="DJ35" s="309" t="s">
        <v>434</v>
      </c>
      <c r="DK35" s="309"/>
      <c r="DL35" s="309"/>
      <c r="DM35" s="309"/>
      <c r="DN35" s="309"/>
      <c r="DO35" s="309"/>
      <c r="DP35" s="309"/>
      <c r="DQ35" s="309"/>
      <c r="DR35" s="309"/>
      <c r="DS35" s="198"/>
      <c r="DT35" s="198"/>
      <c r="DU35" s="198"/>
      <c r="DV35" s="198"/>
      <c r="DW35" s="198"/>
      <c r="DX35" s="198"/>
      <c r="DY35" s="198"/>
      <c r="DZ35" s="198"/>
      <c r="EA35" s="198"/>
      <c r="EB35" s="200"/>
      <c r="ED35" s="158"/>
      <c r="EE35" s="158"/>
      <c r="EF35" s="158"/>
    </row>
    <row r="36" spans="1:136" ht="15" thickBot="1" x14ac:dyDescent="0.35">
      <c r="A36" s="158"/>
      <c r="B36" s="158"/>
      <c r="C36" s="196"/>
      <c r="D36" s="196"/>
      <c r="E36" s="361" t="s">
        <v>435</v>
      </c>
      <c r="F36" s="362"/>
      <c r="G36" s="362"/>
      <c r="H36" s="362"/>
      <c r="I36" s="362"/>
      <c r="J36" s="362"/>
      <c r="K36" s="362"/>
      <c r="L36" s="362"/>
      <c r="M36" s="362"/>
      <c r="N36" s="362"/>
      <c r="O36" s="362"/>
      <c r="P36" s="362"/>
      <c r="Q36" s="362"/>
      <c r="R36" s="362"/>
      <c r="S36" s="362"/>
      <c r="T36" s="362"/>
      <c r="U36" s="362"/>
      <c r="V36" s="362"/>
      <c r="W36" s="362"/>
      <c r="X36" s="362"/>
      <c r="Y36" s="362"/>
      <c r="Z36" s="362"/>
      <c r="AA36" s="362"/>
      <c r="AB36" s="363"/>
      <c r="AC36" s="198"/>
      <c r="AD36" s="198"/>
      <c r="AE36" s="198"/>
      <c r="AF36" s="198"/>
      <c r="AG36" s="198"/>
      <c r="AH36" s="361" t="s">
        <v>436</v>
      </c>
      <c r="AI36" s="362"/>
      <c r="AJ36" s="362"/>
      <c r="AK36" s="362"/>
      <c r="AL36" s="362"/>
      <c r="AM36" s="362"/>
      <c r="AN36" s="362"/>
      <c r="AO36" s="362"/>
      <c r="AP36" s="362"/>
      <c r="AQ36" s="362"/>
      <c r="AR36" s="362"/>
      <c r="AS36" s="362"/>
      <c r="AT36" s="362"/>
      <c r="AU36" s="362"/>
      <c r="AV36" s="362"/>
      <c r="AW36" s="362"/>
      <c r="AX36" s="362"/>
      <c r="AY36" s="362"/>
      <c r="AZ36" s="362"/>
      <c r="BA36" s="362"/>
      <c r="BB36" s="362"/>
      <c r="BC36" s="362"/>
      <c r="BD36" s="362"/>
      <c r="BE36" s="362"/>
      <c r="BF36" s="362"/>
      <c r="BG36" s="362"/>
      <c r="BH36" s="363"/>
      <c r="BI36" s="200"/>
      <c r="BJ36" s="200"/>
      <c r="BK36" s="158"/>
      <c r="BL36" s="158"/>
      <c r="BM36" s="173"/>
      <c r="BN36" s="158"/>
      <c r="BO36" s="158"/>
      <c r="BQ36" s="208"/>
      <c r="BR36" s="361" t="s">
        <v>435</v>
      </c>
      <c r="BS36" s="362"/>
      <c r="BT36" s="362"/>
      <c r="BU36" s="362"/>
      <c r="BV36" s="362"/>
      <c r="BW36" s="362"/>
      <c r="BX36" s="362"/>
      <c r="BY36" s="362"/>
      <c r="BZ36" s="362"/>
      <c r="CA36" s="362"/>
      <c r="CB36" s="362"/>
      <c r="CC36" s="362"/>
      <c r="CD36" s="362"/>
      <c r="CE36" s="362"/>
      <c r="CF36" s="362"/>
      <c r="CG36" s="362"/>
      <c r="CH36" s="362"/>
      <c r="CI36" s="362"/>
      <c r="CJ36" s="362"/>
      <c r="CK36" s="362"/>
      <c r="CL36" s="362"/>
      <c r="CM36" s="362"/>
      <c r="CN36" s="362"/>
      <c r="CO36" s="362"/>
      <c r="CP36" s="362"/>
      <c r="CQ36" s="362"/>
      <c r="CR36" s="363"/>
      <c r="CS36" s="198"/>
      <c r="CT36" s="198"/>
      <c r="CU36" s="198"/>
      <c r="CV36" s="198"/>
      <c r="CW36" s="198"/>
      <c r="CX36" s="198"/>
      <c r="CY36" s="198"/>
      <c r="CZ36" s="198"/>
      <c r="DA36" s="361" t="s">
        <v>436</v>
      </c>
      <c r="DB36" s="362"/>
      <c r="DC36" s="362"/>
      <c r="DD36" s="362"/>
      <c r="DE36" s="362"/>
      <c r="DF36" s="362"/>
      <c r="DG36" s="362"/>
      <c r="DH36" s="362"/>
      <c r="DI36" s="362"/>
      <c r="DJ36" s="362"/>
      <c r="DK36" s="362"/>
      <c r="DL36" s="362"/>
      <c r="DM36" s="362"/>
      <c r="DN36" s="362"/>
      <c r="DO36" s="362"/>
      <c r="DP36" s="362"/>
      <c r="DQ36" s="362"/>
      <c r="DR36" s="362"/>
      <c r="DS36" s="362"/>
      <c r="DT36" s="362"/>
      <c r="DU36" s="362"/>
      <c r="DV36" s="362"/>
      <c r="DW36" s="362"/>
      <c r="DX36" s="362"/>
      <c r="DY36" s="362"/>
      <c r="DZ36" s="362"/>
      <c r="EA36" s="363"/>
      <c r="EB36" s="210"/>
      <c r="ED36" s="158"/>
      <c r="EE36" s="158"/>
      <c r="EF36" s="158"/>
    </row>
    <row r="37" spans="1:136" ht="16.2" thickBot="1" x14ac:dyDescent="0.35">
      <c r="A37" s="158"/>
      <c r="B37" s="158"/>
      <c r="C37" s="196"/>
      <c r="D37" s="196"/>
      <c r="E37" s="229"/>
      <c r="F37" s="229"/>
      <c r="G37" s="229"/>
      <c r="H37" s="229"/>
      <c r="I37" s="229"/>
      <c r="J37" s="229"/>
      <c r="K37" s="229"/>
      <c r="L37" s="229"/>
      <c r="M37" s="229"/>
      <c r="N37" s="229"/>
      <c r="O37" s="229"/>
      <c r="P37" s="229"/>
      <c r="Q37" s="229"/>
      <c r="R37" s="229"/>
      <c r="S37" s="229"/>
      <c r="T37" s="229"/>
      <c r="U37" s="229"/>
      <c r="V37" s="229"/>
      <c r="W37" s="229"/>
      <c r="X37" s="229"/>
      <c r="Y37" s="229"/>
      <c r="Z37" s="229"/>
      <c r="AA37" s="229"/>
      <c r="AB37" s="229"/>
      <c r="AC37" s="198"/>
      <c r="AD37" s="198"/>
      <c r="AE37" s="198"/>
      <c r="AF37" s="198"/>
      <c r="AG37" s="198"/>
      <c r="AH37" s="373" t="s">
        <v>437</v>
      </c>
      <c r="AI37" s="373"/>
      <c r="AJ37" s="373"/>
      <c r="AK37" s="373"/>
      <c r="AL37" s="373"/>
      <c r="AM37" s="373"/>
      <c r="AN37" s="373"/>
      <c r="AO37" s="373"/>
      <c r="AP37" s="373"/>
      <c r="AQ37" s="373"/>
      <c r="AR37" s="373"/>
      <c r="AS37" s="373"/>
      <c r="AT37" s="373"/>
      <c r="AU37" s="373"/>
      <c r="AV37" s="373"/>
      <c r="AW37" s="373"/>
      <c r="AX37" s="373"/>
      <c r="AY37" s="373"/>
      <c r="AZ37" s="373"/>
      <c r="BA37" s="373"/>
      <c r="BB37" s="373"/>
      <c r="BC37" s="373"/>
      <c r="BD37" s="373"/>
      <c r="BE37" s="373"/>
      <c r="BF37" s="373"/>
      <c r="BG37" s="373"/>
      <c r="BH37" s="373"/>
      <c r="BI37" s="200"/>
      <c r="BJ37" s="200"/>
      <c r="BK37" s="158"/>
      <c r="BL37" s="158"/>
      <c r="BM37" s="173"/>
      <c r="BN37" s="158"/>
      <c r="BO37" s="158"/>
      <c r="BQ37" s="208"/>
      <c r="BR37" s="373" t="s">
        <v>438</v>
      </c>
      <c r="BS37" s="373"/>
      <c r="BT37" s="373"/>
      <c r="BU37" s="373"/>
      <c r="BV37" s="373"/>
      <c r="BW37" s="373"/>
      <c r="BX37" s="373"/>
      <c r="BY37" s="373"/>
      <c r="BZ37" s="373"/>
      <c r="CA37" s="373"/>
      <c r="CB37" s="373"/>
      <c r="CC37" s="373"/>
      <c r="CD37" s="373"/>
      <c r="CE37" s="373"/>
      <c r="CF37" s="373"/>
      <c r="CG37" s="373"/>
      <c r="CH37" s="373"/>
      <c r="CI37" s="373"/>
      <c r="CJ37" s="373"/>
      <c r="CK37" s="373"/>
      <c r="CL37" s="373"/>
      <c r="CM37" s="373"/>
      <c r="CN37" s="373"/>
      <c r="CO37" s="373"/>
      <c r="CP37" s="373"/>
      <c r="CQ37" s="373"/>
      <c r="CR37" s="373"/>
      <c r="CS37" s="211"/>
      <c r="CT37" s="211"/>
      <c r="CU37" s="211"/>
      <c r="CV37" s="211"/>
      <c r="CW37" s="211"/>
      <c r="CX37" s="211"/>
      <c r="CY37" s="211"/>
      <c r="CZ37" s="211"/>
      <c r="DA37" s="374" t="s">
        <v>437</v>
      </c>
      <c r="DB37" s="374"/>
      <c r="DC37" s="374"/>
      <c r="DD37" s="374"/>
      <c r="DE37" s="374"/>
      <c r="DF37" s="374"/>
      <c r="DG37" s="374"/>
      <c r="DH37" s="374"/>
      <c r="DI37" s="374"/>
      <c r="DJ37" s="374"/>
      <c r="DK37" s="374"/>
      <c r="DL37" s="374"/>
      <c r="DM37" s="374"/>
      <c r="DN37" s="374"/>
      <c r="DO37" s="374"/>
      <c r="DP37" s="374"/>
      <c r="DQ37" s="374"/>
      <c r="DR37" s="374"/>
      <c r="DS37" s="374"/>
      <c r="DT37" s="374"/>
      <c r="DU37" s="374"/>
      <c r="DV37" s="374"/>
      <c r="DW37" s="374"/>
      <c r="DX37" s="374"/>
      <c r="DY37" s="374"/>
      <c r="DZ37" s="374"/>
      <c r="EA37" s="374"/>
      <c r="EB37" s="210"/>
      <c r="ED37" s="158"/>
      <c r="EE37" s="158"/>
      <c r="EF37" s="158"/>
    </row>
    <row r="38" spans="1:136" ht="15" thickTop="1" x14ac:dyDescent="0.3">
      <c r="A38" s="158"/>
      <c r="B38" s="158"/>
      <c r="C38" s="196"/>
      <c r="D38" s="196"/>
      <c r="E38" s="393" t="s">
        <v>439</v>
      </c>
      <c r="F38" s="394"/>
      <c r="G38" s="394"/>
      <c r="H38" s="394"/>
      <c r="I38" s="394"/>
      <c r="J38" s="394"/>
      <c r="K38" s="394"/>
      <c r="L38" s="394"/>
      <c r="M38" s="395"/>
      <c r="N38" s="396" t="s">
        <v>430</v>
      </c>
      <c r="O38" s="391"/>
      <c r="P38" s="391"/>
      <c r="Q38" s="391"/>
      <c r="R38" s="391"/>
      <c r="S38" s="391"/>
      <c r="T38" s="391"/>
      <c r="U38" s="391"/>
      <c r="V38" s="391" t="s">
        <v>440</v>
      </c>
      <c r="W38" s="391"/>
      <c r="X38" s="391"/>
      <c r="Y38" s="391"/>
      <c r="Z38" s="391"/>
      <c r="AA38" s="391"/>
      <c r="AB38" s="392"/>
      <c r="AC38" s="198"/>
      <c r="AD38" s="198"/>
      <c r="AE38" s="198"/>
      <c r="AF38" s="198"/>
      <c r="AG38" s="198"/>
      <c r="AH38" s="358" t="s">
        <v>432</v>
      </c>
      <c r="AI38" s="358"/>
      <c r="AJ38" s="358"/>
      <c r="AK38" s="358"/>
      <c r="AL38" s="358"/>
      <c r="AM38" s="358"/>
      <c r="AN38" s="358"/>
      <c r="AO38" s="358"/>
      <c r="AP38" s="358"/>
      <c r="AQ38" s="359" t="s">
        <v>283</v>
      </c>
      <c r="AR38" s="359"/>
      <c r="AS38" s="359"/>
      <c r="AT38" s="359"/>
      <c r="AU38" s="359"/>
      <c r="AV38" s="359"/>
      <c r="AW38" s="359"/>
      <c r="AX38" s="359"/>
      <c r="AY38" s="359"/>
      <c r="AZ38" s="359" t="s">
        <v>433</v>
      </c>
      <c r="BA38" s="359"/>
      <c r="BB38" s="359"/>
      <c r="BC38" s="359"/>
      <c r="BD38" s="359"/>
      <c r="BE38" s="359"/>
      <c r="BF38" s="359"/>
      <c r="BG38" s="359"/>
      <c r="BH38" s="360"/>
      <c r="BI38" s="200"/>
      <c r="BJ38" s="200"/>
      <c r="BK38" s="158"/>
      <c r="BL38" s="158"/>
      <c r="BM38" s="173"/>
      <c r="BN38" s="158"/>
      <c r="BO38" s="158"/>
      <c r="BP38" s="113"/>
      <c r="BQ38" s="208"/>
      <c r="BR38" s="385" t="s">
        <v>441</v>
      </c>
      <c r="BS38" s="386"/>
      <c r="BT38" s="386"/>
      <c r="BU38" s="386"/>
      <c r="BV38" s="386"/>
      <c r="BW38" s="386"/>
      <c r="BX38" s="386"/>
      <c r="BY38" s="387"/>
      <c r="BZ38" s="388" t="s">
        <v>430</v>
      </c>
      <c r="CA38" s="359"/>
      <c r="CB38" s="359"/>
      <c r="CC38" s="359"/>
      <c r="CD38" s="359"/>
      <c r="CE38" s="359"/>
      <c r="CF38" s="359"/>
      <c r="CG38" s="359"/>
      <c r="CH38" s="359"/>
      <c r="CI38" s="389"/>
      <c r="CJ38" s="359" t="s">
        <v>442</v>
      </c>
      <c r="CK38" s="359"/>
      <c r="CL38" s="359"/>
      <c r="CM38" s="359"/>
      <c r="CN38" s="359"/>
      <c r="CO38" s="359"/>
      <c r="CP38" s="359"/>
      <c r="CQ38" s="359"/>
      <c r="CR38" s="360"/>
      <c r="CS38" s="198"/>
      <c r="CT38" s="198"/>
      <c r="CU38" s="198"/>
      <c r="CV38" s="198"/>
      <c r="CW38" s="198"/>
      <c r="CX38" s="198"/>
      <c r="CY38" s="198"/>
      <c r="CZ38" s="198"/>
      <c r="DA38" s="390" t="s">
        <v>432</v>
      </c>
      <c r="DB38" s="391"/>
      <c r="DC38" s="391"/>
      <c r="DD38" s="391"/>
      <c r="DE38" s="391"/>
      <c r="DF38" s="391"/>
      <c r="DG38" s="391"/>
      <c r="DH38" s="391"/>
      <c r="DI38" s="391"/>
      <c r="DJ38" s="391" t="s">
        <v>283</v>
      </c>
      <c r="DK38" s="391"/>
      <c r="DL38" s="391"/>
      <c r="DM38" s="391"/>
      <c r="DN38" s="391"/>
      <c r="DO38" s="391"/>
      <c r="DP38" s="391"/>
      <c r="DQ38" s="391"/>
      <c r="DR38" s="391"/>
      <c r="DS38" s="391" t="s">
        <v>433</v>
      </c>
      <c r="DT38" s="391"/>
      <c r="DU38" s="391"/>
      <c r="DV38" s="391"/>
      <c r="DW38" s="391"/>
      <c r="DX38" s="391"/>
      <c r="DY38" s="391"/>
      <c r="DZ38" s="391"/>
      <c r="EA38" s="392"/>
      <c r="EB38" s="210"/>
      <c r="ED38" s="158"/>
      <c r="EE38" s="158"/>
      <c r="EF38" s="158"/>
    </row>
    <row r="39" spans="1:136" ht="16.2" thickBot="1" x14ac:dyDescent="0.35">
      <c r="A39" s="158"/>
      <c r="B39" s="158"/>
      <c r="C39" s="196"/>
      <c r="D39" s="196"/>
      <c r="E39" s="410" t="e">
        <f>V39-N39</f>
        <v>#VALUE!</v>
      </c>
      <c r="F39" s="411"/>
      <c r="G39" s="411"/>
      <c r="H39" s="411"/>
      <c r="I39" s="411"/>
      <c r="J39" s="411"/>
      <c r="K39" s="411"/>
      <c r="L39" s="411"/>
      <c r="M39" s="412"/>
      <c r="N39" s="413" t="str">
        <f>$AY$13</f>
        <v/>
      </c>
      <c r="O39" s="376"/>
      <c r="P39" s="376"/>
      <c r="Q39" s="376"/>
      <c r="R39" s="376"/>
      <c r="S39" s="376"/>
      <c r="T39" s="376"/>
      <c r="U39" s="376"/>
      <c r="V39" s="376" t="str">
        <f>S16</f>
        <v/>
      </c>
      <c r="W39" s="376"/>
      <c r="X39" s="376"/>
      <c r="Y39" s="376"/>
      <c r="Z39" s="376"/>
      <c r="AA39" s="376"/>
      <c r="AB39" s="377"/>
      <c r="AC39" s="212"/>
      <c r="AD39" s="212"/>
      <c r="AE39" s="212"/>
      <c r="AF39" s="212"/>
      <c r="AG39" s="212"/>
      <c r="AH39" s="414"/>
      <c r="AI39" s="415"/>
      <c r="AJ39" s="415"/>
      <c r="AK39" s="415"/>
      <c r="AL39" s="415"/>
      <c r="AM39" s="415"/>
      <c r="AN39" s="415"/>
      <c r="AO39" s="415"/>
      <c r="AP39" s="415"/>
      <c r="AQ39" s="416" t="e">
        <f>$V$39/($AO$13+$AY$13)</f>
        <v>#VALUE!</v>
      </c>
      <c r="AR39" s="416"/>
      <c r="AS39" s="416"/>
      <c r="AT39" s="416"/>
      <c r="AU39" s="416"/>
      <c r="AV39" s="416"/>
      <c r="AW39" s="416"/>
      <c r="AX39" s="416"/>
      <c r="AY39" s="416"/>
      <c r="AZ39" s="416" t="e">
        <f>$V$39/$AO$16</f>
        <v>#VALUE!</v>
      </c>
      <c r="BA39" s="416"/>
      <c r="BB39" s="416"/>
      <c r="BC39" s="416"/>
      <c r="BD39" s="416"/>
      <c r="BE39" s="416"/>
      <c r="BF39" s="416"/>
      <c r="BG39" s="416"/>
      <c r="BH39" s="417"/>
      <c r="BI39" s="200"/>
      <c r="BJ39" s="200"/>
      <c r="BK39" s="158"/>
      <c r="BL39" s="158"/>
      <c r="BM39" s="173"/>
      <c r="BN39" s="158"/>
      <c r="BO39" s="158"/>
      <c r="BQ39" s="208"/>
      <c r="BR39" s="397">
        <v>500000</v>
      </c>
      <c r="BS39" s="398"/>
      <c r="BT39" s="398"/>
      <c r="BU39" s="398"/>
      <c r="BV39" s="398"/>
      <c r="BW39" s="398"/>
      <c r="BX39" s="398"/>
      <c r="BY39" s="399"/>
      <c r="BZ39" s="400">
        <f>$DR$13</f>
        <v>20000</v>
      </c>
      <c r="CA39" s="376"/>
      <c r="CB39" s="376"/>
      <c r="CC39" s="376"/>
      <c r="CD39" s="376"/>
      <c r="CE39" s="376"/>
      <c r="CF39" s="376"/>
      <c r="CG39" s="376"/>
      <c r="CH39" s="376"/>
      <c r="CI39" s="401"/>
      <c r="CJ39" s="402">
        <f>$BR$39+$BZ$39</f>
        <v>520000</v>
      </c>
      <c r="CK39" s="402"/>
      <c r="CL39" s="402"/>
      <c r="CM39" s="402"/>
      <c r="CN39" s="402"/>
      <c r="CO39" s="402"/>
      <c r="CP39" s="402"/>
      <c r="CQ39" s="402"/>
      <c r="CR39" s="403"/>
      <c r="CS39" s="212"/>
      <c r="CT39" s="212"/>
      <c r="CU39" s="212"/>
      <c r="CV39" s="212"/>
      <c r="CW39" s="212"/>
      <c r="CX39" s="212"/>
      <c r="CY39" s="212"/>
      <c r="CZ39" s="212"/>
      <c r="DA39" s="404"/>
      <c r="DB39" s="405"/>
      <c r="DC39" s="405"/>
      <c r="DD39" s="405"/>
      <c r="DE39" s="405"/>
      <c r="DF39" s="405"/>
      <c r="DG39" s="405"/>
      <c r="DH39" s="405"/>
      <c r="DI39" s="406"/>
      <c r="DJ39" s="407">
        <f>$CJ$39/($DH$13+$DR$13)</f>
        <v>0.76470588235294112</v>
      </c>
      <c r="DK39" s="408"/>
      <c r="DL39" s="408"/>
      <c r="DM39" s="408"/>
      <c r="DN39" s="408"/>
      <c r="DO39" s="408"/>
      <c r="DP39" s="408"/>
      <c r="DQ39" s="408"/>
      <c r="DR39" s="408"/>
      <c r="DS39" s="407">
        <f>$CJ$39/$DH$16</f>
        <v>0.65</v>
      </c>
      <c r="DT39" s="408"/>
      <c r="DU39" s="408"/>
      <c r="DV39" s="408"/>
      <c r="DW39" s="408"/>
      <c r="DX39" s="408"/>
      <c r="DY39" s="408"/>
      <c r="DZ39" s="408"/>
      <c r="EA39" s="409"/>
      <c r="EB39" s="210"/>
      <c r="ED39" s="158"/>
      <c r="EE39" s="158"/>
      <c r="EF39" s="158"/>
    </row>
    <row r="40" spans="1:136" ht="16.2" hidden="1" thickTop="1" x14ac:dyDescent="0.3">
      <c r="A40" s="158"/>
      <c r="B40" s="158"/>
      <c r="C40" s="196"/>
      <c r="D40" s="196"/>
      <c r="E40" s="230"/>
      <c r="F40" s="230"/>
      <c r="G40" s="230"/>
      <c r="H40" s="230"/>
      <c r="I40" s="230"/>
      <c r="J40" s="230"/>
      <c r="K40" s="230"/>
      <c r="L40" s="230"/>
      <c r="M40" s="230"/>
      <c r="N40" s="231"/>
      <c r="O40" s="231"/>
      <c r="P40" s="231"/>
      <c r="Q40" s="231"/>
      <c r="R40" s="231"/>
      <c r="S40" s="231"/>
      <c r="T40" s="231"/>
      <c r="U40" s="231"/>
      <c r="V40" s="231"/>
      <c r="W40" s="231"/>
      <c r="X40" s="231"/>
      <c r="Y40" s="231"/>
      <c r="Z40" s="231"/>
      <c r="AA40" s="231"/>
      <c r="AB40" s="231"/>
      <c r="AC40" s="198"/>
      <c r="AD40" s="198"/>
      <c r="AE40" s="198"/>
      <c r="AF40" s="198"/>
      <c r="AG40" s="198"/>
      <c r="AH40" s="232"/>
      <c r="AI40" s="232"/>
      <c r="AJ40" s="232"/>
      <c r="AK40" s="232"/>
      <c r="AL40" s="232"/>
      <c r="AM40" s="232"/>
      <c r="AN40" s="232"/>
      <c r="AO40" s="232"/>
      <c r="AP40" s="232"/>
      <c r="AQ40" s="232"/>
      <c r="AR40" s="232"/>
      <c r="AS40" s="232"/>
      <c r="AT40" s="232"/>
      <c r="AU40" s="232"/>
      <c r="AV40" s="232"/>
      <c r="AW40" s="232"/>
      <c r="AX40" s="232"/>
      <c r="AY40" s="232"/>
      <c r="AZ40" s="232"/>
      <c r="BA40" s="232"/>
      <c r="BB40" s="232"/>
      <c r="BC40" s="232"/>
      <c r="BD40" s="232"/>
      <c r="BE40" s="232"/>
      <c r="BF40" s="232"/>
      <c r="BG40" s="232"/>
      <c r="BH40" s="232"/>
      <c r="BI40" s="200"/>
      <c r="BJ40" s="200"/>
      <c r="BK40" s="158"/>
      <c r="BL40" s="158"/>
      <c r="BM40" s="173"/>
      <c r="BN40" s="158"/>
      <c r="BO40" s="158"/>
      <c r="BQ40" s="208"/>
      <c r="BR40" s="213"/>
      <c r="BS40" s="213"/>
      <c r="BT40" s="213"/>
      <c r="BU40" s="213"/>
      <c r="BV40" s="213"/>
      <c r="BW40" s="213"/>
      <c r="BX40" s="213"/>
      <c r="BY40" s="213"/>
      <c r="BZ40" s="213"/>
      <c r="CA40" s="213"/>
      <c r="CB40" s="213"/>
      <c r="CC40" s="213"/>
      <c r="CD40" s="213"/>
      <c r="CE40" s="213"/>
      <c r="CF40" s="213"/>
      <c r="CG40" s="213"/>
      <c r="CH40" s="213"/>
      <c r="CI40" s="213"/>
      <c r="CJ40" s="213"/>
      <c r="CK40" s="213"/>
      <c r="CL40" s="213"/>
      <c r="CM40" s="213"/>
      <c r="CN40" s="213"/>
      <c r="CO40" s="213"/>
      <c r="CP40" s="213"/>
      <c r="CQ40" s="213"/>
      <c r="CR40" s="213"/>
      <c r="CS40" s="214"/>
      <c r="CT40" s="214"/>
      <c r="CU40" s="214"/>
      <c r="CV40" s="214"/>
      <c r="CW40" s="214"/>
      <c r="CX40" s="214"/>
      <c r="CY40" s="214"/>
      <c r="CZ40" s="214"/>
      <c r="DA40" s="215"/>
      <c r="DB40" s="215"/>
      <c r="DC40" s="215"/>
      <c r="DD40" s="215"/>
      <c r="DE40" s="215"/>
      <c r="DF40" s="215"/>
      <c r="DG40" s="215"/>
      <c r="DH40" s="215"/>
      <c r="DI40" s="215"/>
      <c r="DJ40" s="215"/>
      <c r="DK40" s="215"/>
      <c r="DL40" s="215"/>
      <c r="DM40" s="215"/>
      <c r="DN40" s="215"/>
      <c r="DO40" s="215"/>
      <c r="DP40" s="215"/>
      <c r="DQ40" s="215"/>
      <c r="DR40" s="215"/>
      <c r="DS40" s="215"/>
      <c r="DT40" s="215"/>
      <c r="DU40" s="215"/>
      <c r="DV40" s="215"/>
      <c r="DW40" s="215"/>
      <c r="DX40" s="215"/>
      <c r="DY40" s="215"/>
      <c r="DZ40" s="215"/>
      <c r="EA40" s="215"/>
      <c r="EB40" s="210"/>
      <c r="ED40" s="158"/>
      <c r="EE40" s="158"/>
      <c r="EF40" s="158"/>
    </row>
    <row r="41" spans="1:136" ht="16.2" hidden="1" thickTop="1" x14ac:dyDescent="0.3">
      <c r="A41" s="158"/>
      <c r="B41" s="158"/>
      <c r="C41" s="196"/>
      <c r="D41" s="196"/>
      <c r="E41" s="230"/>
      <c r="F41" s="282" t="s">
        <v>443</v>
      </c>
      <c r="G41" s="230"/>
      <c r="H41" s="230"/>
      <c r="I41" s="230"/>
      <c r="J41" s="230"/>
      <c r="K41" s="230"/>
      <c r="L41" s="230"/>
      <c r="M41" s="230"/>
      <c r="N41" s="231"/>
      <c r="O41" s="231"/>
      <c r="P41" s="231"/>
      <c r="Q41" s="231"/>
      <c r="R41" s="231"/>
      <c r="S41" s="231"/>
      <c r="T41" s="231"/>
      <c r="U41" s="231"/>
      <c r="V41" s="231"/>
      <c r="W41" s="231"/>
      <c r="X41" s="231"/>
      <c r="Y41" s="231"/>
      <c r="Z41" s="231"/>
      <c r="AA41" s="231"/>
      <c r="AB41" s="231"/>
      <c r="AC41" s="231"/>
      <c r="AD41" s="231"/>
      <c r="AE41" s="231"/>
      <c r="AF41" s="231"/>
      <c r="AG41" s="231"/>
      <c r="AH41" s="231"/>
      <c r="AI41" s="231"/>
      <c r="AJ41" s="231"/>
      <c r="AK41" s="231"/>
      <c r="AL41" s="231"/>
      <c r="AM41" s="231"/>
      <c r="AN41" s="231"/>
      <c r="AO41" s="231"/>
      <c r="AP41" s="231"/>
      <c r="AQ41" s="231"/>
      <c r="AR41" s="231"/>
      <c r="AS41" s="231"/>
      <c r="AT41" s="231"/>
      <c r="AU41" s="231"/>
      <c r="AV41" s="231"/>
      <c r="AW41" s="231"/>
      <c r="AX41" s="231"/>
      <c r="AY41" s="231"/>
      <c r="AZ41" s="231"/>
      <c r="BA41" s="231"/>
      <c r="BB41" s="231"/>
      <c r="BC41" s="232"/>
      <c r="BD41" s="232"/>
      <c r="BE41" s="232"/>
      <c r="BF41" s="232"/>
      <c r="BG41" s="232"/>
      <c r="BH41" s="232"/>
      <c r="BI41" s="200"/>
      <c r="BJ41" s="200"/>
      <c r="BK41" s="158"/>
      <c r="BL41" s="158"/>
      <c r="BM41" s="173"/>
      <c r="BN41" s="158"/>
      <c r="BO41" s="158"/>
      <c r="BQ41" s="208"/>
      <c r="BR41" s="213"/>
      <c r="BS41" s="282" t="s">
        <v>444</v>
      </c>
      <c r="BT41" s="283"/>
      <c r="BU41" s="283"/>
      <c r="BV41" s="283"/>
      <c r="BW41" s="283"/>
      <c r="BX41" s="283"/>
      <c r="BY41" s="283"/>
      <c r="BZ41" s="283"/>
      <c r="CA41" s="284"/>
      <c r="CB41" s="219"/>
      <c r="CC41" s="285" t="s">
        <v>445</v>
      </c>
      <c r="CD41" s="285"/>
      <c r="CE41" s="285"/>
      <c r="CF41" s="285"/>
      <c r="CG41" s="285"/>
      <c r="CH41" s="285"/>
      <c r="CI41" s="285"/>
      <c r="CJ41" s="285"/>
      <c r="CK41" s="285"/>
      <c r="CL41" s="285"/>
      <c r="CM41" s="213"/>
      <c r="CN41" s="285" t="s">
        <v>446</v>
      </c>
      <c r="CO41" s="285"/>
      <c r="CP41" s="285"/>
      <c r="CQ41" s="285"/>
      <c r="CR41" s="285"/>
      <c r="CS41" s="285"/>
      <c r="CT41" s="285"/>
      <c r="CU41" s="214"/>
      <c r="CV41" s="285" t="s">
        <v>447</v>
      </c>
      <c r="CW41" s="285"/>
      <c r="CX41" s="285"/>
      <c r="CY41" s="285"/>
      <c r="CZ41" s="285"/>
      <c r="DA41" s="285"/>
      <c r="DB41" s="285"/>
      <c r="DC41" s="285"/>
      <c r="DD41" s="285"/>
      <c r="DE41" s="215"/>
      <c r="DF41" s="285" t="s">
        <v>448</v>
      </c>
      <c r="DG41" s="285"/>
      <c r="DH41" s="285"/>
      <c r="DI41" s="285"/>
      <c r="DJ41" s="285"/>
      <c r="DK41" s="285"/>
      <c r="DL41" s="285"/>
      <c r="DM41" s="285"/>
      <c r="DN41" s="285"/>
      <c r="DO41" s="285"/>
      <c r="DP41" s="285"/>
      <c r="DQ41" s="285"/>
      <c r="DR41" s="285"/>
      <c r="DS41" s="215"/>
      <c r="DT41" s="224" t="s">
        <v>449</v>
      </c>
      <c r="DU41" s="224"/>
      <c r="DV41" s="224"/>
      <c r="DW41" s="224"/>
      <c r="DX41" s="224"/>
      <c r="DY41" s="224"/>
      <c r="DZ41" s="224"/>
      <c r="EA41" s="215"/>
      <c r="EB41" s="210"/>
      <c r="ED41" s="158"/>
      <c r="EE41" s="158"/>
      <c r="EF41" s="158"/>
    </row>
    <row r="42" spans="1:136" ht="16.2" hidden="1" thickTop="1" x14ac:dyDescent="0.3">
      <c r="A42" s="158"/>
      <c r="B42" s="158"/>
      <c r="C42" s="196"/>
      <c r="D42" s="196"/>
      <c r="E42" s="230"/>
      <c r="F42" s="222" t="e">
        <f>INDEX(Table59[],MATCH('Combined Sizer'!$M$3,Table59[Record ID],0),MATCH("AHL - Available Check",Table59[#Headers],0))</f>
        <v>#N/A</v>
      </c>
      <c r="G42" s="230"/>
      <c r="H42" s="230"/>
      <c r="I42" s="230"/>
      <c r="J42" s="230"/>
      <c r="K42" s="230"/>
      <c r="L42" s="230"/>
      <c r="M42" s="230"/>
      <c r="N42" s="231"/>
      <c r="O42" s="231"/>
      <c r="P42" s="231"/>
      <c r="Q42" s="231"/>
      <c r="R42" s="231"/>
      <c r="S42" s="231"/>
      <c r="T42" s="231"/>
      <c r="U42" s="231"/>
      <c r="V42" s="231"/>
      <c r="W42" s="231"/>
      <c r="X42" s="231"/>
      <c r="Y42" s="231"/>
      <c r="Z42" s="231"/>
      <c r="AA42" s="231"/>
      <c r="AB42" s="231"/>
      <c r="AC42" s="231"/>
      <c r="AD42" s="231"/>
      <c r="AE42" s="231"/>
      <c r="AF42" s="231"/>
      <c r="AG42" s="231"/>
      <c r="AH42" s="231"/>
      <c r="AI42" s="231"/>
      <c r="AJ42" s="231"/>
      <c r="AK42" s="231"/>
      <c r="AL42" s="231"/>
      <c r="AM42" s="231"/>
      <c r="AN42" s="231"/>
      <c r="AO42" s="231"/>
      <c r="AP42" s="231"/>
      <c r="AQ42" s="231"/>
      <c r="AR42" s="231"/>
      <c r="AS42" s="231"/>
      <c r="AT42" s="231"/>
      <c r="AU42" s="231"/>
      <c r="AV42" s="231"/>
      <c r="AW42" s="231"/>
      <c r="AX42" s="231"/>
      <c r="AY42" s="231"/>
      <c r="AZ42" s="231"/>
      <c r="BA42" s="231"/>
      <c r="BB42" s="231"/>
      <c r="BC42" s="232"/>
      <c r="BD42" s="232"/>
      <c r="BE42" s="232"/>
      <c r="BF42" s="232"/>
      <c r="BG42" s="232"/>
      <c r="BH42" s="232"/>
      <c r="BI42" s="200"/>
      <c r="BJ42" s="200"/>
      <c r="BK42" s="158"/>
      <c r="BL42" s="158"/>
      <c r="BM42" s="173"/>
      <c r="BN42" s="158"/>
      <c r="BO42" s="158"/>
      <c r="BQ42" s="208"/>
      <c r="BR42" s="213"/>
      <c r="BS42" s="222" t="str">
        <f>_xlfn.LET(
_xlpm.CTZ,$BR$16,
IF(_xlpm.CTZ="US Citizen","TRUE",
IF(_xlpm.CTZ="Permanent Resident","TRUE",
IF(_xlpm.CTZ="Non-Permanent Resident","TRUE",
IF(_xlpm.CTZ="Foreign National","FALSE","REVIEW")))))</f>
        <v>TRUE</v>
      </c>
      <c r="BT42" s="220"/>
      <c r="BU42" s="220"/>
      <c r="BV42" s="220"/>
      <c r="BW42" s="220"/>
      <c r="BX42" s="220"/>
      <c r="BY42" s="220"/>
      <c r="BZ42" s="220"/>
      <c r="CA42" s="221"/>
      <c r="CB42" s="219"/>
      <c r="CC42" s="218" t="str">
        <f>_xlfn.LET(
_xlpm.PT,$DR$10,
IF(_xlpm.PT="Single Family","TRUE",
IF(_xlpm.PT="Duplex","TRUE",
IF(_xlpm.PT="Triplex","TRUE",
IF(_xlpm.PT="Fourplex","TRUE",
IF(_xlpm.PT="Warrantable Condo","TRUE",
IF(_xlpm.PT="Townhome","TRUE",
IF(_xlpm.PT="Planned Unit Development","TRUE",
IF(_xlpm.PT="Mobile Home","TRUE",
IF(_xlpm.PT="2 - 4 Unit","TRUE","FALSE"))))))))))</f>
        <v>TRUE</v>
      </c>
      <c r="CD42" s="218"/>
      <c r="CE42" s="218"/>
      <c r="CF42" s="218"/>
      <c r="CG42" s="218"/>
      <c r="CH42" s="218"/>
      <c r="CI42" s="218"/>
      <c r="CJ42" s="218"/>
      <c r="CK42" s="218"/>
      <c r="CL42" s="218"/>
      <c r="CM42" s="213"/>
      <c r="CN42" s="218" t="str">
        <f>IF($CX$19&gt;=(_xlfn.XLOOKUP($DR$10,'Data Validation'!$I$3:$I$12,'Data Validation'!$J$3:$J$12,0,0,1)),"TRUE","FALSE")</f>
        <v>TRUE</v>
      </c>
      <c r="CO42" s="218"/>
      <c r="CP42" s="218"/>
      <c r="CQ42" s="218"/>
      <c r="CR42" s="218"/>
      <c r="CS42" s="218"/>
      <c r="CT42" s="218"/>
      <c r="CU42" s="214"/>
      <c r="CV42" s="223" t="str">
        <f>_xlfn.LET(
_xlpm.st,$CX$10,
IF(_xlpm.st="ND","FALSE",IF(_xlpm.st="SD","FALSE","TRUE")))</f>
        <v>TRUE</v>
      </c>
      <c r="CW42" s="223"/>
      <c r="CX42" s="223"/>
      <c r="CY42" s="223"/>
      <c r="CZ42" s="223"/>
      <c r="DA42" s="223"/>
      <c r="DB42" s="223"/>
      <c r="DC42" s="223"/>
      <c r="DD42" s="223"/>
      <c r="DE42" s="215"/>
      <c r="DF42" s="224" t="e">
        <f>INDEX(Table1[],MATCH($CX$10,Table1[StateAbreviation],0),MATCH("AHL_LicenseRequiredBusinessPurposeStates",Table1[#Headers],0))</f>
        <v>#N/A</v>
      </c>
      <c r="DG42" s="224"/>
      <c r="DH42" s="224"/>
      <c r="DI42" s="224"/>
      <c r="DJ42" s="224"/>
      <c r="DK42" s="224"/>
      <c r="DL42" s="224"/>
      <c r="DM42" s="224"/>
      <c r="DN42" s="224"/>
      <c r="DO42" s="224"/>
      <c r="DP42" s="224"/>
      <c r="DQ42" s="224"/>
      <c r="DR42" s="224"/>
      <c r="DS42" s="215"/>
      <c r="DT42" s="306" t="str">
        <f>IF(OR($CV$42="FALSE",$CN$42="FALSE",$CC$42="FALSE",$BS$42="FALSE",$DO$63=FALSE,$CP$45="FALSE",$CW$45="FALSE",IF($CZ$45="FALSE","FALSE","TRUE")="FALSE"),"FALSE","TRUE")</f>
        <v>TRUE</v>
      </c>
      <c r="DU42" s="307"/>
      <c r="DV42" s="307"/>
      <c r="DW42" s="307"/>
      <c r="DX42" s="307"/>
      <c r="DY42" s="307"/>
      <c r="DZ42" s="308"/>
      <c r="EA42" s="215"/>
      <c r="EB42" s="210"/>
      <c r="ED42" s="158"/>
      <c r="EE42" s="158"/>
      <c r="EF42" s="158"/>
    </row>
    <row r="43" spans="1:136" ht="16.2" hidden="1" thickTop="1" x14ac:dyDescent="0.3">
      <c r="A43" s="158"/>
      <c r="B43" s="158"/>
      <c r="C43" s="196"/>
      <c r="D43" s="196"/>
      <c r="E43" s="230"/>
      <c r="F43" s="230"/>
      <c r="G43" s="230"/>
      <c r="H43" s="230"/>
      <c r="I43" s="230"/>
      <c r="J43" s="230"/>
      <c r="K43" s="230"/>
      <c r="L43" s="230"/>
      <c r="M43" s="230"/>
      <c r="N43" s="231"/>
      <c r="O43" s="231"/>
      <c r="P43" s="231"/>
      <c r="Q43" s="231"/>
      <c r="R43" s="231"/>
      <c r="S43" s="231"/>
      <c r="T43" s="231"/>
      <c r="U43" s="231"/>
      <c r="V43" s="231"/>
      <c r="W43" s="231"/>
      <c r="X43" s="231"/>
      <c r="Y43" s="231"/>
      <c r="Z43" s="231"/>
      <c r="AA43" s="231"/>
      <c r="AB43" s="231"/>
      <c r="AC43" s="198"/>
      <c r="AD43" s="198"/>
      <c r="AE43" s="198"/>
      <c r="AF43" s="198"/>
      <c r="AG43" s="198"/>
      <c r="AH43" s="232"/>
      <c r="AI43" s="198"/>
      <c r="AJ43" s="198"/>
      <c r="AK43" s="198"/>
      <c r="AL43" s="198"/>
      <c r="AM43" s="198"/>
      <c r="AN43" s="198"/>
      <c r="AO43" s="198"/>
      <c r="AP43" s="198"/>
      <c r="AQ43" s="198"/>
      <c r="AR43" s="198"/>
      <c r="AS43" s="198"/>
      <c r="AT43" s="198"/>
      <c r="AU43" s="198"/>
      <c r="AV43" s="232"/>
      <c r="AW43" s="232"/>
      <c r="AX43" s="232"/>
      <c r="AY43" s="232"/>
      <c r="AZ43" s="232"/>
      <c r="BA43" s="232"/>
      <c r="BB43" s="232"/>
      <c r="BC43" s="232"/>
      <c r="BD43" s="232"/>
      <c r="BE43" s="232"/>
      <c r="BF43" s="232"/>
      <c r="BG43" s="232"/>
      <c r="BH43" s="232"/>
      <c r="BI43" s="200"/>
      <c r="BJ43" s="200"/>
      <c r="BK43" s="158"/>
      <c r="BL43" s="158"/>
      <c r="BM43" s="173"/>
      <c r="BN43" s="158"/>
      <c r="BO43" s="158"/>
      <c r="BQ43" s="208"/>
      <c r="BR43" s="213"/>
      <c r="BS43" s="213"/>
      <c r="BT43" s="213"/>
      <c r="BU43" s="213"/>
      <c r="BV43" s="213"/>
      <c r="BW43" s="213"/>
      <c r="BX43" s="213"/>
      <c r="BY43" s="213"/>
      <c r="BZ43" s="213"/>
      <c r="CA43" s="213"/>
      <c r="CB43" s="213"/>
      <c r="CC43" s="213"/>
      <c r="CD43" s="213"/>
      <c r="CE43" s="213"/>
      <c r="CF43" s="213"/>
      <c r="CG43" s="213"/>
      <c r="CH43" s="213"/>
      <c r="CI43" s="213"/>
      <c r="CJ43" s="213"/>
      <c r="CK43" s="213"/>
      <c r="CL43" s="213"/>
      <c r="CM43" s="213"/>
      <c r="CN43" s="213"/>
      <c r="CO43" s="213"/>
      <c r="CP43" s="213"/>
      <c r="CQ43" s="213"/>
      <c r="CR43" s="213"/>
      <c r="CS43" s="214"/>
      <c r="CT43" s="214"/>
      <c r="CU43" s="214"/>
      <c r="CV43" s="214"/>
      <c r="CW43" s="214"/>
      <c r="CX43" s="214"/>
      <c r="CY43" s="214"/>
      <c r="CZ43" s="214"/>
      <c r="DA43" s="215"/>
      <c r="DB43" s="215"/>
      <c r="DC43" s="215"/>
      <c r="DD43" s="215"/>
      <c r="DE43" s="215"/>
      <c r="DF43" s="215"/>
      <c r="DG43" s="215"/>
      <c r="DH43" s="215"/>
      <c r="DI43" s="215"/>
      <c r="DJ43" s="215"/>
      <c r="DK43" s="215"/>
      <c r="DL43" s="215"/>
      <c r="DM43" s="215"/>
      <c r="DN43" s="215"/>
      <c r="DO43" s="215"/>
      <c r="DP43" s="215"/>
      <c r="DQ43" s="215"/>
      <c r="DR43" s="215"/>
      <c r="DS43" s="215"/>
      <c r="DT43" s="215"/>
      <c r="DU43" s="215"/>
      <c r="DV43" s="215"/>
      <c r="DW43" s="215"/>
      <c r="DX43" s="215"/>
      <c r="DY43" s="215"/>
      <c r="DZ43" s="215"/>
      <c r="EA43" s="215"/>
      <c r="EB43" s="210"/>
      <c r="ED43" s="158"/>
      <c r="EE43" s="158"/>
      <c r="EF43" s="158"/>
    </row>
    <row r="44" spans="1:136" ht="16.2" hidden="1" thickTop="1" x14ac:dyDescent="0.3">
      <c r="A44" s="158"/>
      <c r="B44" s="158"/>
      <c r="C44" s="196"/>
      <c r="D44" s="196"/>
      <c r="E44" s="230"/>
      <c r="F44" s="230"/>
      <c r="G44" s="230"/>
      <c r="H44" s="230"/>
      <c r="I44" s="230"/>
      <c r="J44" s="230"/>
      <c r="K44" s="230"/>
      <c r="L44" s="230"/>
      <c r="M44" s="230"/>
      <c r="N44" s="231"/>
      <c r="O44" s="231"/>
      <c r="P44" s="231"/>
      <c r="Q44" s="231"/>
      <c r="R44" s="231"/>
      <c r="S44" s="231"/>
      <c r="T44" s="231"/>
      <c r="U44" s="231"/>
      <c r="V44" s="231"/>
      <c r="W44" s="231"/>
      <c r="X44" s="231"/>
      <c r="Y44" s="231"/>
      <c r="Z44" s="231"/>
      <c r="AA44" s="231"/>
      <c r="AB44" s="231"/>
      <c r="AC44" s="198"/>
      <c r="AD44" s="198"/>
      <c r="AE44" s="198"/>
      <c r="AF44" s="198"/>
      <c r="AG44" s="198"/>
      <c r="AH44" s="232"/>
      <c r="AI44" s="198"/>
      <c r="AJ44" s="198"/>
      <c r="AK44" s="198"/>
      <c r="AL44" s="198"/>
      <c r="AM44" s="198"/>
      <c r="AN44" s="198"/>
      <c r="AO44" s="198"/>
      <c r="AP44" s="198"/>
      <c r="AQ44" s="198"/>
      <c r="AR44" s="198"/>
      <c r="AS44" s="198"/>
      <c r="AT44" s="198"/>
      <c r="AU44" s="198"/>
      <c r="AV44" s="232"/>
      <c r="AW44" s="232"/>
      <c r="AX44" s="232"/>
      <c r="AY44" s="232"/>
      <c r="AZ44" s="232"/>
      <c r="BA44" s="232"/>
      <c r="BB44" s="232"/>
      <c r="BC44" s="232"/>
      <c r="BD44" s="232"/>
      <c r="BE44" s="232"/>
      <c r="BF44" s="232"/>
      <c r="BG44" s="232"/>
      <c r="BH44" s="232"/>
      <c r="BI44" s="200"/>
      <c r="BJ44" s="200"/>
      <c r="BK44" s="158"/>
      <c r="BL44" s="158"/>
      <c r="BM44" s="173"/>
      <c r="BN44" s="158"/>
      <c r="BO44" s="158"/>
      <c r="BQ44" s="208"/>
      <c r="BR44" s="213"/>
      <c r="BS44" s="218" t="s">
        <v>450</v>
      </c>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3"/>
      <c r="CP44" s="248" t="s">
        <v>451</v>
      </c>
      <c r="CQ44" s="249"/>
      <c r="CR44" s="249"/>
      <c r="CS44" s="250"/>
      <c r="CT44" s="250"/>
      <c r="CU44" s="251"/>
      <c r="CV44" s="214"/>
      <c r="CW44" s="248" t="s">
        <v>452</v>
      </c>
      <c r="CX44" s="214"/>
      <c r="CY44" s="214" t="s">
        <v>453</v>
      </c>
      <c r="CZ44" s="214" t="s">
        <v>454</v>
      </c>
      <c r="DA44" s="214" t="s">
        <v>455</v>
      </c>
      <c r="DB44" s="214" t="s">
        <v>193</v>
      </c>
      <c r="DC44" s="214" t="s">
        <v>456</v>
      </c>
      <c r="DD44" s="214" t="s">
        <v>457</v>
      </c>
      <c r="DE44" s="214" t="s">
        <v>458</v>
      </c>
      <c r="DF44" s="214" t="s">
        <v>459</v>
      </c>
      <c r="DG44" s="215"/>
      <c r="DH44" s="215"/>
      <c r="DI44" s="215"/>
      <c r="DJ44" s="215"/>
      <c r="DK44" s="215"/>
      <c r="DL44" s="215"/>
      <c r="DM44" s="215"/>
      <c r="DN44" s="215"/>
      <c r="DO44" s="215">
        <f>_xlfn.LET(
_xlpm.PE,$BR$10,
_xlpm.FS,$BR$13,
_xlpm.LTC,($DS$34*$DH$16)/($DH$13+$DR$13),
IF(_xlpm.PE&gt;=10,IF(_xlpm.LTC&gt;0.9,0.93,IF(_xlpm.LTC&gt;0.85,0.9,0.85)),
(IF(_xlpm.PE&gt;=6,IF(_xlpm.LTC&gt;0.9,0.93,IF(_xlpm.LTC&gt;0.85,0.9,0.85)),
(IF(_xlpm.PE&gt;=3,IF(_xlpm.LTC&gt;0.9,0.9,IF(_xlpm.LTC&gt;0.85,0.9,0.85)),
(IF(_xlpm.PE=2,IF(_xlpm.LTC&gt;0.85,0.85,IF(_xlpm.LTC&gt;0.8,0.85,0.8)),
(IF(_xlpm.PE=1,IF(_xlpm.LTC&gt;0.85,0.85,IF(_xlpm.LTC&gt;0.8,0.85,0.8)),
(IF(_xlpm.PE=0,IF(_xlpm.FS&gt;=700,0.85,IF(_xlpm.FS&gt;=660,0.8,"EXPERIENCE AND FICO TOO LOW"))))))))))))))</f>
        <v>0.85</v>
      </c>
      <c r="DP44" s="215"/>
      <c r="DQ44" s="215"/>
      <c r="DR44" s="215"/>
      <c r="DS44" s="215"/>
      <c r="DT44" s="215"/>
      <c r="DU44" s="215"/>
      <c r="DV44" s="215"/>
      <c r="DW44" s="215"/>
      <c r="DX44" s="215"/>
      <c r="DY44" s="215"/>
      <c r="DZ44" s="215"/>
      <c r="EA44" s="215"/>
      <c r="EB44" s="210"/>
      <c r="ED44" s="158"/>
      <c r="EE44" s="158"/>
      <c r="EF44" s="158"/>
    </row>
    <row r="45" spans="1:136" ht="16.2" hidden="1" thickTop="1" x14ac:dyDescent="0.3">
      <c r="A45" s="158"/>
      <c r="B45" s="158"/>
      <c r="C45" s="196"/>
      <c r="D45" s="196"/>
      <c r="E45" s="230"/>
      <c r="F45" s="230"/>
      <c r="G45" s="230"/>
      <c r="H45" s="230"/>
      <c r="I45" s="230"/>
      <c r="J45" s="230"/>
      <c r="K45" s="230"/>
      <c r="L45" s="230"/>
      <c r="M45" s="230"/>
      <c r="N45" s="231"/>
      <c r="O45" s="231"/>
      <c r="P45" s="231"/>
      <c r="Q45" s="231"/>
      <c r="R45" s="231"/>
      <c r="S45" s="231"/>
      <c r="T45" s="231"/>
      <c r="U45" s="231"/>
      <c r="V45" s="231"/>
      <c r="W45" s="231"/>
      <c r="X45" s="231"/>
      <c r="Y45" s="231"/>
      <c r="Z45" s="231"/>
      <c r="AA45" s="231"/>
      <c r="AB45" s="231"/>
      <c r="AC45" s="198"/>
      <c r="AD45" s="198"/>
      <c r="AE45" s="198"/>
      <c r="AF45" s="198"/>
      <c r="AG45" s="198"/>
      <c r="AH45" s="232"/>
      <c r="AI45" s="232"/>
      <c r="AJ45" s="232"/>
      <c r="AK45" s="232"/>
      <c r="AL45" s="232"/>
      <c r="AM45" s="232"/>
      <c r="AN45" s="232"/>
      <c r="AO45" s="232"/>
      <c r="AP45" s="232"/>
      <c r="AQ45" s="232"/>
      <c r="AR45" s="232"/>
      <c r="AS45" s="232"/>
      <c r="AT45" s="232"/>
      <c r="AU45" s="232"/>
      <c r="AV45" s="232"/>
      <c r="AW45" s="232"/>
      <c r="AX45" s="232"/>
      <c r="AY45" s="232"/>
      <c r="AZ45" s="232"/>
      <c r="BA45" s="232"/>
      <c r="BB45" s="232"/>
      <c r="BC45" s="232"/>
      <c r="BD45" s="232"/>
      <c r="BE45" s="232"/>
      <c r="BF45" s="232"/>
      <c r="BG45" s="232"/>
      <c r="BH45" s="232"/>
      <c r="BI45" s="200"/>
      <c r="BJ45" s="200"/>
      <c r="BK45" s="158"/>
      <c r="BL45" s="158"/>
      <c r="BM45" s="173"/>
      <c r="BN45" s="158"/>
      <c r="BO45" s="158"/>
      <c r="BQ45" s="208"/>
      <c r="BR45" s="213"/>
      <c r="BS45" s="218" t="e">
        <f>_xlfn.CONCAT(IF(IF($BS$42="FALSE",1,0)=0,"","Citizenship Failed, "),
        IF(IF($CC$42="FALSE",1,0)=0,"","Property Type Failed, "),
        IF(IF($CN$42="FALSE",1,0)=0,"","Min sqft Failed, "),
        IF(IF($CV$42="FALSE",1,0)=0,"","State Not Available, "),
        IF(IF($DF$42=TRUE,1,0)=0,"","License Required Business Purpose State, "))</f>
        <v>#N/A</v>
      </c>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3"/>
      <c r="CP45" s="252" t="str">
        <f>_xlfn.LET(
_xlpm.FS,$BR$13,
_xlpm.BE,$BR$10,
IF(_xlpm.FS&gt;=620,"TRUE","FALSE"))</f>
        <v>TRUE</v>
      </c>
      <c r="CQ45" s="253"/>
      <c r="CR45" s="253"/>
      <c r="CS45" s="254"/>
      <c r="CT45" s="254"/>
      <c r="CU45" s="254"/>
      <c r="CV45" s="214"/>
      <c r="CW45" s="214" t="str">
        <f>IFERROR(IF($BR$19&gt;=(((($CJ$34)*$DQ$30)/12)*6),"TRUE","FALSE"),"FALSE")</f>
        <v>TRUE</v>
      </c>
      <c r="CX45" s="214"/>
      <c r="CY45" s="214" t="str">
        <f>_xlfn.LET(
_xlpm.FS,$BR$13,
_xlpm.BE,$BR$10,
IF(_xlpm.FS&gt;=660,"",IF(AND(_xlpm.FS&gt;=640,_xlpm.BE&gt;=2),TRUE,IF(AND(_xlpm.FS&gt;=620,_xlpm.BE&gt;=3),TRUE,FALSE))))</f>
        <v/>
      </c>
      <c r="CZ45" s="214" t="str">
        <f>_xlfn.LET(
_xlpm.CS,$BR$13,
_xlpm.ARLTV,$DS$34*$DH$16,
_xlpm.BE,$BR$10,
_xlpm.IR,$DQ$30,
_xlpm.CR,$BR$19,
_xlpm.ExpCh,$CY$45,
IF(_xlpm.ExpCh="","",
IF(_xlpm.ExpCh=TRUE,
IF(_xlpm.CS&gt;=640,IF(_xlpm.BE&gt;=2,IF(_xlpm.CR&gt;=((((_xlpm.ARLTV)*_xlpm.IR)/12)*9),0,-0.05),"FALSE"),
IF(_xlpm.CS&gt;=620,IF(IF(_xlpm.BE&gt;=3,1,0)+IF(_xlpm.CR&gt;=((((_xlpm.ARLTV)*_xlpm.IR)/12)*6),1,0)=2,-0.1,"FALSE"),"FALSE")),"FALSE")))</f>
        <v/>
      </c>
      <c r="DA45" s="215" t="str">
        <f>_xlfn.LET(
_xlpm.ResCh,$CZ$45,
_xlpm.LTC,$DO$44,
IF(_xlpm.ResCh="","",IF(_xlpm.ResCh="FALSE","FALSE",_xlpm.LTC+_xlpm.ResCh)))</f>
        <v/>
      </c>
      <c r="DB45" s="260" t="str">
        <f>_xlfn.LET(
_xlpm.ExpLTC,$DA$45,
_xlpm.PP,$DH$13,
_xlpm.RH,$DR$13,
IF(_xlpm.ExpLTC="","",IF(_xlpm.ExpLTC="FALSE","FALSE",(_xlpm.ExpLTC*(_xlpm.PP+_xlpm.RH)))))</f>
        <v/>
      </c>
      <c r="DC45" s="260">
        <f>_xlfn.LET(
_xlpm.ExpLA,$DB$45,
_xlpm.LTARVLA,(DS34*DH16),
IF(_xlpm.ExpLA="",_xlpm.LTARVLA,IF(_xlpm.ExpLA="FALSE","ERROR",_xlpm.ExpLA)))</f>
        <v>560000</v>
      </c>
      <c r="DD45" s="215" t="e" cm="1">
        <f t="array" ref="DD45">_xlfn.LET(
_xlpm.xp,N(BR10),
_xlpm.ltc,N(DB45/(DH13+DR13)),
_xlpm.fico,N(BR13),
_xlfn.SWITCH(TRUE,
_xlpm.xp&gt;=6,IF(_xlpm.ltc&gt;0.9,"93%",IF(_xlpm.ltc&gt;0.85,"90%","85%")),
_xlpm.xp&gt;=3,IF(_xlpm.ltc&gt;0.85,"90%","85%"),
_xlpm.xp&gt;=1,IF(_xlpm.ltc&gt;0.8,"85%","80%"),
TRUE,IF(_xlpm.fico&gt;=700,"85%",IF(_xlpm.fico&gt;=660,"80%","EXPERIENCE AND FICO TOO LOW"))
)
)</f>
        <v>#VALUE!</v>
      </c>
      <c r="DE45" s="276">
        <f>IF(CZ45=-0.1,1,IF(CZ45=-0.05,1,0))</f>
        <v>0</v>
      </c>
      <c r="DF45" s="215">
        <f>IF($DE$45=1,$DA$45,DO44)</f>
        <v>0.85</v>
      </c>
      <c r="DG45" s="215">
        <f>(DH13+DR13)*$DF$45</f>
        <v>578000</v>
      </c>
      <c r="DH45" s="215"/>
      <c r="DI45" s="215"/>
      <c r="DJ45" s="215"/>
      <c r="DK45" s="215"/>
      <c r="DL45" s="215"/>
      <c r="DM45" s="215"/>
      <c r="DN45" s="215"/>
      <c r="DO45" s="215"/>
      <c r="DP45" s="215"/>
      <c r="DQ45" s="215"/>
      <c r="DR45" s="215"/>
      <c r="DS45" s="215"/>
      <c r="DT45" s="215"/>
      <c r="DU45" s="215"/>
      <c r="DV45" s="215"/>
      <c r="DW45" s="215"/>
      <c r="DX45" s="215"/>
      <c r="DY45" s="215"/>
      <c r="DZ45" s="215"/>
      <c r="EA45" s="215"/>
      <c r="EB45" s="210"/>
      <c r="ED45" s="158"/>
      <c r="EE45" s="158"/>
      <c r="EF45" s="158"/>
    </row>
    <row r="46" spans="1:136" ht="16.2" hidden="1" thickTop="1" x14ac:dyDescent="0.3">
      <c r="A46" s="158"/>
      <c r="B46" s="158"/>
      <c r="C46" s="196"/>
      <c r="D46" s="196"/>
      <c r="E46" s="230"/>
      <c r="F46" s="230"/>
      <c r="G46" s="230"/>
      <c r="H46" s="230"/>
      <c r="I46" s="230"/>
      <c r="J46" s="230"/>
      <c r="K46" s="230"/>
      <c r="L46" s="230"/>
      <c r="M46" s="230"/>
      <c r="N46" s="231"/>
      <c r="O46" s="231"/>
      <c r="P46" s="231"/>
      <c r="Q46" s="231"/>
      <c r="R46" s="231"/>
      <c r="S46" s="231"/>
      <c r="T46" s="231"/>
      <c r="U46" s="231"/>
      <c r="V46" s="231"/>
      <c r="W46" s="231"/>
      <c r="X46" s="231"/>
      <c r="Y46" s="231"/>
      <c r="Z46" s="231"/>
      <c r="AA46" s="231"/>
      <c r="AB46" s="231"/>
      <c r="AC46" s="198"/>
      <c r="AD46" s="198"/>
      <c r="AE46" s="198"/>
      <c r="AF46" s="198"/>
      <c r="AG46" s="198"/>
      <c r="AH46" s="232"/>
      <c r="AI46" s="232"/>
      <c r="AJ46" s="232"/>
      <c r="AK46" s="232"/>
      <c r="AL46" s="232"/>
      <c r="AM46" s="232"/>
      <c r="AN46" s="232"/>
      <c r="AO46" s="232"/>
      <c r="AP46" s="232"/>
      <c r="AQ46" s="232"/>
      <c r="AR46" s="232"/>
      <c r="AS46" s="232"/>
      <c r="AT46" s="232"/>
      <c r="AU46" s="232"/>
      <c r="AV46" s="232"/>
      <c r="AW46" s="232"/>
      <c r="AX46" s="232"/>
      <c r="AY46" s="232"/>
      <c r="AZ46" s="232"/>
      <c r="BA46" s="232"/>
      <c r="BB46" s="232"/>
      <c r="BC46" s="232"/>
      <c r="BD46" s="232"/>
      <c r="BE46" s="232"/>
      <c r="BF46" s="232"/>
      <c r="BG46" s="232"/>
      <c r="BH46" s="232"/>
      <c r="BI46" s="200"/>
      <c r="BJ46" s="200"/>
      <c r="BK46" s="158"/>
      <c r="BL46" s="158"/>
      <c r="BM46" s="173"/>
      <c r="BN46" s="158"/>
      <c r="BO46" s="158"/>
      <c r="BQ46" s="208"/>
      <c r="BR46" s="213"/>
      <c r="BS46" s="213"/>
      <c r="BT46" s="213"/>
      <c r="BU46" s="213"/>
      <c r="BV46" s="213"/>
      <c r="BW46" s="213"/>
      <c r="BX46" s="213"/>
      <c r="BY46" s="213"/>
      <c r="BZ46" s="213"/>
      <c r="CA46" s="213"/>
      <c r="CB46" s="213"/>
      <c r="CC46" s="213"/>
      <c r="CD46" s="213"/>
      <c r="CE46" s="213"/>
      <c r="CF46" s="213"/>
      <c r="CG46" s="213"/>
      <c r="CH46" s="213"/>
      <c r="CI46" s="213"/>
      <c r="CJ46" s="213"/>
      <c r="CK46" s="213"/>
      <c r="CL46" s="213"/>
      <c r="CM46" s="213"/>
      <c r="CN46" s="213"/>
      <c r="CO46" s="213"/>
      <c r="CP46" s="213"/>
      <c r="CQ46" s="213"/>
      <c r="CR46" s="213"/>
      <c r="CS46" s="214"/>
      <c r="CT46" s="214"/>
      <c r="CU46" s="214"/>
      <c r="CV46" s="214"/>
      <c r="CW46" s="214"/>
      <c r="CX46" s="214"/>
      <c r="CY46" s="214"/>
      <c r="CZ46" s="214"/>
      <c r="DA46" s="215"/>
      <c r="DB46" s="215"/>
      <c r="DC46" s="215"/>
      <c r="DD46" s="215"/>
      <c r="DE46" s="215"/>
      <c r="DF46" s="215"/>
      <c r="DG46" s="215"/>
      <c r="DH46" s="215"/>
      <c r="DI46" s="215"/>
      <c r="DJ46" s="215"/>
      <c r="DK46" s="215"/>
      <c r="DL46" s="215"/>
      <c r="DM46" s="215"/>
      <c r="DN46" s="215"/>
      <c r="DO46" s="215"/>
      <c r="DP46" s="215"/>
      <c r="DQ46" s="215"/>
      <c r="DR46" s="215"/>
      <c r="DS46" s="215"/>
      <c r="DT46" s="215"/>
      <c r="DU46" s="215"/>
      <c r="DV46" s="215"/>
      <c r="DW46" s="215"/>
      <c r="DX46" s="215"/>
      <c r="DY46" s="215"/>
      <c r="DZ46" s="215"/>
      <c r="EA46" s="215"/>
      <c r="EB46" s="210"/>
      <c r="ED46" s="158"/>
      <c r="EE46" s="158"/>
      <c r="EF46" s="158"/>
    </row>
    <row r="47" spans="1:136" ht="15" thickTop="1" x14ac:dyDescent="0.3">
      <c r="A47" s="158"/>
      <c r="B47" s="158"/>
      <c r="C47" s="196"/>
      <c r="D47" s="208"/>
      <c r="E47" s="206"/>
      <c r="F47" s="206"/>
      <c r="G47" s="206"/>
      <c r="H47" s="206"/>
      <c r="I47" s="206"/>
      <c r="J47" s="206"/>
      <c r="K47" s="206"/>
      <c r="L47" s="206"/>
      <c r="M47" s="209"/>
      <c r="N47" s="206"/>
      <c r="O47" s="206"/>
      <c r="P47" s="206"/>
      <c r="Q47" s="206"/>
      <c r="R47" s="206"/>
      <c r="S47" s="206"/>
      <c r="T47" s="206"/>
      <c r="U47" s="209"/>
      <c r="V47" s="209"/>
      <c r="W47" s="209"/>
      <c r="X47" s="209"/>
      <c r="Y47" s="209"/>
      <c r="Z47" s="209"/>
      <c r="AA47" s="209"/>
      <c r="AB47" s="198"/>
      <c r="AC47" s="198"/>
      <c r="AD47" s="198"/>
      <c r="AE47" s="198"/>
      <c r="AF47" s="198"/>
      <c r="AG47" s="198"/>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198"/>
      <c r="BF47" s="198"/>
      <c r="BG47" s="198"/>
      <c r="BH47" s="198"/>
      <c r="BI47" s="200"/>
      <c r="BJ47" s="200"/>
      <c r="BK47" s="158"/>
      <c r="BL47" s="158"/>
      <c r="BM47" s="173"/>
      <c r="BN47" s="158"/>
      <c r="BO47" s="158"/>
      <c r="BQ47" s="208"/>
      <c r="BR47" s="198"/>
      <c r="BS47" s="198"/>
      <c r="BT47" s="198"/>
      <c r="BU47" s="198"/>
      <c r="BV47" s="198"/>
      <c r="BW47" s="198"/>
      <c r="BX47" s="198"/>
      <c r="BY47" s="198"/>
      <c r="BZ47" s="198"/>
      <c r="CA47" s="198"/>
      <c r="CB47" s="198"/>
      <c r="CC47" s="198"/>
      <c r="CD47" s="198"/>
      <c r="CE47" s="198"/>
      <c r="CF47" s="198"/>
      <c r="CG47" s="198"/>
      <c r="CH47" s="198"/>
      <c r="CI47" s="198"/>
      <c r="CJ47" s="198"/>
      <c r="CK47" s="198"/>
      <c r="CL47" s="198"/>
      <c r="CM47" s="198"/>
      <c r="CN47" s="198"/>
      <c r="CO47" s="198"/>
      <c r="CP47" s="198"/>
      <c r="CQ47" s="198"/>
      <c r="CR47" s="198"/>
      <c r="CS47" s="198"/>
      <c r="CT47" s="198"/>
      <c r="CU47" s="198"/>
      <c r="CV47" s="198"/>
      <c r="CW47" s="198"/>
      <c r="CX47" s="206"/>
      <c r="CY47" s="206"/>
      <c r="CZ47" s="206"/>
      <c r="DA47" s="206"/>
      <c r="DB47" s="206"/>
      <c r="DC47" s="206"/>
      <c r="DD47" s="206"/>
      <c r="DE47" s="206"/>
      <c r="DF47" s="206"/>
      <c r="DG47" s="198"/>
      <c r="DH47" s="198"/>
      <c r="DI47" s="198"/>
      <c r="DJ47" s="198"/>
      <c r="DK47" s="198"/>
      <c r="DL47" s="198"/>
      <c r="DM47" s="198"/>
      <c r="DN47" s="198"/>
      <c r="DO47" s="198"/>
      <c r="DP47" s="198"/>
      <c r="DQ47" s="198"/>
      <c r="DR47" s="198"/>
      <c r="DS47" s="198"/>
      <c r="DT47" s="198"/>
      <c r="DU47" s="198"/>
      <c r="DV47" s="198"/>
      <c r="DW47" s="198"/>
      <c r="DX47" s="198"/>
      <c r="DY47" s="198"/>
      <c r="DZ47" s="198"/>
      <c r="EA47" s="198"/>
      <c r="EB47" s="210"/>
      <c r="ED47" s="158"/>
      <c r="EE47" s="158"/>
      <c r="EF47" s="158"/>
    </row>
    <row r="48" spans="1:136" s="189" customFormat="1" ht="21" x14ac:dyDescent="0.3">
      <c r="A48" s="240"/>
      <c r="B48" s="240"/>
      <c r="C48" s="242"/>
      <c r="D48" s="418" t="s">
        <v>368</v>
      </c>
      <c r="E48" s="419"/>
      <c r="F48" s="419"/>
      <c r="G48" s="419"/>
      <c r="H48" s="419"/>
      <c r="I48" s="419"/>
      <c r="J48" s="419"/>
      <c r="K48" s="419"/>
      <c r="L48" s="419"/>
      <c r="M48" s="419"/>
      <c r="N48" s="419"/>
      <c r="O48" s="419"/>
      <c r="P48" s="419"/>
      <c r="Q48" s="419"/>
      <c r="R48" s="419"/>
      <c r="S48" s="419"/>
      <c r="T48" s="419"/>
      <c r="U48" s="419"/>
      <c r="V48" s="419"/>
      <c r="W48" s="419"/>
      <c r="X48" s="419"/>
      <c r="Y48" s="419"/>
      <c r="Z48" s="419"/>
      <c r="AA48" s="419"/>
      <c r="AB48" s="419"/>
      <c r="AC48" s="419"/>
      <c r="AD48" s="419"/>
      <c r="AE48" s="419"/>
      <c r="AF48" s="419"/>
      <c r="AG48" s="419"/>
      <c r="AH48" s="419"/>
      <c r="AI48" s="419"/>
      <c r="AJ48" s="419"/>
      <c r="AK48" s="419"/>
      <c r="AL48" s="419"/>
      <c r="AM48" s="419"/>
      <c r="AN48" s="419"/>
      <c r="AO48" s="419"/>
      <c r="AP48" s="419"/>
      <c r="AQ48" s="419"/>
      <c r="AR48" s="419"/>
      <c r="AS48" s="419"/>
      <c r="AT48" s="419"/>
      <c r="AU48" s="419"/>
      <c r="AV48" s="419"/>
      <c r="AW48" s="419"/>
      <c r="AX48" s="419"/>
      <c r="AY48" s="419"/>
      <c r="AZ48" s="419"/>
      <c r="BA48" s="419"/>
      <c r="BB48" s="419"/>
      <c r="BC48" s="419"/>
      <c r="BD48" s="419"/>
      <c r="BE48" s="419"/>
      <c r="BF48" s="419"/>
      <c r="BG48" s="419"/>
      <c r="BH48" s="419"/>
      <c r="BI48" s="420"/>
      <c r="BJ48" s="244"/>
      <c r="BK48" s="240"/>
      <c r="BL48" s="240"/>
      <c r="BM48" s="246"/>
      <c r="BN48" s="240"/>
      <c r="BO48" s="240"/>
      <c r="BP48" s="241"/>
      <c r="BQ48" s="418" t="s">
        <v>368</v>
      </c>
      <c r="BR48" s="419"/>
      <c r="BS48" s="419"/>
      <c r="BT48" s="419"/>
      <c r="BU48" s="419"/>
      <c r="BV48" s="419"/>
      <c r="BW48" s="419"/>
      <c r="BX48" s="419"/>
      <c r="BY48" s="419"/>
      <c r="BZ48" s="419"/>
      <c r="CA48" s="419"/>
      <c r="CB48" s="419"/>
      <c r="CC48" s="419"/>
      <c r="CD48" s="419"/>
      <c r="CE48" s="419"/>
      <c r="CF48" s="419"/>
      <c r="CG48" s="419"/>
      <c r="CH48" s="419"/>
      <c r="CI48" s="419"/>
      <c r="CJ48" s="419"/>
      <c r="CK48" s="419"/>
      <c r="CL48" s="419"/>
      <c r="CM48" s="419"/>
      <c r="CN48" s="419"/>
      <c r="CO48" s="419"/>
      <c r="CP48" s="419"/>
      <c r="CQ48" s="419"/>
      <c r="CR48" s="419"/>
      <c r="CS48" s="419"/>
      <c r="CT48" s="419"/>
      <c r="CU48" s="419"/>
      <c r="CV48" s="419"/>
      <c r="CW48" s="419"/>
      <c r="CX48" s="419"/>
      <c r="CY48" s="419"/>
      <c r="CZ48" s="419"/>
      <c r="DA48" s="419"/>
      <c r="DB48" s="419"/>
      <c r="DC48" s="419"/>
      <c r="DD48" s="419"/>
      <c r="DE48" s="419"/>
      <c r="DF48" s="419"/>
      <c r="DG48" s="419"/>
      <c r="DH48" s="419"/>
      <c r="DI48" s="419"/>
      <c r="DJ48" s="419"/>
      <c r="DK48" s="419"/>
      <c r="DL48" s="419"/>
      <c r="DM48" s="419"/>
      <c r="DN48" s="419"/>
      <c r="DO48" s="419"/>
      <c r="DP48" s="419"/>
      <c r="DQ48" s="419"/>
      <c r="DR48" s="419"/>
      <c r="DS48" s="419"/>
      <c r="DT48" s="419"/>
      <c r="DU48" s="419"/>
      <c r="DV48" s="419"/>
      <c r="DW48" s="419"/>
      <c r="DX48" s="419"/>
      <c r="DY48" s="419"/>
      <c r="DZ48" s="419"/>
      <c r="EA48" s="419"/>
      <c r="EB48" s="420"/>
      <c r="EC48" s="245"/>
      <c r="ED48" s="240"/>
      <c r="EE48" s="240"/>
      <c r="EF48" s="240"/>
    </row>
    <row r="49" spans="1:136" x14ac:dyDescent="0.3">
      <c r="A49" s="158"/>
      <c r="B49" s="158"/>
      <c r="C49" s="196"/>
      <c r="D49" s="196"/>
      <c r="E49" s="198"/>
      <c r="F49" s="198"/>
      <c r="G49" s="198"/>
      <c r="H49" s="198"/>
      <c r="I49" s="198"/>
      <c r="J49" s="198"/>
      <c r="K49" s="198"/>
      <c r="L49" s="198"/>
      <c r="M49" s="198"/>
      <c r="N49" s="198"/>
      <c r="O49" s="198"/>
      <c r="P49" s="198"/>
      <c r="Q49" s="198"/>
      <c r="R49" s="198"/>
      <c r="S49" s="198"/>
      <c r="T49" s="198"/>
      <c r="U49" s="198"/>
      <c r="V49" s="198"/>
      <c r="W49" s="198"/>
      <c r="X49" s="198"/>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8"/>
      <c r="AY49" s="198"/>
      <c r="AZ49" s="198"/>
      <c r="BA49" s="198"/>
      <c r="BB49" s="198"/>
      <c r="BC49" s="198"/>
      <c r="BD49" s="198"/>
      <c r="BE49" s="198"/>
      <c r="BF49" s="198"/>
      <c r="BG49" s="198"/>
      <c r="BH49" s="198"/>
      <c r="BI49" s="200"/>
      <c r="BJ49" s="200"/>
      <c r="BK49" s="158"/>
      <c r="BL49" s="158"/>
      <c r="BM49" s="173"/>
      <c r="BN49" s="158"/>
      <c r="BO49" s="158"/>
      <c r="BP49" s="184"/>
      <c r="BQ49" s="196"/>
      <c r="BR49" s="198"/>
      <c r="BS49" s="198"/>
      <c r="BT49" s="198"/>
      <c r="BU49" s="198"/>
      <c r="BV49" s="198"/>
      <c r="BW49" s="198"/>
      <c r="BX49" s="198"/>
      <c r="BY49" s="198"/>
      <c r="BZ49" s="198"/>
      <c r="CA49" s="198"/>
      <c r="CB49" s="198"/>
      <c r="CC49" s="198"/>
      <c r="CD49" s="198"/>
      <c r="CE49" s="198"/>
      <c r="CF49" s="198"/>
      <c r="CG49" s="198"/>
      <c r="CH49" s="198"/>
      <c r="CI49" s="198"/>
      <c r="CJ49" s="198"/>
      <c r="CK49" s="198"/>
      <c r="CL49" s="198"/>
      <c r="CM49" s="198"/>
      <c r="CN49" s="198"/>
      <c r="CO49" s="198"/>
      <c r="CP49" s="198"/>
      <c r="CQ49" s="198"/>
      <c r="CR49" s="198"/>
      <c r="CS49" s="198"/>
      <c r="CT49" s="198"/>
      <c r="CU49" s="198"/>
      <c r="CV49" s="198"/>
      <c r="CW49" s="198"/>
      <c r="CX49" s="198"/>
      <c r="CY49" s="198"/>
      <c r="CZ49" s="198"/>
      <c r="DA49" s="198"/>
      <c r="DB49" s="198"/>
      <c r="DC49" s="198"/>
      <c r="DD49" s="198"/>
      <c r="DE49" s="198"/>
      <c r="DF49" s="198"/>
      <c r="DG49" s="198"/>
      <c r="DH49" s="198"/>
      <c r="DI49" s="198"/>
      <c r="DJ49" s="198"/>
      <c r="DK49" s="198"/>
      <c r="DL49" s="198"/>
      <c r="DM49" s="198"/>
      <c r="DN49" s="198"/>
      <c r="DO49" s="198"/>
      <c r="DP49" s="198"/>
      <c r="DQ49" s="198"/>
      <c r="DR49" s="198"/>
      <c r="DS49" s="198"/>
      <c r="DT49" s="198"/>
      <c r="DU49" s="198"/>
      <c r="DV49" s="198"/>
      <c r="DW49" s="198"/>
      <c r="DX49" s="198"/>
      <c r="DY49" s="198"/>
      <c r="DZ49" s="198"/>
      <c r="EA49" s="198"/>
      <c r="EB49" s="200"/>
      <c r="EC49" s="185"/>
      <c r="ED49" s="158"/>
      <c r="EE49" s="158"/>
      <c r="EF49" s="158"/>
    </row>
    <row r="50" spans="1:136" x14ac:dyDescent="0.3">
      <c r="A50" s="158"/>
      <c r="B50" s="158"/>
      <c r="C50" s="196"/>
      <c r="D50" s="196"/>
      <c r="E50" s="421" t="s">
        <v>261</v>
      </c>
      <c r="F50" s="422"/>
      <c r="G50" s="422"/>
      <c r="H50" s="422"/>
      <c r="I50" s="422"/>
      <c r="J50" s="422"/>
      <c r="K50" s="422"/>
      <c r="L50" s="422"/>
      <c r="M50" s="422"/>
      <c r="N50" s="422"/>
      <c r="O50" s="423"/>
      <c r="P50" s="198"/>
      <c r="Q50" s="198"/>
      <c r="R50" s="421" t="s">
        <v>426</v>
      </c>
      <c r="S50" s="422"/>
      <c r="T50" s="422"/>
      <c r="U50" s="422"/>
      <c r="V50" s="422"/>
      <c r="W50" s="422"/>
      <c r="X50" s="422"/>
      <c r="Y50" s="422"/>
      <c r="Z50" s="422"/>
      <c r="AA50" s="422"/>
      <c r="AB50" s="423"/>
      <c r="AC50" s="198"/>
      <c r="AD50" s="198"/>
      <c r="AE50" s="198"/>
      <c r="AF50" s="198"/>
      <c r="AG50" s="198"/>
      <c r="AH50" s="198"/>
      <c r="AI50" s="198"/>
      <c r="AJ50" s="198"/>
      <c r="AK50" s="198"/>
      <c r="AL50" s="198"/>
      <c r="AM50" s="198"/>
      <c r="AN50" s="198"/>
      <c r="AO50" s="198"/>
      <c r="AP50" s="198"/>
      <c r="AQ50" s="198"/>
      <c r="AR50" s="198"/>
      <c r="AS50" s="198"/>
      <c r="AT50" s="198"/>
      <c r="AU50" s="198"/>
      <c r="AV50" s="198"/>
      <c r="AW50" s="198"/>
      <c r="AX50" s="421" t="s">
        <v>267</v>
      </c>
      <c r="AY50" s="422"/>
      <c r="AZ50" s="422"/>
      <c r="BA50" s="422"/>
      <c r="BB50" s="423"/>
      <c r="BC50" s="198"/>
      <c r="BD50" s="421" t="s">
        <v>460</v>
      </c>
      <c r="BE50" s="422"/>
      <c r="BF50" s="422"/>
      <c r="BG50" s="422"/>
      <c r="BH50" s="423"/>
      <c r="BI50" s="200"/>
      <c r="BJ50" s="200"/>
      <c r="BK50" s="158"/>
      <c r="BL50" s="158"/>
      <c r="BM50" s="173"/>
      <c r="BN50" s="158"/>
      <c r="BO50" s="158"/>
      <c r="BP50" s="184"/>
      <c r="BQ50" s="196"/>
      <c r="BR50" s="421" t="s">
        <v>261</v>
      </c>
      <c r="BS50" s="422"/>
      <c r="BT50" s="422"/>
      <c r="BU50" s="422"/>
      <c r="BV50" s="422"/>
      <c r="BW50" s="422"/>
      <c r="BX50" s="422"/>
      <c r="BY50" s="422"/>
      <c r="BZ50" s="422"/>
      <c r="CA50" s="422"/>
      <c r="CB50" s="423"/>
      <c r="CC50" s="198"/>
      <c r="CD50" s="198"/>
      <c r="CE50" s="198"/>
      <c r="CF50" s="421" t="s">
        <v>461</v>
      </c>
      <c r="CG50" s="422"/>
      <c r="CH50" s="422"/>
      <c r="CI50" s="422"/>
      <c r="CJ50" s="422"/>
      <c r="CK50" s="422"/>
      <c r="CL50" s="422"/>
      <c r="CM50" s="422"/>
      <c r="CN50" s="422"/>
      <c r="CO50" s="422"/>
      <c r="CP50" s="422"/>
      <c r="CQ50" s="422"/>
      <c r="CR50" s="423"/>
      <c r="CS50" s="198"/>
      <c r="CT50" s="198"/>
      <c r="CU50" s="198"/>
      <c r="CV50" s="198"/>
      <c r="CW50" s="198"/>
      <c r="CX50" s="198"/>
      <c r="CY50" s="198"/>
      <c r="CZ50" s="198"/>
      <c r="DA50" s="198"/>
      <c r="DB50" s="198"/>
      <c r="DC50" s="198"/>
      <c r="DD50" s="198"/>
      <c r="DE50" s="198"/>
      <c r="DF50" s="198"/>
      <c r="DG50" s="198"/>
      <c r="DH50" s="198"/>
      <c r="DI50" s="198"/>
      <c r="DJ50" s="198"/>
      <c r="DK50" s="198"/>
      <c r="DL50" s="198"/>
      <c r="DM50" s="198"/>
      <c r="DN50" s="198"/>
      <c r="DO50" s="198"/>
      <c r="DP50" s="198"/>
      <c r="DQ50" s="421" t="s">
        <v>267</v>
      </c>
      <c r="DR50" s="422"/>
      <c r="DS50" s="422"/>
      <c r="DT50" s="422"/>
      <c r="DU50" s="423"/>
      <c r="DV50" s="198"/>
      <c r="DW50" s="421" t="s">
        <v>460</v>
      </c>
      <c r="DX50" s="422"/>
      <c r="DY50" s="422"/>
      <c r="DZ50" s="422"/>
      <c r="EA50" s="423"/>
      <c r="EB50" s="200"/>
      <c r="EC50" s="185"/>
      <c r="ED50" s="158"/>
      <c r="EE50" s="158"/>
      <c r="EF50" s="158"/>
    </row>
    <row r="51" spans="1:136" ht="15.6" x14ac:dyDescent="0.3">
      <c r="A51" s="158"/>
      <c r="B51" s="158"/>
      <c r="C51" s="196"/>
      <c r="D51" s="196"/>
      <c r="E51" s="427" t="e">
        <f>INDEX(Table59[],MATCH('Combined Sizer'!$M$3,Table59[Record ID],0),MATCH("Churchill - Project Type",Table59[#Headers],0))</f>
        <v>#N/A</v>
      </c>
      <c r="F51" s="427"/>
      <c r="G51" s="427"/>
      <c r="H51" s="427"/>
      <c r="I51" s="427"/>
      <c r="J51" s="427"/>
      <c r="K51" s="427"/>
      <c r="L51" s="427"/>
      <c r="M51" s="427"/>
      <c r="N51" s="427"/>
      <c r="O51" s="427"/>
      <c r="P51" s="198"/>
      <c r="Q51" s="198"/>
      <c r="R51" s="428" t="e">
        <f>INDEX(Table59[],MATCH('Combined Sizer'!$M$3,Table59[Record ID],0),MATCH("Churchill - Experience Level",Table59[#Headers],0))</f>
        <v>#N/A</v>
      </c>
      <c r="S51" s="429"/>
      <c r="T51" s="429"/>
      <c r="U51" s="429"/>
      <c r="V51" s="429"/>
      <c r="W51" s="429"/>
      <c r="X51" s="429"/>
      <c r="Y51" s="429"/>
      <c r="Z51" s="429"/>
      <c r="AA51" s="429"/>
      <c r="AB51" s="430"/>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424" t="e">
        <f>INDEX(Table59[],MATCH('Combined Sizer'!$M$3,Table59[Record ID],0),MATCH("Churchill - Base Rate",Table59[#Headers],0))</f>
        <v>#N/A</v>
      </c>
      <c r="AY51" s="425"/>
      <c r="AZ51" s="425"/>
      <c r="BA51" s="425"/>
      <c r="BB51" s="426"/>
      <c r="BC51" s="212"/>
      <c r="BD51" s="424" t="e">
        <f>INDEX(Table59[],MATCH('Combined Sizer'!$M$3,Table59[Record ID],0),MATCH("Churchill - Adj Rate",Table59[#Headers],0))</f>
        <v>#N/A</v>
      </c>
      <c r="BE51" s="425"/>
      <c r="BF51" s="425"/>
      <c r="BG51" s="425"/>
      <c r="BH51" s="426"/>
      <c r="BI51" s="200"/>
      <c r="BJ51" s="200"/>
      <c r="BK51" s="158"/>
      <c r="BL51" s="158"/>
      <c r="BM51" s="173"/>
      <c r="BN51" s="158"/>
      <c r="BO51" s="158"/>
      <c r="BP51" s="184"/>
      <c r="BQ51" s="196"/>
      <c r="BR51" s="427" t="str">
        <f ca="1">_xlfn.LET(_xlpm.pt,$CG$13, _xlpm.hb,$DR$13, _xlpm.aiv,$CU$63,
IF(OR(_xlpm.pt="Bridge (No Rehab)", _xlpm.hb=0),"Bridge (No Rehab)",
IF(OR(_xlpm.pt="Fix and Flip (Rehab)", _xlpm.hb&gt;0),
   IF(_xlpm.hb&lt;_xlpm.aiv/2,"Fix and Flip (Light Rehab)","Fix and Flip (Heavy Rehab)"),
"")))</f>
        <v>Fix and Flip (Light Rehab)</v>
      </c>
      <c r="BS51" s="427"/>
      <c r="BT51" s="427"/>
      <c r="BU51" s="427"/>
      <c r="BV51" s="427"/>
      <c r="BW51" s="427"/>
      <c r="BX51" s="427"/>
      <c r="BY51" s="427"/>
      <c r="BZ51" s="427"/>
      <c r="CA51" s="427"/>
      <c r="CB51" s="427"/>
      <c r="CC51" s="198"/>
      <c r="CD51" s="198"/>
      <c r="CE51" s="198"/>
      <c r="CF51" s="428" t="str">
        <f>IF($BR$10&lt;=2,"No Experience (0-2) ($0m)",
IF($BR$10&lt;=9,"Experienced (3-9) ($5m)",
"Institutional (10+) ($10m)"))</f>
        <v>Experienced (3-9) ($5m)</v>
      </c>
      <c r="CG51" s="429"/>
      <c r="CH51" s="429"/>
      <c r="CI51" s="429"/>
      <c r="CJ51" s="429"/>
      <c r="CK51" s="429"/>
      <c r="CL51" s="429"/>
      <c r="CM51" s="429"/>
      <c r="CN51" s="429"/>
      <c r="CO51" s="429"/>
      <c r="CP51" s="429"/>
      <c r="CQ51" s="429"/>
      <c r="CR51" s="430"/>
      <c r="CS51" s="198"/>
      <c r="CT51" s="198"/>
      <c r="CU51" s="198"/>
      <c r="CV51" s="198"/>
      <c r="CW51" s="198"/>
      <c r="CX51" s="198"/>
      <c r="CY51" s="198"/>
      <c r="CZ51" s="198"/>
      <c r="DA51" s="198"/>
      <c r="DB51" s="198"/>
      <c r="DC51" s="198"/>
      <c r="DD51" s="198"/>
      <c r="DE51" s="198"/>
      <c r="DF51" s="198"/>
      <c r="DG51" s="198"/>
      <c r="DH51" s="198"/>
      <c r="DI51" s="198"/>
      <c r="DJ51" s="198"/>
      <c r="DK51" s="198"/>
      <c r="DL51" s="198"/>
      <c r="DM51" s="198"/>
      <c r="DN51" s="198"/>
      <c r="DO51" s="198"/>
      <c r="DP51" s="198"/>
      <c r="DQ51" s="424" t="e" cm="1">
        <f t="array" aca="1" ref="DQ51" ca="1">_xlfn.XLOOKUP($BS$66,ChurchillMatrix[Match Key],ChurchillMatrix[Base Rate]/100,"N/A",0,1)</f>
        <v>#VALUE!</v>
      </c>
      <c r="DR51" s="425"/>
      <c r="DS51" s="425"/>
      <c r="DT51" s="425"/>
      <c r="DU51" s="426"/>
      <c r="DV51" s="212"/>
      <c r="DW51" s="424" t="e" cm="1">
        <f t="array" aca="1" ref="DW51" ca="1">_xlfn.XLOOKUP($BS$66,ChurchillMatrix[Match Key],ChurchillMatrix[Adj Rate]/100,"N/A",0,1)</f>
        <v>#VALUE!</v>
      </c>
      <c r="DX51" s="425"/>
      <c r="DY51" s="425"/>
      <c r="DZ51" s="425"/>
      <c r="EA51" s="426"/>
      <c r="EB51" s="200"/>
      <c r="EC51" s="185"/>
      <c r="ED51" s="158"/>
      <c r="EE51" s="158"/>
      <c r="EF51" s="158"/>
    </row>
    <row r="52" spans="1:136" ht="15" thickBot="1" x14ac:dyDescent="0.35">
      <c r="A52" s="158"/>
      <c r="B52" s="158"/>
      <c r="C52" s="196"/>
      <c r="D52" s="196"/>
      <c r="E52" s="198"/>
      <c r="F52" s="198"/>
      <c r="G52" s="198"/>
      <c r="H52" s="198"/>
      <c r="I52" s="198"/>
      <c r="J52" s="198"/>
      <c r="K52" s="198"/>
      <c r="L52" s="198"/>
      <c r="M52" s="198"/>
      <c r="N52" s="198"/>
      <c r="O52" s="198"/>
      <c r="P52" s="198"/>
      <c r="Q52" s="198"/>
      <c r="R52" s="198"/>
      <c r="S52" s="198"/>
      <c r="T52" s="198"/>
      <c r="U52" s="198"/>
      <c r="V52" s="198"/>
      <c r="W52" s="198"/>
      <c r="X52" s="198"/>
      <c r="Y52" s="198"/>
      <c r="Z52" s="198"/>
      <c r="AA52" s="198"/>
      <c r="AB52" s="198"/>
      <c r="AC52" s="198"/>
      <c r="AD52" s="198"/>
      <c r="AE52" s="198"/>
      <c r="AF52" s="198"/>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198"/>
      <c r="BF52" s="198"/>
      <c r="BG52" s="198"/>
      <c r="BH52" s="198"/>
      <c r="BI52" s="200"/>
      <c r="BJ52" s="200"/>
      <c r="BK52" s="158"/>
      <c r="BL52" s="158"/>
      <c r="BM52" s="173"/>
      <c r="BN52" s="158"/>
      <c r="BO52" s="158"/>
      <c r="BP52" s="184"/>
      <c r="BQ52" s="196"/>
      <c r="BR52" s="198"/>
      <c r="BS52" s="198"/>
      <c r="BT52" s="198"/>
      <c r="BU52" s="198"/>
      <c r="BV52" s="198"/>
      <c r="BW52" s="198"/>
      <c r="BX52" s="198"/>
      <c r="BY52" s="198"/>
      <c r="BZ52" s="198"/>
      <c r="CA52" s="198"/>
      <c r="CB52" s="198"/>
      <c r="CC52" s="198"/>
      <c r="CD52" s="198"/>
      <c r="CE52" s="198"/>
      <c r="CF52" s="198"/>
      <c r="CG52" s="198"/>
      <c r="CH52" s="198"/>
      <c r="CI52" s="198"/>
      <c r="CJ52" s="198"/>
      <c r="CK52" s="198"/>
      <c r="CL52" s="198"/>
      <c r="CM52" s="198"/>
      <c r="CN52" s="198"/>
      <c r="CO52" s="198"/>
      <c r="CP52" s="198"/>
      <c r="CQ52" s="198"/>
      <c r="CR52" s="198"/>
      <c r="CS52" s="198"/>
      <c r="CT52" s="198"/>
      <c r="CU52" s="198"/>
      <c r="CV52" s="198"/>
      <c r="CW52" s="198"/>
      <c r="CX52" s="198"/>
      <c r="CY52" s="198"/>
      <c r="CZ52" s="198"/>
      <c r="DA52" s="198"/>
      <c r="DB52" s="198"/>
      <c r="DC52" s="198"/>
      <c r="DD52" s="198"/>
      <c r="DE52" s="198"/>
      <c r="DF52" s="198"/>
      <c r="DG52" s="198"/>
      <c r="DH52" s="198"/>
      <c r="DI52" s="198"/>
      <c r="DJ52" s="198"/>
      <c r="DK52" s="198"/>
      <c r="DL52" s="198"/>
      <c r="DM52" s="198"/>
      <c r="DN52" s="198"/>
      <c r="DO52" s="198"/>
      <c r="DP52" s="198"/>
      <c r="DQ52" s="198"/>
      <c r="DR52" s="198"/>
      <c r="DS52" s="198"/>
      <c r="DT52" s="198"/>
      <c r="DU52" s="198"/>
      <c r="DV52" s="198"/>
      <c r="DW52" s="198"/>
      <c r="DX52" s="198"/>
      <c r="DY52" s="198"/>
      <c r="DZ52" s="198"/>
      <c r="EA52" s="198"/>
      <c r="EB52" s="200"/>
      <c r="EC52" s="185"/>
      <c r="ED52" s="158"/>
      <c r="EE52" s="158"/>
      <c r="EF52" s="158"/>
    </row>
    <row r="53" spans="1:136" ht="15" thickBot="1" x14ac:dyDescent="0.35">
      <c r="A53" s="158"/>
      <c r="B53" s="158"/>
      <c r="C53" s="196"/>
      <c r="D53" s="196"/>
      <c r="E53" s="361" t="s">
        <v>427</v>
      </c>
      <c r="F53" s="362"/>
      <c r="G53" s="362"/>
      <c r="H53" s="362"/>
      <c r="I53" s="362"/>
      <c r="J53" s="362"/>
      <c r="K53" s="362"/>
      <c r="L53" s="362"/>
      <c r="M53" s="362"/>
      <c r="N53" s="362"/>
      <c r="O53" s="362"/>
      <c r="P53" s="362"/>
      <c r="Q53" s="362"/>
      <c r="R53" s="362"/>
      <c r="S53" s="362"/>
      <c r="T53" s="362"/>
      <c r="U53" s="362"/>
      <c r="V53" s="362"/>
      <c r="W53" s="362"/>
      <c r="X53" s="362"/>
      <c r="Y53" s="362"/>
      <c r="Z53" s="362"/>
      <c r="AA53" s="362"/>
      <c r="AB53" s="363"/>
      <c r="AC53" s="198"/>
      <c r="AD53" s="198"/>
      <c r="AE53" s="198"/>
      <c r="AF53" s="198"/>
      <c r="AG53" s="198"/>
      <c r="AH53" s="361" t="s">
        <v>428</v>
      </c>
      <c r="AI53" s="362"/>
      <c r="AJ53" s="362"/>
      <c r="AK53" s="362"/>
      <c r="AL53" s="362"/>
      <c r="AM53" s="362"/>
      <c r="AN53" s="362"/>
      <c r="AO53" s="362"/>
      <c r="AP53" s="362"/>
      <c r="AQ53" s="362"/>
      <c r="AR53" s="362"/>
      <c r="AS53" s="362"/>
      <c r="AT53" s="362"/>
      <c r="AU53" s="362"/>
      <c r="AV53" s="362"/>
      <c r="AW53" s="362"/>
      <c r="AX53" s="362"/>
      <c r="AY53" s="362"/>
      <c r="AZ53" s="362"/>
      <c r="BA53" s="362"/>
      <c r="BB53" s="362"/>
      <c r="BC53" s="362"/>
      <c r="BD53" s="362"/>
      <c r="BE53" s="362"/>
      <c r="BF53" s="362"/>
      <c r="BG53" s="362"/>
      <c r="BH53" s="363"/>
      <c r="BI53" s="200"/>
      <c r="BJ53" s="200"/>
      <c r="BK53" s="158"/>
      <c r="BL53" s="158"/>
      <c r="BM53" s="173"/>
      <c r="BN53" s="158"/>
      <c r="BO53" s="158"/>
      <c r="BP53" s="184"/>
      <c r="BQ53" s="196"/>
      <c r="BR53" s="361" t="s">
        <v>427</v>
      </c>
      <c r="BS53" s="362"/>
      <c r="BT53" s="362"/>
      <c r="BU53" s="362"/>
      <c r="BV53" s="362"/>
      <c r="BW53" s="362"/>
      <c r="BX53" s="362"/>
      <c r="BY53" s="362"/>
      <c r="BZ53" s="362"/>
      <c r="CA53" s="362"/>
      <c r="CB53" s="362"/>
      <c r="CC53" s="362"/>
      <c r="CD53" s="362"/>
      <c r="CE53" s="362"/>
      <c r="CF53" s="362"/>
      <c r="CG53" s="362"/>
      <c r="CH53" s="362"/>
      <c r="CI53" s="362"/>
      <c r="CJ53" s="362"/>
      <c r="CK53" s="362"/>
      <c r="CL53" s="362"/>
      <c r="CM53" s="362"/>
      <c r="CN53" s="362"/>
      <c r="CO53" s="362"/>
      <c r="CP53" s="362"/>
      <c r="CQ53" s="362"/>
      <c r="CR53" s="363"/>
      <c r="CS53" s="198"/>
      <c r="CT53" s="198"/>
      <c r="CU53" s="198"/>
      <c r="CV53" s="198"/>
      <c r="CW53" s="198"/>
      <c r="CX53" s="198"/>
      <c r="CY53" s="198"/>
      <c r="CZ53" s="198"/>
      <c r="DA53" s="361" t="s">
        <v>428</v>
      </c>
      <c r="DB53" s="362"/>
      <c r="DC53" s="362"/>
      <c r="DD53" s="362"/>
      <c r="DE53" s="362"/>
      <c r="DF53" s="362"/>
      <c r="DG53" s="362"/>
      <c r="DH53" s="362"/>
      <c r="DI53" s="362"/>
      <c r="DJ53" s="362"/>
      <c r="DK53" s="362"/>
      <c r="DL53" s="362"/>
      <c r="DM53" s="362"/>
      <c r="DN53" s="362"/>
      <c r="DO53" s="362"/>
      <c r="DP53" s="362"/>
      <c r="DQ53" s="362"/>
      <c r="DR53" s="362"/>
      <c r="DS53" s="362"/>
      <c r="DT53" s="362"/>
      <c r="DU53" s="362"/>
      <c r="DV53" s="362"/>
      <c r="DW53" s="362"/>
      <c r="DX53" s="362"/>
      <c r="DY53" s="362"/>
      <c r="DZ53" s="362"/>
      <c r="EA53" s="363"/>
      <c r="EB53" s="200"/>
      <c r="EC53" s="185"/>
      <c r="ED53" s="158"/>
      <c r="EE53" s="158"/>
      <c r="EF53" s="158"/>
    </row>
    <row r="54" spans="1:136" x14ac:dyDescent="0.3">
      <c r="A54" s="158"/>
      <c r="B54" s="158"/>
      <c r="C54" s="196"/>
      <c r="D54" s="196"/>
      <c r="E54" s="367" t="s">
        <v>429</v>
      </c>
      <c r="F54" s="368"/>
      <c r="G54" s="368"/>
      <c r="H54" s="368"/>
      <c r="I54" s="368"/>
      <c r="J54" s="368"/>
      <c r="K54" s="368"/>
      <c r="L54" s="368"/>
      <c r="M54" s="368"/>
      <c r="N54" s="368" t="s">
        <v>430</v>
      </c>
      <c r="O54" s="368"/>
      <c r="P54" s="368"/>
      <c r="Q54" s="368"/>
      <c r="R54" s="368"/>
      <c r="S54" s="368"/>
      <c r="T54" s="368"/>
      <c r="U54" s="368"/>
      <c r="V54" s="368" t="s">
        <v>431</v>
      </c>
      <c r="W54" s="368"/>
      <c r="X54" s="368"/>
      <c r="Y54" s="368"/>
      <c r="Z54" s="368"/>
      <c r="AA54" s="368"/>
      <c r="AB54" s="369"/>
      <c r="AC54" s="198"/>
      <c r="AD54" s="198"/>
      <c r="AE54" s="198"/>
      <c r="AF54" s="198"/>
      <c r="AG54" s="198"/>
      <c r="AH54" s="367" t="s">
        <v>432</v>
      </c>
      <c r="AI54" s="368"/>
      <c r="AJ54" s="368"/>
      <c r="AK54" s="368"/>
      <c r="AL54" s="368"/>
      <c r="AM54" s="368"/>
      <c r="AN54" s="368"/>
      <c r="AO54" s="368"/>
      <c r="AP54" s="368"/>
      <c r="AQ54" s="368" t="s">
        <v>283</v>
      </c>
      <c r="AR54" s="368"/>
      <c r="AS54" s="368"/>
      <c r="AT54" s="368"/>
      <c r="AU54" s="368"/>
      <c r="AV54" s="368"/>
      <c r="AW54" s="368"/>
      <c r="AX54" s="368"/>
      <c r="AY54" s="368"/>
      <c r="AZ54" s="368" t="s">
        <v>433</v>
      </c>
      <c r="BA54" s="368"/>
      <c r="BB54" s="368"/>
      <c r="BC54" s="368"/>
      <c r="BD54" s="368"/>
      <c r="BE54" s="368"/>
      <c r="BF54" s="368"/>
      <c r="BG54" s="368"/>
      <c r="BH54" s="369"/>
      <c r="BI54" s="200"/>
      <c r="BJ54" s="200"/>
      <c r="BK54" s="158"/>
      <c r="BL54" s="158"/>
      <c r="BM54" s="173"/>
      <c r="BN54" s="158"/>
      <c r="BO54" s="158"/>
      <c r="BP54" s="184"/>
      <c r="BQ54" s="196"/>
      <c r="BR54" s="367" t="s">
        <v>429</v>
      </c>
      <c r="BS54" s="368"/>
      <c r="BT54" s="368"/>
      <c r="BU54" s="368"/>
      <c r="BV54" s="368"/>
      <c r="BW54" s="368"/>
      <c r="BX54" s="368"/>
      <c r="BY54" s="368"/>
      <c r="BZ54" s="368"/>
      <c r="CA54" s="368" t="s">
        <v>430</v>
      </c>
      <c r="CB54" s="368"/>
      <c r="CC54" s="368"/>
      <c r="CD54" s="368"/>
      <c r="CE54" s="368"/>
      <c r="CF54" s="368"/>
      <c r="CG54" s="368"/>
      <c r="CH54" s="368"/>
      <c r="CI54" s="368"/>
      <c r="CJ54" s="368" t="s">
        <v>431</v>
      </c>
      <c r="CK54" s="368"/>
      <c r="CL54" s="368"/>
      <c r="CM54" s="368"/>
      <c r="CN54" s="368"/>
      <c r="CO54" s="368"/>
      <c r="CP54" s="368"/>
      <c r="CQ54" s="368"/>
      <c r="CR54" s="369"/>
      <c r="CS54" s="198"/>
      <c r="CT54" s="198"/>
      <c r="CU54" s="198"/>
      <c r="CV54" s="198"/>
      <c r="CW54" s="198"/>
      <c r="CX54" s="198"/>
      <c r="CY54" s="198"/>
      <c r="CZ54" s="198"/>
      <c r="DA54" s="367" t="s">
        <v>432</v>
      </c>
      <c r="DB54" s="368"/>
      <c r="DC54" s="368"/>
      <c r="DD54" s="368"/>
      <c r="DE54" s="368"/>
      <c r="DF54" s="368"/>
      <c r="DG54" s="368"/>
      <c r="DH54" s="368"/>
      <c r="DI54" s="368"/>
      <c r="DJ54" s="368" t="s">
        <v>283</v>
      </c>
      <c r="DK54" s="368"/>
      <c r="DL54" s="368"/>
      <c r="DM54" s="368"/>
      <c r="DN54" s="368"/>
      <c r="DO54" s="368"/>
      <c r="DP54" s="368"/>
      <c r="DQ54" s="368"/>
      <c r="DR54" s="368"/>
      <c r="DS54" s="368" t="s">
        <v>433</v>
      </c>
      <c r="DT54" s="368"/>
      <c r="DU54" s="368"/>
      <c r="DV54" s="368"/>
      <c r="DW54" s="368"/>
      <c r="DX54" s="368"/>
      <c r="DY54" s="368"/>
      <c r="DZ54" s="368"/>
      <c r="EA54" s="369"/>
      <c r="EB54" s="200"/>
      <c r="EC54" s="185"/>
      <c r="ED54" s="158"/>
      <c r="EE54" s="158"/>
      <c r="EF54" s="158"/>
    </row>
    <row r="55" spans="1:136" ht="16.2" thickBot="1" x14ac:dyDescent="0.35">
      <c r="A55" s="158"/>
      <c r="B55" s="158"/>
      <c r="C55" s="196"/>
      <c r="D55" s="196"/>
      <c r="E55" s="375" t="e">
        <f>INDEX(Table59[],MATCH('Combined Sizer'!$M$3,Table59[Record ID],0),MATCH("Churchill - Max Day 1",Table59[#Headers],0))</f>
        <v>#N/A</v>
      </c>
      <c r="F55" s="376"/>
      <c r="G55" s="376"/>
      <c r="H55" s="376"/>
      <c r="I55" s="376"/>
      <c r="J55" s="376"/>
      <c r="K55" s="376"/>
      <c r="L55" s="376"/>
      <c r="M55" s="376"/>
      <c r="N55" s="376" t="e">
        <f>INDEX(Table59[],MATCH('Combined Sizer'!$M$3,Table59[Record ID],0),MATCH("Churchill - Financed Budget",Table59[#Headers],0))</f>
        <v>#N/A</v>
      </c>
      <c r="O55" s="376"/>
      <c r="P55" s="376"/>
      <c r="Q55" s="376"/>
      <c r="R55" s="376"/>
      <c r="S55" s="376"/>
      <c r="T55" s="376"/>
      <c r="U55" s="376"/>
      <c r="V55" s="376" t="e">
        <f>INDEX(Table59[],MATCH('Combined Sizer'!$M$3,Table59[Record ID],0),MATCH("Churchill - Max Loan Amount",Table59[#Headers],0))</f>
        <v>#N/A</v>
      </c>
      <c r="W55" s="376"/>
      <c r="X55" s="376"/>
      <c r="Y55" s="376"/>
      <c r="Z55" s="376"/>
      <c r="AA55" s="376"/>
      <c r="AB55" s="377"/>
      <c r="AC55" s="198"/>
      <c r="AD55" s="198"/>
      <c r="AE55" s="198"/>
      <c r="AF55" s="198"/>
      <c r="AG55" s="198"/>
      <c r="AH55" s="431" t="e">
        <f>INDEX(Table59[],MATCH('Combined Sizer'!$M$3,Table59[Record ID],0),MATCH("Churchill - Max LTAIV",Table59[#Headers],0))</f>
        <v>#N/A</v>
      </c>
      <c r="AI55" s="380"/>
      <c r="AJ55" s="380"/>
      <c r="AK55" s="380"/>
      <c r="AL55" s="380"/>
      <c r="AM55" s="380"/>
      <c r="AN55" s="380"/>
      <c r="AO55" s="380"/>
      <c r="AP55" s="380"/>
      <c r="AQ55" s="380" t="e">
        <f>INDEX(Table59[],MATCH('Combined Sizer'!$M$3,Table59[Record ID],0),MATCH("Churchill - Max LTc",Table59[#Headers],0))</f>
        <v>#N/A</v>
      </c>
      <c r="AR55" s="380"/>
      <c r="AS55" s="380"/>
      <c r="AT55" s="380"/>
      <c r="AU55" s="380"/>
      <c r="AV55" s="380"/>
      <c r="AW55" s="380"/>
      <c r="AX55" s="380"/>
      <c r="AY55" s="380"/>
      <c r="AZ55" s="380" t="e">
        <f>INDEX(Table59[],MATCH('Combined Sizer'!$M$3,Table59[Record ID],0),MATCH("Churchill - Max LTARV",Table59[#Headers],0))</f>
        <v>#N/A</v>
      </c>
      <c r="BA55" s="380"/>
      <c r="BB55" s="380"/>
      <c r="BC55" s="380"/>
      <c r="BD55" s="380"/>
      <c r="BE55" s="380"/>
      <c r="BF55" s="380"/>
      <c r="BG55" s="380"/>
      <c r="BH55" s="381"/>
      <c r="BI55" s="200"/>
      <c r="BJ55" s="200"/>
      <c r="BK55" s="158"/>
      <c r="BL55" s="158"/>
      <c r="BM55" s="173"/>
      <c r="BN55" s="158"/>
      <c r="BO55" s="158"/>
      <c r="BP55" s="184"/>
      <c r="BQ55" s="196"/>
      <c r="BR55" s="375" t="e">
        <f ca="1">MAX(MIN($DA$55*$CU$63,$CJ$55-$CA$55),125000)</f>
        <v>#VALUE!</v>
      </c>
      <c r="BS55" s="376"/>
      <c r="BT55" s="376"/>
      <c r="BU55" s="376"/>
      <c r="BV55" s="376"/>
      <c r="BW55" s="376"/>
      <c r="BX55" s="376"/>
      <c r="BY55" s="376"/>
      <c r="BZ55" s="376"/>
      <c r="CA55" s="376">
        <f>DR13</f>
        <v>20000</v>
      </c>
      <c r="CB55" s="376"/>
      <c r="CC55" s="376"/>
      <c r="CD55" s="376"/>
      <c r="CE55" s="376"/>
      <c r="CF55" s="376"/>
      <c r="CG55" s="376"/>
      <c r="CH55" s="376"/>
      <c r="CI55" s="376"/>
      <c r="CJ55" s="376" t="e">
        <f ca="1">_xlfn.LET(
  _xlpm.ltARV, $DS$55,
  _xlpm.ltAIV, N($DA$55),
  _xlpm.ltc,   N($DJ$55),
  _xlpm.pp,    N($DH$13),
  _xlpm.ib,    N($DR$13),
  _xlpm.aiv,   N($CU$63),
  _xlpm.arv,   N($DH$16),
  _xlpm.rate,  $DW$51,
  _xlpm.total, _xlpm.pp+_xlpm.ib,
  _xlpm.cap,   5000000,
  _xlpm.aivCap, _xlpm.ltAIV*_xlpm.aiv + _xlpm.ib,
  _xlpm.ltcCap, _xlpm.ltc*_xlpm.total,
  _xlpm.arvCap, IF(_xlpm.ltARV="N/A", 1E+99, N(_xlpm.ltARV)*_xlpm.arv),
  IF(_xlpm.rate="ERROR","", MIN(_xlpm.aivCap, _xlpm.arvCap, _xlpm.ltcCap, _xlpm.cap))
)</f>
        <v>#VALUE!</v>
      </c>
      <c r="CK55" s="376"/>
      <c r="CL55" s="376"/>
      <c r="CM55" s="376"/>
      <c r="CN55" s="376"/>
      <c r="CO55" s="376"/>
      <c r="CP55" s="376"/>
      <c r="CQ55" s="376"/>
      <c r="CR55" s="377"/>
      <c r="CS55" s="198"/>
      <c r="CT55" s="198"/>
      <c r="CU55" s="198"/>
      <c r="CV55" s="198"/>
      <c r="CW55" s="198"/>
      <c r="CX55" s="198"/>
      <c r="CY55" s="198"/>
      <c r="CZ55" s="198"/>
      <c r="DA55" s="431" t="str">
        <f ca="1">_xlfn.XLOOKUP($BS$66,ChurchillMatrix[Match Key],ChurchillMatrix[Max LTAIV],"N/A",0,1)</f>
        <v>N/A</v>
      </c>
      <c r="DB55" s="380"/>
      <c r="DC55" s="380"/>
      <c r="DD55" s="380"/>
      <c r="DE55" s="380"/>
      <c r="DF55" s="380"/>
      <c r="DG55" s="380"/>
      <c r="DH55" s="380"/>
      <c r="DI55" s="380"/>
      <c r="DJ55" s="380" t="str">
        <f ca="1">_xlfn.XLOOKUP($BS$66,ChurchillMatrix[Match Key],ChurchillMatrix[Max LTC],"N/A",0,1)</f>
        <v>N/A</v>
      </c>
      <c r="DK55" s="380"/>
      <c r="DL55" s="380"/>
      <c r="DM55" s="380"/>
      <c r="DN55" s="380"/>
      <c r="DO55" s="380"/>
      <c r="DP55" s="380"/>
      <c r="DQ55" s="380"/>
      <c r="DR55" s="380"/>
      <c r="DS55" s="380" t="str">
        <f ca="1">_xlfn.XLOOKUP($BS$66,ChurchillMatrix[Match Key],ChurchillMatrix[Max LTARV],"N/A",0,1)</f>
        <v>N/A</v>
      </c>
      <c r="DT55" s="380"/>
      <c r="DU55" s="380"/>
      <c r="DV55" s="380"/>
      <c r="DW55" s="380"/>
      <c r="DX55" s="380"/>
      <c r="DY55" s="380"/>
      <c r="DZ55" s="380"/>
      <c r="EA55" s="381"/>
      <c r="EB55" s="200"/>
      <c r="EC55" s="185"/>
      <c r="ED55" s="158"/>
      <c r="EE55" s="158"/>
      <c r="EF55" s="158"/>
    </row>
    <row r="56" spans="1:136" ht="15" thickBot="1" x14ac:dyDescent="0.35">
      <c r="A56" s="158"/>
      <c r="B56" s="158"/>
      <c r="C56" s="196"/>
      <c r="D56" s="196"/>
      <c r="E56" s="209"/>
      <c r="F56" s="206"/>
      <c r="G56" s="206"/>
      <c r="H56" s="206"/>
      <c r="I56" s="206"/>
      <c r="J56" s="206"/>
      <c r="K56" s="206"/>
      <c r="L56" s="206"/>
      <c r="M56" s="206"/>
      <c r="N56" s="209"/>
      <c r="O56" s="209"/>
      <c r="P56" s="209"/>
      <c r="Q56" s="209"/>
      <c r="R56" s="209"/>
      <c r="S56" s="209"/>
      <c r="T56" s="209"/>
      <c r="U56" s="209"/>
      <c r="V56" s="209"/>
      <c r="W56" s="206"/>
      <c r="X56" s="206"/>
      <c r="Y56" s="206"/>
      <c r="Z56" s="206"/>
      <c r="AA56" s="206"/>
      <c r="AB56" s="206"/>
      <c r="AC56" s="198"/>
      <c r="AD56" s="198"/>
      <c r="AE56" s="198"/>
      <c r="AF56" s="198"/>
      <c r="AG56" s="198"/>
      <c r="AH56" s="207"/>
      <c r="AI56" s="207"/>
      <c r="AJ56" s="207"/>
      <c r="AK56" s="207"/>
      <c r="AL56" s="207"/>
      <c r="AM56" s="207"/>
      <c r="AN56" s="207"/>
      <c r="AO56" s="207"/>
      <c r="AP56" s="207"/>
      <c r="AQ56" s="207"/>
      <c r="AR56" s="207"/>
      <c r="AS56" s="207"/>
      <c r="AT56" s="207"/>
      <c r="AU56" s="207"/>
      <c r="AV56" s="207"/>
      <c r="AW56" s="207"/>
      <c r="AX56" s="207"/>
      <c r="AY56" s="207"/>
      <c r="AZ56" s="207"/>
      <c r="BA56" s="207"/>
      <c r="BB56" s="207"/>
      <c r="BC56" s="207"/>
      <c r="BD56" s="207"/>
      <c r="BE56" s="207"/>
      <c r="BF56" s="207"/>
      <c r="BG56" s="207"/>
      <c r="BH56" s="207"/>
      <c r="BI56" s="200"/>
      <c r="BJ56" s="200"/>
      <c r="BK56" s="158"/>
      <c r="BL56" s="158"/>
      <c r="BM56" s="173"/>
      <c r="BN56" s="158"/>
      <c r="BO56" s="158"/>
      <c r="BP56" s="184"/>
      <c r="BQ56" s="196"/>
      <c r="BR56" s="209"/>
      <c r="BS56" s="206"/>
      <c r="BT56" s="206"/>
      <c r="BU56" s="206"/>
      <c r="BV56" s="206"/>
      <c r="BW56" s="206"/>
      <c r="BX56" s="206"/>
      <c r="BY56" s="206"/>
      <c r="BZ56" s="206"/>
      <c r="CA56" s="209"/>
      <c r="CB56" s="209"/>
      <c r="CC56" s="209"/>
      <c r="CD56" s="209"/>
      <c r="CE56" s="209"/>
      <c r="CF56" s="209"/>
      <c r="CG56" s="209"/>
      <c r="CH56" s="209"/>
      <c r="CI56" s="209"/>
      <c r="CJ56" s="209"/>
      <c r="CK56" s="206"/>
      <c r="CL56" s="206"/>
      <c r="CM56" s="206"/>
      <c r="CN56" s="206"/>
      <c r="CO56" s="206"/>
      <c r="CP56" s="206"/>
      <c r="CQ56" s="206"/>
      <c r="CR56" s="206"/>
      <c r="CS56" s="198"/>
      <c r="CT56" s="198"/>
      <c r="CU56" s="198"/>
      <c r="CV56" s="198"/>
      <c r="CW56" s="198"/>
      <c r="CX56" s="198"/>
      <c r="CY56" s="198"/>
      <c r="CZ56" s="198"/>
      <c r="DA56" s="207"/>
      <c r="DB56" s="207"/>
      <c r="DC56" s="207"/>
      <c r="DD56" s="207"/>
      <c r="DE56" s="207"/>
      <c r="DF56" s="207"/>
      <c r="DG56" s="207"/>
      <c r="DH56" s="207"/>
      <c r="DI56" s="207"/>
      <c r="DJ56" s="207"/>
      <c r="DK56" s="207"/>
      <c r="DL56" s="207"/>
      <c r="DM56" s="207"/>
      <c r="DN56" s="207"/>
      <c r="DO56" s="207"/>
      <c r="DP56" s="207"/>
      <c r="DQ56" s="207"/>
      <c r="DR56" s="207"/>
      <c r="DS56" s="207"/>
      <c r="DT56" s="207"/>
      <c r="DU56" s="207"/>
      <c r="DV56" s="207"/>
      <c r="DW56" s="207"/>
      <c r="DX56" s="207"/>
      <c r="DY56" s="207"/>
      <c r="DZ56" s="207"/>
      <c r="EA56" s="207"/>
      <c r="EB56" s="200"/>
      <c r="EC56" s="185"/>
      <c r="ED56" s="158"/>
      <c r="EE56" s="158"/>
      <c r="EF56" s="158"/>
    </row>
    <row r="57" spans="1:136" ht="15" thickBot="1" x14ac:dyDescent="0.35">
      <c r="A57" s="158"/>
      <c r="B57" s="158"/>
      <c r="C57" s="196"/>
      <c r="D57" s="196"/>
      <c r="E57" s="361" t="s">
        <v>435</v>
      </c>
      <c r="F57" s="362"/>
      <c r="G57" s="362"/>
      <c r="H57" s="362"/>
      <c r="I57" s="362"/>
      <c r="J57" s="362"/>
      <c r="K57" s="362"/>
      <c r="L57" s="362"/>
      <c r="M57" s="362"/>
      <c r="N57" s="362"/>
      <c r="O57" s="362"/>
      <c r="P57" s="362"/>
      <c r="Q57" s="362"/>
      <c r="R57" s="362"/>
      <c r="S57" s="362"/>
      <c r="T57" s="362"/>
      <c r="U57" s="362"/>
      <c r="V57" s="362"/>
      <c r="W57" s="362"/>
      <c r="X57" s="362"/>
      <c r="Y57" s="362"/>
      <c r="Z57" s="362"/>
      <c r="AA57" s="362"/>
      <c r="AB57" s="363"/>
      <c r="AC57" s="198"/>
      <c r="AD57" s="198"/>
      <c r="AE57" s="198"/>
      <c r="AF57" s="198"/>
      <c r="AG57" s="198"/>
      <c r="AH57" s="361" t="s">
        <v>436</v>
      </c>
      <c r="AI57" s="362"/>
      <c r="AJ57" s="362"/>
      <c r="AK57" s="362"/>
      <c r="AL57" s="362"/>
      <c r="AM57" s="362"/>
      <c r="AN57" s="362"/>
      <c r="AO57" s="362"/>
      <c r="AP57" s="362"/>
      <c r="AQ57" s="362"/>
      <c r="AR57" s="362"/>
      <c r="AS57" s="362"/>
      <c r="AT57" s="362"/>
      <c r="AU57" s="362"/>
      <c r="AV57" s="362"/>
      <c r="AW57" s="362"/>
      <c r="AX57" s="362"/>
      <c r="AY57" s="362"/>
      <c r="AZ57" s="362"/>
      <c r="BA57" s="362"/>
      <c r="BB57" s="362"/>
      <c r="BC57" s="362"/>
      <c r="BD57" s="362"/>
      <c r="BE57" s="362"/>
      <c r="BF57" s="362"/>
      <c r="BG57" s="362"/>
      <c r="BH57" s="363"/>
      <c r="BI57" s="200"/>
      <c r="BJ57" s="200"/>
      <c r="BK57" s="158"/>
      <c r="BL57" s="158"/>
      <c r="BM57" s="173"/>
      <c r="BN57" s="158"/>
      <c r="BO57" s="158"/>
      <c r="BP57" s="184"/>
      <c r="BQ57" s="196"/>
      <c r="BR57" s="361" t="s">
        <v>435</v>
      </c>
      <c r="BS57" s="362"/>
      <c r="BT57" s="362"/>
      <c r="BU57" s="362"/>
      <c r="BV57" s="362"/>
      <c r="BW57" s="362"/>
      <c r="BX57" s="362"/>
      <c r="BY57" s="362"/>
      <c r="BZ57" s="362"/>
      <c r="CA57" s="362"/>
      <c r="CB57" s="362"/>
      <c r="CC57" s="362"/>
      <c r="CD57" s="362"/>
      <c r="CE57" s="362"/>
      <c r="CF57" s="362"/>
      <c r="CG57" s="362"/>
      <c r="CH57" s="362"/>
      <c r="CI57" s="362"/>
      <c r="CJ57" s="362"/>
      <c r="CK57" s="362"/>
      <c r="CL57" s="362"/>
      <c r="CM57" s="362"/>
      <c r="CN57" s="362"/>
      <c r="CO57" s="362"/>
      <c r="CP57" s="362"/>
      <c r="CQ57" s="362"/>
      <c r="CR57" s="363"/>
      <c r="CS57" s="198"/>
      <c r="CT57" s="198"/>
      <c r="CU57" s="198"/>
      <c r="CV57" s="198"/>
      <c r="CW57" s="198"/>
      <c r="CX57" s="198"/>
      <c r="CY57" s="198"/>
      <c r="CZ57" s="198"/>
      <c r="DA57" s="361" t="s">
        <v>436</v>
      </c>
      <c r="DB57" s="362"/>
      <c r="DC57" s="362"/>
      <c r="DD57" s="362"/>
      <c r="DE57" s="362"/>
      <c r="DF57" s="362"/>
      <c r="DG57" s="362"/>
      <c r="DH57" s="362"/>
      <c r="DI57" s="362"/>
      <c r="DJ57" s="362"/>
      <c r="DK57" s="362"/>
      <c r="DL57" s="362"/>
      <c r="DM57" s="362"/>
      <c r="DN57" s="362"/>
      <c r="DO57" s="362"/>
      <c r="DP57" s="362"/>
      <c r="DQ57" s="362"/>
      <c r="DR57" s="362"/>
      <c r="DS57" s="362"/>
      <c r="DT57" s="362"/>
      <c r="DU57" s="362"/>
      <c r="DV57" s="362"/>
      <c r="DW57" s="362"/>
      <c r="DX57" s="362"/>
      <c r="DY57" s="362"/>
      <c r="DZ57" s="362"/>
      <c r="EA57" s="363"/>
      <c r="EB57" s="200"/>
      <c r="EC57" s="185"/>
      <c r="ED57" s="158"/>
      <c r="EE57" s="158"/>
      <c r="EF57" s="158"/>
    </row>
    <row r="58" spans="1:136" ht="15" thickBot="1" x14ac:dyDescent="0.35">
      <c r="A58" s="158"/>
      <c r="B58" s="158"/>
      <c r="C58" s="205"/>
      <c r="D58" s="196"/>
      <c r="E58" s="373"/>
      <c r="F58" s="373"/>
      <c r="G58" s="373"/>
      <c r="H58" s="373"/>
      <c r="I58" s="373"/>
      <c r="J58" s="373"/>
      <c r="K58" s="373"/>
      <c r="L58" s="373"/>
      <c r="M58" s="373"/>
      <c r="N58" s="373"/>
      <c r="O58" s="373"/>
      <c r="P58" s="373"/>
      <c r="Q58" s="373"/>
      <c r="R58" s="373"/>
      <c r="S58" s="373"/>
      <c r="T58" s="373"/>
      <c r="U58" s="373"/>
      <c r="V58" s="373"/>
      <c r="W58" s="373"/>
      <c r="X58" s="373"/>
      <c r="Y58" s="373"/>
      <c r="Z58" s="373"/>
      <c r="AA58" s="373"/>
      <c r="AB58" s="373"/>
      <c r="AC58" s="198"/>
      <c r="AD58" s="198"/>
      <c r="AE58" s="198"/>
      <c r="AF58" s="198"/>
      <c r="AG58" s="198"/>
      <c r="AH58" s="373" t="s">
        <v>462</v>
      </c>
      <c r="AI58" s="373"/>
      <c r="AJ58" s="373"/>
      <c r="AK58" s="373"/>
      <c r="AL58" s="373"/>
      <c r="AM58" s="373"/>
      <c r="AN58" s="373"/>
      <c r="AO58" s="373"/>
      <c r="AP58" s="373"/>
      <c r="AQ58" s="373"/>
      <c r="AR58" s="373"/>
      <c r="AS58" s="373"/>
      <c r="AT58" s="373"/>
      <c r="AU58" s="373"/>
      <c r="AV58" s="373"/>
      <c r="AW58" s="373"/>
      <c r="AX58" s="373"/>
      <c r="AY58" s="373"/>
      <c r="AZ58" s="373"/>
      <c r="BA58" s="373"/>
      <c r="BB58" s="373"/>
      <c r="BC58" s="373"/>
      <c r="BD58" s="373"/>
      <c r="BE58" s="373"/>
      <c r="BF58" s="373"/>
      <c r="BG58" s="373"/>
      <c r="BH58" s="373"/>
      <c r="BI58" s="200"/>
      <c r="BJ58" s="287"/>
      <c r="BK58" s="158"/>
      <c r="BL58" s="158"/>
      <c r="BM58" s="173"/>
      <c r="BN58" s="158"/>
      <c r="BO58" s="158"/>
      <c r="BP58" s="188"/>
      <c r="BQ58" s="196"/>
      <c r="BR58" s="373" t="s">
        <v>438</v>
      </c>
      <c r="BS58" s="373"/>
      <c r="BT58" s="373"/>
      <c r="BU58" s="373"/>
      <c r="BV58" s="373"/>
      <c r="BW58" s="373"/>
      <c r="BX58" s="373"/>
      <c r="BY58" s="373"/>
      <c r="BZ58" s="373"/>
      <c r="CA58" s="373"/>
      <c r="CB58" s="373"/>
      <c r="CC58" s="373"/>
      <c r="CD58" s="373"/>
      <c r="CE58" s="373"/>
      <c r="CF58" s="373"/>
      <c r="CG58" s="373"/>
      <c r="CH58" s="373"/>
      <c r="CI58" s="373"/>
      <c r="CJ58" s="373"/>
      <c r="CK58" s="373"/>
      <c r="CL58" s="373"/>
      <c r="CM58" s="373"/>
      <c r="CN58" s="373"/>
      <c r="CO58" s="373"/>
      <c r="CP58" s="373"/>
      <c r="CQ58" s="373"/>
      <c r="CR58" s="373"/>
      <c r="CS58" s="198"/>
      <c r="CT58" s="198"/>
      <c r="CU58" s="198"/>
      <c r="CV58" s="198"/>
      <c r="CW58" s="198"/>
      <c r="CX58" s="198"/>
      <c r="CY58" s="198"/>
      <c r="CZ58" s="198"/>
      <c r="DA58" s="374" t="s">
        <v>437</v>
      </c>
      <c r="DB58" s="374"/>
      <c r="DC58" s="374"/>
      <c r="DD58" s="374"/>
      <c r="DE58" s="374"/>
      <c r="DF58" s="374"/>
      <c r="DG58" s="374"/>
      <c r="DH58" s="374"/>
      <c r="DI58" s="374"/>
      <c r="DJ58" s="374"/>
      <c r="DK58" s="374"/>
      <c r="DL58" s="374"/>
      <c r="DM58" s="374"/>
      <c r="DN58" s="374"/>
      <c r="DO58" s="374"/>
      <c r="DP58" s="374"/>
      <c r="DQ58" s="374"/>
      <c r="DR58" s="374"/>
      <c r="DS58" s="374"/>
      <c r="DT58" s="374"/>
      <c r="DU58" s="374"/>
      <c r="DV58" s="374"/>
      <c r="DW58" s="374"/>
      <c r="DX58" s="374"/>
      <c r="DY58" s="374"/>
      <c r="DZ58" s="374"/>
      <c r="EA58" s="374"/>
      <c r="EB58" s="200"/>
      <c r="EC58" s="69"/>
      <c r="ED58" s="158"/>
      <c r="EE58" s="158"/>
      <c r="EF58" s="158"/>
    </row>
    <row r="59" spans="1:136" ht="15" thickTop="1" x14ac:dyDescent="0.3">
      <c r="A59" s="158"/>
      <c r="B59" s="158"/>
      <c r="C59" s="196"/>
      <c r="D59" s="196"/>
      <c r="E59" s="393" t="s">
        <v>439</v>
      </c>
      <c r="F59" s="394"/>
      <c r="G59" s="394"/>
      <c r="H59" s="394"/>
      <c r="I59" s="394"/>
      <c r="J59" s="394"/>
      <c r="K59" s="394"/>
      <c r="L59" s="394"/>
      <c r="M59" s="433"/>
      <c r="N59" s="396" t="s">
        <v>430</v>
      </c>
      <c r="O59" s="391"/>
      <c r="P59" s="391"/>
      <c r="Q59" s="391"/>
      <c r="R59" s="391"/>
      <c r="S59" s="391"/>
      <c r="T59" s="391"/>
      <c r="U59" s="391"/>
      <c r="V59" s="391" t="s">
        <v>440</v>
      </c>
      <c r="W59" s="391"/>
      <c r="X59" s="391"/>
      <c r="Y59" s="391"/>
      <c r="Z59" s="391"/>
      <c r="AA59" s="391"/>
      <c r="AB59" s="392"/>
      <c r="AC59" s="198"/>
      <c r="AD59" s="198"/>
      <c r="AE59" s="198"/>
      <c r="AF59" s="198"/>
      <c r="AG59" s="198"/>
      <c r="AH59" s="390" t="s">
        <v>432</v>
      </c>
      <c r="AI59" s="391"/>
      <c r="AJ59" s="391"/>
      <c r="AK59" s="391"/>
      <c r="AL59" s="391"/>
      <c r="AM59" s="391"/>
      <c r="AN59" s="391"/>
      <c r="AO59" s="391"/>
      <c r="AP59" s="391"/>
      <c r="AQ59" s="391" t="s">
        <v>283</v>
      </c>
      <c r="AR59" s="391"/>
      <c r="AS59" s="391"/>
      <c r="AT59" s="391"/>
      <c r="AU59" s="391"/>
      <c r="AV59" s="391"/>
      <c r="AW59" s="391"/>
      <c r="AX59" s="391"/>
      <c r="AY59" s="391"/>
      <c r="AZ59" s="391" t="s">
        <v>433</v>
      </c>
      <c r="BA59" s="391"/>
      <c r="BB59" s="391"/>
      <c r="BC59" s="391"/>
      <c r="BD59" s="391"/>
      <c r="BE59" s="391"/>
      <c r="BF59" s="391"/>
      <c r="BG59" s="391"/>
      <c r="BH59" s="392"/>
      <c r="BI59" s="200"/>
      <c r="BJ59" s="287"/>
      <c r="BK59" s="158"/>
      <c r="BL59" s="158"/>
      <c r="BM59" s="173"/>
      <c r="BN59" s="158"/>
      <c r="BO59" s="158"/>
      <c r="BP59" s="184"/>
      <c r="BQ59" s="196"/>
      <c r="BR59" s="393" t="s">
        <v>441</v>
      </c>
      <c r="BS59" s="394"/>
      <c r="BT59" s="394"/>
      <c r="BU59" s="394"/>
      <c r="BV59" s="394"/>
      <c r="BW59" s="394"/>
      <c r="BX59" s="394"/>
      <c r="BY59" s="394"/>
      <c r="BZ59" s="395"/>
      <c r="CA59" s="432" t="s">
        <v>430</v>
      </c>
      <c r="CB59" s="391"/>
      <c r="CC59" s="391"/>
      <c r="CD59" s="391"/>
      <c r="CE59" s="391"/>
      <c r="CF59" s="391"/>
      <c r="CG59" s="391"/>
      <c r="CH59" s="391"/>
      <c r="CI59" s="391"/>
      <c r="CJ59" s="391" t="s">
        <v>442</v>
      </c>
      <c r="CK59" s="391"/>
      <c r="CL59" s="391"/>
      <c r="CM59" s="391"/>
      <c r="CN59" s="391"/>
      <c r="CO59" s="391"/>
      <c r="CP59" s="391"/>
      <c r="CQ59" s="391"/>
      <c r="CR59" s="392"/>
      <c r="CS59" s="198"/>
      <c r="CT59" s="198"/>
      <c r="CU59" s="198"/>
      <c r="CV59" s="198"/>
      <c r="CW59" s="198"/>
      <c r="CX59" s="198"/>
      <c r="CY59" s="198"/>
      <c r="CZ59" s="198"/>
      <c r="DA59" s="390" t="s">
        <v>432</v>
      </c>
      <c r="DB59" s="391"/>
      <c r="DC59" s="391"/>
      <c r="DD59" s="391"/>
      <c r="DE59" s="391"/>
      <c r="DF59" s="391"/>
      <c r="DG59" s="391"/>
      <c r="DH59" s="391"/>
      <c r="DI59" s="391"/>
      <c r="DJ59" s="391" t="s">
        <v>283</v>
      </c>
      <c r="DK59" s="391"/>
      <c r="DL59" s="391"/>
      <c r="DM59" s="391"/>
      <c r="DN59" s="391"/>
      <c r="DO59" s="391"/>
      <c r="DP59" s="391"/>
      <c r="DQ59" s="391"/>
      <c r="DR59" s="391"/>
      <c r="DS59" s="391" t="s">
        <v>433</v>
      </c>
      <c r="DT59" s="391"/>
      <c r="DU59" s="391"/>
      <c r="DV59" s="391"/>
      <c r="DW59" s="391"/>
      <c r="DX59" s="391"/>
      <c r="DY59" s="391"/>
      <c r="DZ59" s="391"/>
      <c r="EA59" s="392"/>
      <c r="EB59" s="200"/>
      <c r="EC59" s="69"/>
      <c r="ED59" s="187"/>
      <c r="EE59" s="187"/>
      <c r="EF59" s="187"/>
    </row>
    <row r="60" spans="1:136" ht="16.2" thickBot="1" x14ac:dyDescent="0.35">
      <c r="A60" s="158"/>
      <c r="B60" s="158"/>
      <c r="C60" s="196"/>
      <c r="D60" s="196"/>
      <c r="E60" s="410" t="str">
        <f>IFERROR(V60-N60,"")</f>
        <v/>
      </c>
      <c r="F60" s="411"/>
      <c r="G60" s="411"/>
      <c r="H60" s="411"/>
      <c r="I60" s="411"/>
      <c r="J60" s="411"/>
      <c r="K60" s="411"/>
      <c r="L60" s="411"/>
      <c r="M60" s="412"/>
      <c r="N60" s="438" t="str">
        <f>IFERROR(INDEX(Table59[],MATCH('Combined Sizer'!$M$3,Table59[Record ID],0),MATCH("Churchill - Financed Budget",Table59[#Headers],0)),"")</f>
        <v/>
      </c>
      <c r="O60" s="439"/>
      <c r="P60" s="439"/>
      <c r="Q60" s="439"/>
      <c r="R60" s="439"/>
      <c r="S60" s="439"/>
      <c r="T60" s="439"/>
      <c r="U60" s="439"/>
      <c r="V60" s="376" t="str">
        <f>S16</f>
        <v/>
      </c>
      <c r="W60" s="376"/>
      <c r="X60" s="376"/>
      <c r="Y60" s="376"/>
      <c r="Z60" s="376"/>
      <c r="AA60" s="376"/>
      <c r="AB60" s="377"/>
      <c r="AC60" s="198"/>
      <c r="AD60" s="198"/>
      <c r="AE60" s="198"/>
      <c r="AF60" s="198"/>
      <c r="AG60" s="198"/>
      <c r="AH60" s="437" t="str">
        <f>IFERROR(E60/AG16,"")</f>
        <v/>
      </c>
      <c r="AI60" s="416"/>
      <c r="AJ60" s="416"/>
      <c r="AK60" s="416"/>
      <c r="AL60" s="416"/>
      <c r="AM60" s="416"/>
      <c r="AN60" s="416"/>
      <c r="AO60" s="416"/>
      <c r="AP60" s="416"/>
      <c r="AQ60" s="416" t="str">
        <f>IFERROR(V60/(AO13+AY13),"")</f>
        <v/>
      </c>
      <c r="AR60" s="416"/>
      <c r="AS60" s="416"/>
      <c r="AT60" s="416"/>
      <c r="AU60" s="416"/>
      <c r="AV60" s="416"/>
      <c r="AW60" s="416"/>
      <c r="AX60" s="416"/>
      <c r="AY60" s="416"/>
      <c r="AZ60" s="416" t="str">
        <f>IFERROR(V60/AO16,"")</f>
        <v/>
      </c>
      <c r="BA60" s="416"/>
      <c r="BB60" s="416"/>
      <c r="BC60" s="416"/>
      <c r="BD60" s="416"/>
      <c r="BE60" s="416"/>
      <c r="BF60" s="416"/>
      <c r="BG60" s="416"/>
      <c r="BH60" s="417"/>
      <c r="BI60" s="200"/>
      <c r="BJ60" s="200"/>
      <c r="BK60" s="187"/>
      <c r="BL60" s="187"/>
      <c r="BM60" s="173"/>
      <c r="BN60" s="158"/>
      <c r="BO60" s="158"/>
      <c r="BP60" s="184"/>
      <c r="BQ60" s="196"/>
      <c r="BR60" s="434">
        <v>162500</v>
      </c>
      <c r="BS60" s="435"/>
      <c r="BT60" s="435"/>
      <c r="BU60" s="435"/>
      <c r="BV60" s="435"/>
      <c r="BW60" s="435"/>
      <c r="BX60" s="435"/>
      <c r="BY60" s="435"/>
      <c r="BZ60" s="436"/>
      <c r="CA60" s="413">
        <f>DR13</f>
        <v>20000</v>
      </c>
      <c r="CB60" s="376"/>
      <c r="CC60" s="376"/>
      <c r="CD60" s="376"/>
      <c r="CE60" s="376"/>
      <c r="CF60" s="376"/>
      <c r="CG60" s="376"/>
      <c r="CH60" s="376"/>
      <c r="CI60" s="376"/>
      <c r="CJ60" s="376">
        <f>CA60+BR60</f>
        <v>182500</v>
      </c>
      <c r="CK60" s="376"/>
      <c r="CL60" s="376"/>
      <c r="CM60" s="376"/>
      <c r="CN60" s="376"/>
      <c r="CO60" s="376"/>
      <c r="CP60" s="376"/>
      <c r="CQ60" s="376"/>
      <c r="CR60" s="377"/>
      <c r="CS60" s="198"/>
      <c r="CT60" s="198"/>
      <c r="CU60" s="198"/>
      <c r="CV60" s="198"/>
      <c r="CW60" s="198"/>
      <c r="CX60" s="198"/>
      <c r="CY60" s="198"/>
      <c r="CZ60" s="198"/>
      <c r="DA60" s="437">
        <f>IFERROR($BR$60/$CX$16,"")</f>
        <v>0.24074074074074073</v>
      </c>
      <c r="DB60" s="416"/>
      <c r="DC60" s="416"/>
      <c r="DD60" s="416"/>
      <c r="DE60" s="416"/>
      <c r="DF60" s="416"/>
      <c r="DG60" s="416"/>
      <c r="DH60" s="416"/>
      <c r="DI60" s="416"/>
      <c r="DJ60" s="416">
        <f>IFERROR(CJ60/(DH13+DR13),"")</f>
        <v>0.26838235294117646</v>
      </c>
      <c r="DK60" s="416"/>
      <c r="DL60" s="416"/>
      <c r="DM60" s="416"/>
      <c r="DN60" s="416"/>
      <c r="DO60" s="416"/>
      <c r="DP60" s="416"/>
      <c r="DQ60" s="416"/>
      <c r="DR60" s="416"/>
      <c r="DS60" s="416">
        <f>IFERROR(CJ60/DH16,"")</f>
        <v>0.22812499999999999</v>
      </c>
      <c r="DT60" s="416"/>
      <c r="DU60" s="416"/>
      <c r="DV60" s="416"/>
      <c r="DW60" s="416"/>
      <c r="DX60" s="416"/>
      <c r="DY60" s="416"/>
      <c r="DZ60" s="416"/>
      <c r="EA60" s="417"/>
      <c r="EB60" s="200"/>
      <c r="EC60" s="185"/>
      <c r="ED60" s="187"/>
      <c r="EE60" s="187"/>
      <c r="EF60" s="187"/>
    </row>
    <row r="61" spans="1:136" ht="16.2" hidden="1" thickTop="1" x14ac:dyDescent="0.3">
      <c r="A61" s="158"/>
      <c r="B61" s="158"/>
      <c r="C61" s="196"/>
      <c r="D61" s="196"/>
      <c r="E61" s="216"/>
      <c r="F61" s="216"/>
      <c r="G61" s="216"/>
      <c r="H61" s="216"/>
      <c r="I61" s="216"/>
      <c r="J61" s="216"/>
      <c r="K61" s="216"/>
      <c r="L61" s="216"/>
      <c r="M61" s="216"/>
      <c r="N61" s="216"/>
      <c r="O61" s="216"/>
      <c r="P61" s="216"/>
      <c r="Q61" s="216"/>
      <c r="R61" s="216"/>
      <c r="S61" s="216"/>
      <c r="T61" s="216"/>
      <c r="U61" s="216"/>
      <c r="V61" s="216"/>
      <c r="W61" s="216"/>
      <c r="X61" s="216"/>
      <c r="Y61" s="216"/>
      <c r="Z61" s="216"/>
      <c r="AA61" s="216"/>
      <c r="AB61" s="216"/>
      <c r="AC61" s="214"/>
      <c r="AD61" s="214"/>
      <c r="AE61" s="214"/>
      <c r="AF61" s="214"/>
      <c r="AG61" s="214"/>
      <c r="AH61" s="217"/>
      <c r="AI61" s="217"/>
      <c r="AJ61" s="217"/>
      <c r="AK61" s="217"/>
      <c r="AL61" s="217"/>
      <c r="AM61" s="217"/>
      <c r="AN61" s="217"/>
      <c r="AO61" s="217"/>
      <c r="AP61" s="217"/>
      <c r="AQ61" s="217"/>
      <c r="AR61" s="217"/>
      <c r="AS61" s="217"/>
      <c r="AT61" s="217"/>
      <c r="AU61" s="217"/>
      <c r="AV61" s="217"/>
      <c r="AW61" s="217"/>
      <c r="AX61" s="217"/>
      <c r="AY61" s="217"/>
      <c r="AZ61" s="217"/>
      <c r="BA61" s="217"/>
      <c r="BB61" s="217"/>
      <c r="BC61" s="217"/>
      <c r="BD61" s="217"/>
      <c r="BE61" s="217"/>
      <c r="BF61" s="217"/>
      <c r="BG61" s="217"/>
      <c r="BH61" s="217"/>
      <c r="BI61" s="200"/>
      <c r="BJ61" s="200"/>
      <c r="BK61" s="187"/>
      <c r="BL61" s="187"/>
      <c r="BM61" s="173"/>
      <c r="BN61" s="158"/>
      <c r="BO61" s="158"/>
      <c r="BP61" s="184"/>
      <c r="BQ61" s="196"/>
      <c r="BR61" s="216"/>
      <c r="BS61" s="216"/>
      <c r="BT61" s="216"/>
      <c r="BU61" s="216"/>
      <c r="BV61" s="216"/>
      <c r="BW61" s="216"/>
      <c r="BX61" s="216"/>
      <c r="BY61" s="216"/>
      <c r="BZ61" s="216"/>
      <c r="CA61" s="216"/>
      <c r="CB61" s="216"/>
      <c r="CC61" s="216"/>
      <c r="CD61" s="216"/>
      <c r="CE61" s="216"/>
      <c r="CF61" s="216"/>
      <c r="CG61" s="216"/>
      <c r="CH61" s="216"/>
      <c r="CI61" s="216"/>
      <c r="CJ61" s="216"/>
      <c r="CK61" s="216"/>
      <c r="CL61" s="216"/>
      <c r="CM61" s="216"/>
      <c r="CN61" s="216"/>
      <c r="CO61" s="216"/>
      <c r="CP61" s="216"/>
      <c r="CQ61" s="216"/>
      <c r="CR61" s="216"/>
      <c r="CS61" s="214"/>
      <c r="CT61" s="214"/>
      <c r="CU61" s="214"/>
      <c r="CV61" s="214"/>
      <c r="CW61" s="214"/>
      <c r="CX61" s="214"/>
      <c r="CY61" s="214"/>
      <c r="CZ61" s="214"/>
      <c r="DA61" s="217"/>
      <c r="DB61" s="217"/>
      <c r="DC61" s="217"/>
      <c r="DD61" s="217"/>
      <c r="DE61" s="217"/>
      <c r="DF61" s="217"/>
      <c r="DG61" s="217"/>
      <c r="DH61" s="217"/>
      <c r="DI61" s="217"/>
      <c r="DJ61" s="217"/>
      <c r="DK61" s="217"/>
      <c r="DL61" s="217"/>
      <c r="DM61" s="217"/>
      <c r="DN61" s="217"/>
      <c r="DO61" s="217"/>
      <c r="DP61" s="217"/>
      <c r="DQ61" s="217"/>
      <c r="DR61" s="217"/>
      <c r="DS61" s="217"/>
      <c r="DT61" s="217"/>
      <c r="DU61" s="217"/>
      <c r="DV61" s="217"/>
      <c r="DW61" s="217"/>
      <c r="DX61" s="217"/>
      <c r="DY61" s="217"/>
      <c r="DZ61" s="217"/>
      <c r="EA61" s="217"/>
      <c r="EB61" s="200"/>
      <c r="EC61" s="185"/>
      <c r="ED61" s="187"/>
      <c r="EE61" s="187"/>
      <c r="EF61" s="187"/>
    </row>
    <row r="62" spans="1:136" ht="15.6" hidden="1" x14ac:dyDescent="0.3">
      <c r="A62" s="158"/>
      <c r="B62" s="158"/>
      <c r="C62" s="196"/>
      <c r="D62" s="196"/>
      <c r="E62" s="216"/>
      <c r="F62" s="216"/>
      <c r="G62" s="216"/>
      <c r="H62" s="216"/>
      <c r="I62" s="216"/>
      <c r="J62" s="216"/>
      <c r="K62" s="216"/>
      <c r="L62" s="216"/>
      <c r="M62" s="216"/>
      <c r="N62" s="216"/>
      <c r="O62" s="216"/>
      <c r="P62" s="216"/>
      <c r="Q62" s="216"/>
      <c r="R62" s="216"/>
      <c r="S62" s="216"/>
      <c r="T62" s="216"/>
      <c r="U62" s="216"/>
      <c r="V62" s="216"/>
      <c r="W62" s="216"/>
      <c r="X62" s="216"/>
      <c r="Y62" s="216"/>
      <c r="Z62" s="216"/>
      <c r="AA62" s="216"/>
      <c r="AB62" s="216"/>
      <c r="AC62" s="214"/>
      <c r="AD62" s="214"/>
      <c r="AE62" s="214"/>
      <c r="AF62" s="214"/>
      <c r="AG62" s="214"/>
      <c r="AH62" s="217"/>
      <c r="AI62" s="217"/>
      <c r="AJ62" s="217"/>
      <c r="AK62" s="217"/>
      <c r="AL62" s="217"/>
      <c r="AM62" s="217"/>
      <c r="AN62" s="217"/>
      <c r="AO62" s="217"/>
      <c r="AP62" s="217"/>
      <c r="AQ62" s="217"/>
      <c r="AR62" s="217"/>
      <c r="AS62" s="217"/>
      <c r="AT62" s="217"/>
      <c r="AU62" s="217"/>
      <c r="AV62" s="217"/>
      <c r="AW62" s="217"/>
      <c r="AX62" s="217"/>
      <c r="AY62" s="217"/>
      <c r="AZ62" s="217"/>
      <c r="BA62" s="217"/>
      <c r="BB62" s="217"/>
      <c r="BC62" s="217"/>
      <c r="BD62" s="217"/>
      <c r="BE62" s="217"/>
      <c r="BF62" s="217"/>
      <c r="BG62" s="217"/>
      <c r="BH62" s="217"/>
      <c r="BI62" s="200"/>
      <c r="BJ62" s="200"/>
      <c r="BK62" s="187"/>
      <c r="BL62" s="187"/>
      <c r="BM62" s="173"/>
      <c r="BN62" s="158"/>
      <c r="BO62" s="158"/>
      <c r="BP62" s="184"/>
      <c r="BQ62" s="196"/>
      <c r="BR62" s="216"/>
      <c r="BS62" s="452" t="s">
        <v>463</v>
      </c>
      <c r="BT62" s="453"/>
      <c r="BU62" s="453"/>
      <c r="BV62" s="454"/>
      <c r="BW62" s="216"/>
      <c r="BX62" s="216"/>
      <c r="BY62" s="452" t="s">
        <v>263</v>
      </c>
      <c r="BZ62" s="453"/>
      <c r="CA62" s="453"/>
      <c r="CB62" s="454"/>
      <c r="CC62" s="216"/>
      <c r="CD62" s="216"/>
      <c r="CE62" s="452" t="s">
        <v>464</v>
      </c>
      <c r="CF62" s="453"/>
      <c r="CG62" s="453"/>
      <c r="CH62" s="454"/>
      <c r="CI62" s="216"/>
      <c r="CJ62" s="216"/>
      <c r="CK62" s="452" t="s">
        <v>465</v>
      </c>
      <c r="CL62" s="453"/>
      <c r="CM62" s="453"/>
      <c r="CN62" s="454"/>
      <c r="CO62" s="216"/>
      <c r="CP62" s="216"/>
      <c r="CQ62" s="216"/>
      <c r="CR62" s="216"/>
      <c r="CS62" s="214"/>
      <c r="CT62" s="214"/>
      <c r="CU62" s="461" t="s">
        <v>466</v>
      </c>
      <c r="CV62" s="461"/>
      <c r="CW62" s="461"/>
      <c r="CX62" s="461"/>
      <c r="CY62" s="461"/>
      <c r="CZ62" s="461"/>
      <c r="DA62" s="217"/>
      <c r="DB62" s="217"/>
      <c r="DC62" s="217"/>
      <c r="DD62" s="217"/>
      <c r="DE62" s="217"/>
      <c r="DF62" s="217"/>
      <c r="DG62" s="217"/>
      <c r="DH62" s="217"/>
      <c r="DI62" s="217"/>
      <c r="DJ62" s="217"/>
      <c r="DK62" s="217"/>
      <c r="DL62" s="217"/>
      <c r="DM62" s="217"/>
      <c r="DN62" s="217"/>
      <c r="DO62" s="455" t="s">
        <v>467</v>
      </c>
      <c r="DP62" s="455"/>
      <c r="DQ62" s="455"/>
      <c r="DR62" s="455"/>
      <c r="DS62" s="455"/>
      <c r="DT62" s="455"/>
      <c r="DU62" s="455"/>
      <c r="DV62" s="217"/>
      <c r="DW62" s="217"/>
      <c r="DX62" s="217"/>
      <c r="DY62" s="217"/>
      <c r="DZ62" s="217"/>
      <c r="EA62" s="217"/>
      <c r="EB62" s="200"/>
      <c r="EC62" s="185"/>
      <c r="ED62" s="187"/>
      <c r="EE62" s="187"/>
      <c r="EF62" s="187"/>
    </row>
    <row r="63" spans="1:136" ht="15.6" hidden="1" x14ac:dyDescent="0.3">
      <c r="A63" s="158"/>
      <c r="B63" s="158"/>
      <c r="C63" s="196"/>
      <c r="D63" s="196"/>
      <c r="E63" s="216"/>
      <c r="F63" s="216"/>
      <c r="G63" s="216"/>
      <c r="H63" s="452" t="s">
        <v>468</v>
      </c>
      <c r="I63" s="453"/>
      <c r="J63" s="453"/>
      <c r="K63" s="453"/>
      <c r="L63" s="453"/>
      <c r="M63" s="453"/>
      <c r="N63" s="454"/>
      <c r="O63" s="216"/>
      <c r="P63" s="216"/>
      <c r="Q63" s="216"/>
      <c r="R63" s="216"/>
      <c r="S63" s="216"/>
      <c r="T63" s="216"/>
      <c r="U63" s="216"/>
      <c r="V63" s="216"/>
      <c r="W63" s="216"/>
      <c r="X63" s="216"/>
      <c r="Y63" s="216"/>
      <c r="Z63" s="216"/>
      <c r="AA63" s="216"/>
      <c r="AB63" s="216"/>
      <c r="AC63" s="214"/>
      <c r="AD63" s="214"/>
      <c r="AE63" s="214"/>
      <c r="AF63" s="214"/>
      <c r="AG63" s="214"/>
      <c r="AH63" s="217"/>
      <c r="AI63" s="217"/>
      <c r="AJ63" s="217"/>
      <c r="AK63" s="217"/>
      <c r="AL63" s="217"/>
      <c r="AM63" s="217"/>
      <c r="AN63" s="217"/>
      <c r="AO63" s="217"/>
      <c r="AP63" s="217"/>
      <c r="AQ63" s="217"/>
      <c r="AR63" s="217"/>
      <c r="AS63" s="217"/>
      <c r="AT63" s="217"/>
      <c r="AU63" s="217"/>
      <c r="AV63" s="217"/>
      <c r="AW63" s="217"/>
      <c r="AX63" s="217"/>
      <c r="AY63" s="217"/>
      <c r="AZ63" s="217"/>
      <c r="BA63" s="217"/>
      <c r="BB63" s="217"/>
      <c r="BC63" s="217"/>
      <c r="BD63" s="217"/>
      <c r="BE63" s="217"/>
      <c r="BF63" s="217"/>
      <c r="BG63" s="217"/>
      <c r="BH63" s="217"/>
      <c r="BI63" s="200"/>
      <c r="BJ63" s="200"/>
      <c r="BK63" s="187"/>
      <c r="BL63" s="187"/>
      <c r="BM63" s="173"/>
      <c r="BN63" s="158"/>
      <c r="BO63" s="158"/>
      <c r="BP63" s="184"/>
      <c r="BQ63" s="196"/>
      <c r="BR63" s="216"/>
      <c r="BS63" s="443" t="str">
        <f>_xlfn.LET(
  _xlpm.u, N($DR$19),
  IF(_xlpm.u&lt;=4,"&lt;=4 Units",
     IF(_xlpm.u&lt;20,"5-19 Units","ERROR")
  )
)</f>
        <v>&lt;=4 Units</v>
      </c>
      <c r="BT63" s="444"/>
      <c r="BU63" s="444"/>
      <c r="BV63" s="445"/>
      <c r="BW63" s="216"/>
      <c r="BX63" s="216"/>
      <c r="BY63" s="452" t="str">
        <f>_xlfn.LET(
  _xlpm.fico, N($BR$13),
  IF(_xlpm.fico&lt;660,"ERROR",
     IF(_xlpm.fico&lt;680,"660 - 679",
        IF(_xlpm.fico&lt;700,"680 - 699",
           "&gt;=700")
     )
  )
)</f>
        <v>660 - 679</v>
      </c>
      <c r="BZ63" s="453"/>
      <c r="CA63" s="453"/>
      <c r="CB63" s="454"/>
      <c r="CC63" s="216"/>
      <c r="CD63" s="216"/>
      <c r="CE63" s="452" t="str">
        <f>IF(OR($DR$10="Mixed Use",$DR$10="Mobile Home"),"ERROR","")</f>
        <v/>
      </c>
      <c r="CF63" s="453"/>
      <c r="CG63" s="453"/>
      <c r="CH63" s="454"/>
      <c r="CI63" s="216"/>
      <c r="CJ63" s="216"/>
      <c r="CK63" s="443" t="str">
        <f>IF(COUNTIFS('Data Validation'!$P$3:$P$15,$CX$10,'Data Validation'!$Q$3:$Q$15,$DH$10)=0,"","ERROR")</f>
        <v/>
      </c>
      <c r="CL63" s="444"/>
      <c r="CM63" s="444"/>
      <c r="CN63" s="445"/>
      <c r="CO63" s="216"/>
      <c r="CP63" s="216"/>
      <c r="CQ63" s="216"/>
      <c r="CR63" s="216"/>
      <c r="CS63" s="214"/>
      <c r="CT63" s="214"/>
      <c r="CU63" s="458">
        <f ca="1">IF($CG$10="Purchase",MIN($DH$13,$CX$16),IF(DATEDIF($CX$13,TODAY(),"d")/30 &lt;= 6,MIN($DH$13,$CX$16),$CX$16))</f>
        <v>660000</v>
      </c>
      <c r="CV63" s="459"/>
      <c r="CW63" s="459"/>
      <c r="CX63" s="459"/>
      <c r="CY63" s="459"/>
      <c r="CZ63" s="460"/>
      <c r="DA63" s="217"/>
      <c r="DB63" s="217"/>
      <c r="DC63" s="217"/>
      <c r="DD63" s="217"/>
      <c r="DE63" s="217"/>
      <c r="DF63" s="217"/>
      <c r="DG63" s="217"/>
      <c r="DH63" s="217"/>
      <c r="DI63" s="217"/>
      <c r="DJ63" s="217"/>
      <c r="DK63" s="217"/>
      <c r="DL63" s="217"/>
      <c r="DM63" s="217"/>
      <c r="DN63" s="217"/>
      <c r="DO63" s="440" t="b">
        <f>COUNTA($BR$10,$BR$13,$BR$16,$CG$10,$CG$13,$CX$10,$DH$13,$CX$16,$CX$19,$DH$10,$DR$13,$DH$16,$DH$19,$DR$10,$DR$19,$CG$16,$BR$19,$CX$13)=18</f>
        <v>1</v>
      </c>
      <c r="DP63" s="441"/>
      <c r="DQ63" s="441"/>
      <c r="DR63" s="441"/>
      <c r="DS63" s="441"/>
      <c r="DT63" s="441"/>
      <c r="DU63" s="442"/>
      <c r="DV63" s="217"/>
      <c r="DW63" s="217"/>
      <c r="DX63" s="217"/>
      <c r="DY63" s="217"/>
      <c r="DZ63" s="217"/>
      <c r="EA63" s="217"/>
      <c r="EB63" s="200"/>
      <c r="EC63" s="185"/>
      <c r="ED63" s="187"/>
      <c r="EE63" s="187"/>
      <c r="EF63" s="187"/>
    </row>
    <row r="64" spans="1:136" ht="15.6" hidden="1" x14ac:dyDescent="0.3">
      <c r="A64" s="158"/>
      <c r="B64" s="158"/>
      <c r="C64" s="196"/>
      <c r="D64" s="196"/>
      <c r="E64" s="216"/>
      <c r="F64" s="216"/>
      <c r="G64" s="216"/>
      <c r="H64" s="443" t="e">
        <f>INDEX(Table59[],MATCH('Combined Sizer'!$M$3,Table59[Record ID],0),MATCH("Churchill - Eligibility_TF",Table59[#Headers],0))</f>
        <v>#N/A</v>
      </c>
      <c r="I64" s="444"/>
      <c r="J64" s="444"/>
      <c r="K64" s="444"/>
      <c r="L64" s="444"/>
      <c r="M64" s="444"/>
      <c r="N64" s="445"/>
      <c r="O64" s="216"/>
      <c r="P64" s="216"/>
      <c r="Q64" s="216"/>
      <c r="R64" s="216"/>
      <c r="S64" s="216"/>
      <c r="T64" s="216"/>
      <c r="U64" s="216"/>
      <c r="V64" s="216"/>
      <c r="W64" s="216"/>
      <c r="X64" s="216"/>
      <c r="Y64" s="216"/>
      <c r="Z64" s="216"/>
      <c r="AA64" s="216"/>
      <c r="AB64" s="216"/>
      <c r="AC64" s="214"/>
      <c r="AD64" s="214"/>
      <c r="AE64" s="214"/>
      <c r="AF64" s="214"/>
      <c r="AG64" s="214"/>
      <c r="AH64" s="217"/>
      <c r="AI64" s="217"/>
      <c r="AJ64" s="217"/>
      <c r="AK64" s="217"/>
      <c r="AL64" s="217"/>
      <c r="AM64" s="217"/>
      <c r="AN64" s="217"/>
      <c r="AO64" s="217"/>
      <c r="AP64" s="217"/>
      <c r="AQ64" s="217"/>
      <c r="AR64" s="217"/>
      <c r="AS64" s="217"/>
      <c r="AT64" s="217"/>
      <c r="AU64" s="217"/>
      <c r="AV64" s="217"/>
      <c r="AW64" s="217"/>
      <c r="AX64" s="217"/>
      <c r="AY64" s="217"/>
      <c r="AZ64" s="217"/>
      <c r="BA64" s="217"/>
      <c r="BB64" s="217"/>
      <c r="BC64" s="217"/>
      <c r="BD64" s="217"/>
      <c r="BE64" s="217"/>
      <c r="BF64" s="217"/>
      <c r="BG64" s="217"/>
      <c r="BH64" s="217"/>
      <c r="BI64" s="200"/>
      <c r="BJ64" s="200"/>
      <c r="BK64" s="187"/>
      <c r="BL64" s="187"/>
      <c r="BM64" s="173"/>
      <c r="BN64" s="158"/>
      <c r="BO64" s="158"/>
      <c r="BP64" s="184"/>
      <c r="BQ64" s="196"/>
      <c r="BR64" s="216"/>
      <c r="BS64" s="216"/>
      <c r="BT64" s="216"/>
      <c r="BU64" s="216"/>
      <c r="BV64" s="216"/>
      <c r="BW64" s="216"/>
      <c r="BX64" s="216"/>
      <c r="BY64" s="216"/>
      <c r="BZ64" s="216"/>
      <c r="CA64" s="216"/>
      <c r="CB64" s="216"/>
      <c r="CC64" s="216"/>
      <c r="CD64" s="216"/>
      <c r="CE64" s="216"/>
      <c r="CF64" s="216"/>
      <c r="CG64" s="216"/>
      <c r="CH64" s="216"/>
      <c r="CI64" s="216"/>
      <c r="CJ64" s="216"/>
      <c r="CK64" s="216"/>
      <c r="CL64" s="216"/>
      <c r="CM64" s="216"/>
      <c r="CN64" s="216"/>
      <c r="CO64" s="216"/>
      <c r="CP64" s="216"/>
      <c r="CQ64" s="216"/>
      <c r="CR64" s="216"/>
      <c r="CS64" s="214"/>
      <c r="CT64" s="214"/>
      <c r="CU64" s="214"/>
      <c r="CV64" s="214"/>
      <c r="CW64" s="214"/>
      <c r="CX64" s="214"/>
      <c r="CY64" s="214"/>
      <c r="CZ64" s="214"/>
      <c r="DA64" s="217"/>
      <c r="DB64" s="217"/>
      <c r="DC64" s="217"/>
      <c r="DD64" s="217"/>
      <c r="DE64" s="217"/>
      <c r="DF64" s="217"/>
      <c r="DG64" s="217"/>
      <c r="DH64" s="217"/>
      <c r="DI64" s="217"/>
      <c r="DJ64" s="217"/>
      <c r="DK64" s="217"/>
      <c r="DL64" s="217"/>
      <c r="DM64" s="217"/>
      <c r="DN64" s="217"/>
      <c r="DO64" s="217"/>
      <c r="DP64" s="217"/>
      <c r="DQ64" s="217"/>
      <c r="DR64" s="217"/>
      <c r="DS64" s="217"/>
      <c r="DT64" s="217"/>
      <c r="DU64" s="217"/>
      <c r="DV64" s="217"/>
      <c r="DW64" s="217"/>
      <c r="DX64" s="217"/>
      <c r="DY64" s="217"/>
      <c r="DZ64" s="217"/>
      <c r="EA64" s="217"/>
      <c r="EB64" s="200"/>
      <c r="EC64" s="185"/>
      <c r="ED64" s="187"/>
      <c r="EE64" s="187"/>
      <c r="EF64" s="187"/>
    </row>
    <row r="65" spans="1:136" ht="15.6" hidden="1" x14ac:dyDescent="0.3">
      <c r="A65" s="158"/>
      <c r="B65" s="158"/>
      <c r="C65" s="196"/>
      <c r="D65" s="196"/>
      <c r="E65" s="216"/>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4"/>
      <c r="AD65" s="214"/>
      <c r="AE65" s="214"/>
      <c r="AF65" s="214"/>
      <c r="AG65" s="214"/>
      <c r="AH65" s="217"/>
      <c r="AI65" s="217"/>
      <c r="AJ65" s="217"/>
      <c r="AK65" s="217"/>
      <c r="AL65" s="217"/>
      <c r="AM65" s="217"/>
      <c r="AN65" s="217"/>
      <c r="AO65" s="217"/>
      <c r="AP65" s="217"/>
      <c r="AQ65" s="217"/>
      <c r="AR65" s="217"/>
      <c r="AS65" s="217"/>
      <c r="AT65" s="217"/>
      <c r="AU65" s="217"/>
      <c r="AV65" s="217"/>
      <c r="AW65" s="217"/>
      <c r="AX65" s="217"/>
      <c r="AY65" s="217"/>
      <c r="AZ65" s="217"/>
      <c r="BA65" s="217"/>
      <c r="BB65" s="217"/>
      <c r="BC65" s="217"/>
      <c r="BD65" s="217"/>
      <c r="BE65" s="217"/>
      <c r="BF65" s="217"/>
      <c r="BG65" s="217"/>
      <c r="BH65" s="217"/>
      <c r="BI65" s="200"/>
      <c r="BJ65" s="200"/>
      <c r="BK65" s="187"/>
      <c r="BL65" s="187"/>
      <c r="BM65" s="173"/>
      <c r="BN65" s="158"/>
      <c r="BO65" s="158"/>
      <c r="BP65" s="184"/>
      <c r="BQ65" s="196"/>
      <c r="BR65" s="216"/>
      <c r="BS65" s="446" t="s">
        <v>469</v>
      </c>
      <c r="BT65" s="447"/>
      <c r="BU65" s="447"/>
      <c r="BV65" s="447"/>
      <c r="BW65" s="447"/>
      <c r="BX65" s="447"/>
      <c r="BY65" s="447"/>
      <c r="BZ65" s="447"/>
      <c r="CA65" s="447"/>
      <c r="CB65" s="447"/>
      <c r="CC65" s="447"/>
      <c r="CD65" s="447"/>
      <c r="CE65" s="447"/>
      <c r="CF65" s="447"/>
      <c r="CG65" s="447"/>
      <c r="CH65" s="447"/>
      <c r="CI65" s="447"/>
      <c r="CJ65" s="447"/>
      <c r="CK65" s="447"/>
      <c r="CL65" s="447"/>
      <c r="CM65" s="447"/>
      <c r="CN65" s="447"/>
      <c r="CO65" s="447"/>
      <c r="CP65" s="447"/>
      <c r="CQ65" s="447"/>
      <c r="CR65" s="447"/>
      <c r="CS65" s="447"/>
      <c r="CT65" s="447"/>
      <c r="CU65" s="447"/>
      <c r="CV65" s="447"/>
      <c r="CW65" s="447"/>
      <c r="CX65" s="448"/>
      <c r="CY65" s="214"/>
      <c r="CZ65" s="214"/>
      <c r="DA65" s="217"/>
      <c r="DB65" s="217"/>
      <c r="DC65" s="217"/>
      <c r="DD65" s="217"/>
      <c r="DE65" s="217"/>
      <c r="DF65" s="217"/>
      <c r="DG65" s="217"/>
      <c r="DH65" s="217"/>
      <c r="DI65" s="217"/>
      <c r="DJ65" s="217"/>
      <c r="DK65" s="217"/>
      <c r="DL65" s="217"/>
      <c r="DM65" s="217"/>
      <c r="DN65" s="217"/>
      <c r="DO65" s="449" t="s">
        <v>470</v>
      </c>
      <c r="DP65" s="450"/>
      <c r="DQ65" s="450"/>
      <c r="DR65" s="450"/>
      <c r="DS65" s="450"/>
      <c r="DT65" s="450"/>
      <c r="DU65" s="451"/>
      <c r="DV65" s="217"/>
      <c r="DW65" s="217"/>
      <c r="DX65" s="217"/>
      <c r="DY65" s="217"/>
      <c r="DZ65" s="217"/>
      <c r="EA65" s="217"/>
      <c r="EB65" s="200"/>
      <c r="EC65" s="185"/>
      <c r="ED65" s="187"/>
      <c r="EE65" s="187"/>
      <c r="EF65" s="187"/>
    </row>
    <row r="66" spans="1:136" ht="15.6" hidden="1" x14ac:dyDescent="0.3">
      <c r="A66" s="158"/>
      <c r="B66" s="158"/>
      <c r="C66" s="196"/>
      <c r="D66" s="196"/>
      <c r="E66" s="216"/>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4"/>
      <c r="AD66" s="214"/>
      <c r="AE66" s="214"/>
      <c r="AF66" s="214"/>
      <c r="AG66" s="214"/>
      <c r="AH66" s="217"/>
      <c r="AI66" s="217"/>
      <c r="AJ66" s="217"/>
      <c r="AK66" s="217"/>
      <c r="AL66" s="217"/>
      <c r="AM66" s="217"/>
      <c r="AN66" s="217"/>
      <c r="AO66" s="217"/>
      <c r="AP66" s="217"/>
      <c r="AQ66" s="217"/>
      <c r="AR66" s="217"/>
      <c r="AS66" s="217"/>
      <c r="AT66" s="217"/>
      <c r="AU66" s="217"/>
      <c r="AV66" s="217"/>
      <c r="AW66" s="217"/>
      <c r="AX66" s="217"/>
      <c r="AY66" s="217"/>
      <c r="AZ66" s="217"/>
      <c r="BA66" s="217"/>
      <c r="BB66" s="217"/>
      <c r="BC66" s="217"/>
      <c r="BD66" s="217"/>
      <c r="BE66" s="217"/>
      <c r="BF66" s="217"/>
      <c r="BG66" s="217"/>
      <c r="BH66" s="217"/>
      <c r="BI66" s="200"/>
      <c r="BJ66" s="200"/>
      <c r="BK66" s="187"/>
      <c r="BL66" s="187"/>
      <c r="BM66" s="173"/>
      <c r="BN66" s="158"/>
      <c r="BO66" s="158"/>
      <c r="BP66" s="184"/>
      <c r="BQ66" s="196"/>
      <c r="BR66" s="216"/>
      <c r="BS66" s="456" t="str">
        <f ca="1">$CF$51 &amp; "|" &amp; $BR$51 &amp; "|" &amp; $CG$10 &amp; "|" &amp; $BY$63 &amp; "|" &amp; $BS$63</f>
        <v>Experienced (3-9) ($5m)|Fix and Flip (Light Rehab)|Cash Out Refinance|660 - 679|&lt;=4 Units</v>
      </c>
      <c r="BT66" s="457"/>
      <c r="BU66" s="457"/>
      <c r="BV66" s="457"/>
      <c r="BW66" s="457"/>
      <c r="BX66" s="457"/>
      <c r="BY66" s="457"/>
      <c r="BZ66" s="457"/>
      <c r="CA66" s="457"/>
      <c r="CB66" s="457"/>
      <c r="CC66" s="457"/>
      <c r="CD66" s="457"/>
      <c r="CE66" s="457"/>
      <c r="CF66" s="457"/>
      <c r="CG66" s="457"/>
      <c r="CH66" s="457"/>
      <c r="CI66" s="457"/>
      <c r="CJ66" s="457"/>
      <c r="CK66" s="457"/>
      <c r="CL66" s="457"/>
      <c r="CM66" s="457"/>
      <c r="CN66" s="457"/>
      <c r="CO66" s="457"/>
      <c r="CP66" s="457"/>
      <c r="CQ66" s="457"/>
      <c r="CR66" s="457"/>
      <c r="CS66" s="457"/>
      <c r="CT66" s="457"/>
      <c r="CU66" s="457"/>
      <c r="CV66" s="457"/>
      <c r="CW66" s="457"/>
      <c r="CX66" s="457"/>
      <c r="CY66" s="457"/>
      <c r="CZ66" s="457"/>
      <c r="DA66" s="457"/>
      <c r="DB66" s="457"/>
      <c r="DC66" s="457"/>
      <c r="DD66" s="457"/>
      <c r="DE66" s="457"/>
      <c r="DF66" s="457"/>
      <c r="DG66" s="217"/>
      <c r="DH66" s="217"/>
      <c r="DI66" s="217"/>
      <c r="DJ66" s="217"/>
      <c r="DK66" s="217"/>
      <c r="DL66" s="217"/>
      <c r="DM66" s="217"/>
      <c r="DN66" s="217"/>
      <c r="DO66" s="440" t="e">
        <f ca="1">AND(
  ISERROR(SEARCH("ERROR",$BS$66)),
  $CE$63&lt;&gt;"ERROR",
  $CK$63&lt;&gt;"ERROR",
  $DW$51&lt;&gt;"N/A",
  $DW$51&lt;&gt;"ERROR",
  $DO$63&lt;&gt;FALSE
)</f>
        <v>#VALUE!</v>
      </c>
      <c r="DP66" s="441"/>
      <c r="DQ66" s="441"/>
      <c r="DR66" s="441"/>
      <c r="DS66" s="441"/>
      <c r="DT66" s="441"/>
      <c r="DU66" s="442"/>
      <c r="DV66" s="217"/>
      <c r="DW66" s="217"/>
      <c r="DX66" s="217"/>
      <c r="DY66" s="217"/>
      <c r="DZ66" s="217"/>
      <c r="EA66" s="217"/>
      <c r="EB66" s="200"/>
      <c r="EC66" s="185"/>
      <c r="ED66" s="187"/>
      <c r="EE66" s="187"/>
      <c r="EF66" s="187"/>
    </row>
    <row r="67" spans="1:136" ht="15.6" hidden="1" x14ac:dyDescent="0.3">
      <c r="A67" s="158"/>
      <c r="B67" s="158"/>
      <c r="C67" s="196"/>
      <c r="D67" s="19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4"/>
      <c r="AD67" s="214"/>
      <c r="AE67" s="214"/>
      <c r="AF67" s="214"/>
      <c r="AG67" s="214"/>
      <c r="AH67" s="217"/>
      <c r="AI67" s="217"/>
      <c r="AJ67" s="217"/>
      <c r="AK67" s="217"/>
      <c r="AL67" s="217"/>
      <c r="AM67" s="217"/>
      <c r="AN67" s="217"/>
      <c r="AO67" s="217"/>
      <c r="AP67" s="217"/>
      <c r="AQ67" s="217"/>
      <c r="AR67" s="217"/>
      <c r="AS67" s="217"/>
      <c r="AT67" s="217"/>
      <c r="AU67" s="217"/>
      <c r="AV67" s="217"/>
      <c r="AW67" s="217"/>
      <c r="AX67" s="217"/>
      <c r="AY67" s="217"/>
      <c r="AZ67" s="217"/>
      <c r="BA67" s="217"/>
      <c r="BB67" s="217"/>
      <c r="BC67" s="217"/>
      <c r="BD67" s="217"/>
      <c r="BE67" s="217"/>
      <c r="BF67" s="217"/>
      <c r="BG67" s="217"/>
      <c r="BH67" s="217"/>
      <c r="BI67" s="200"/>
      <c r="BJ67" s="200"/>
      <c r="BK67" s="187"/>
      <c r="BL67" s="187"/>
      <c r="BM67" s="173"/>
      <c r="BN67" s="158"/>
      <c r="BO67" s="158"/>
      <c r="BP67" s="184"/>
      <c r="BQ67" s="196"/>
      <c r="BR67" s="216"/>
      <c r="BS67" s="216"/>
      <c r="BT67" s="216"/>
      <c r="BU67" s="216"/>
      <c r="BV67" s="216"/>
      <c r="BW67" s="216"/>
      <c r="BX67" s="216"/>
      <c r="BY67" s="216"/>
      <c r="BZ67" s="216"/>
      <c r="CA67" s="216"/>
      <c r="CB67" s="216"/>
      <c r="CC67" s="216"/>
      <c r="CD67" s="216"/>
      <c r="CE67" s="216"/>
      <c r="CF67" s="216"/>
      <c r="CG67" s="216"/>
      <c r="CH67" s="216"/>
      <c r="CI67" s="216"/>
      <c r="CJ67" s="216"/>
      <c r="CK67" s="216"/>
      <c r="CL67" s="216"/>
      <c r="CM67" s="216"/>
      <c r="CN67" s="216"/>
      <c r="CO67" s="216"/>
      <c r="CP67" s="216"/>
      <c r="CQ67" s="216"/>
      <c r="CR67" s="216"/>
      <c r="CS67" s="214"/>
      <c r="CT67" s="214"/>
      <c r="CU67" s="214"/>
      <c r="CV67" s="214"/>
      <c r="CW67" s="214"/>
      <c r="CX67" s="214"/>
      <c r="CY67" s="214"/>
      <c r="CZ67" s="214"/>
      <c r="DA67" s="217"/>
      <c r="DB67" s="217"/>
      <c r="DC67" s="217"/>
      <c r="DD67" s="217"/>
      <c r="DE67" s="217"/>
      <c r="DF67" s="217"/>
      <c r="DG67" s="217"/>
      <c r="DH67" s="217"/>
      <c r="DI67" s="217"/>
      <c r="DJ67" s="217"/>
      <c r="DK67" s="217"/>
      <c r="DL67" s="217"/>
      <c r="DM67" s="217"/>
      <c r="DN67" s="217"/>
      <c r="DO67" s="217"/>
      <c r="DP67" s="217"/>
      <c r="DQ67" s="217"/>
      <c r="DR67" s="217"/>
      <c r="DS67" s="217"/>
      <c r="DT67" s="217"/>
      <c r="DU67" s="217"/>
      <c r="DV67" s="217"/>
      <c r="DW67" s="217"/>
      <c r="DX67" s="217"/>
      <c r="DY67" s="217"/>
      <c r="DZ67" s="217"/>
      <c r="EA67" s="217"/>
      <c r="EB67" s="200"/>
      <c r="EC67" s="185"/>
      <c r="ED67" s="158"/>
      <c r="EE67" s="158"/>
      <c r="EF67" s="158"/>
    </row>
    <row r="68" spans="1:136" ht="15" thickTop="1" x14ac:dyDescent="0.3">
      <c r="A68" s="158"/>
      <c r="B68" s="158"/>
      <c r="C68" s="196"/>
      <c r="D68" s="196"/>
      <c r="E68" s="198"/>
      <c r="F68" s="198"/>
      <c r="G68" s="198"/>
      <c r="H68" s="198"/>
      <c r="I68" s="198"/>
      <c r="J68" s="198"/>
      <c r="K68" s="198"/>
      <c r="L68" s="198"/>
      <c r="M68" s="198"/>
      <c r="N68" s="198"/>
      <c r="O68" s="198"/>
      <c r="P68" s="198"/>
      <c r="Q68" s="198"/>
      <c r="R68" s="198"/>
      <c r="S68" s="198"/>
      <c r="T68" s="198"/>
      <c r="U68" s="198"/>
      <c r="V68" s="198"/>
      <c r="W68" s="198"/>
      <c r="X68" s="198"/>
      <c r="Y68" s="198"/>
      <c r="Z68" s="198"/>
      <c r="AA68" s="198"/>
      <c r="AB68" s="198"/>
      <c r="AC68" s="198"/>
      <c r="AD68" s="198"/>
      <c r="AE68" s="198"/>
      <c r="AF68" s="198"/>
      <c r="AG68" s="198"/>
      <c r="AH68" s="198"/>
      <c r="AI68" s="198"/>
      <c r="AJ68" s="198"/>
      <c r="AK68" s="198"/>
      <c r="AL68" s="198"/>
      <c r="AM68" s="198"/>
      <c r="AN68" s="198"/>
      <c r="AO68" s="198"/>
      <c r="AP68" s="198"/>
      <c r="AQ68" s="198"/>
      <c r="AR68" s="198"/>
      <c r="AS68" s="198"/>
      <c r="AT68" s="198"/>
      <c r="AU68" s="198"/>
      <c r="AV68" s="198"/>
      <c r="AW68" s="198"/>
      <c r="AX68" s="198"/>
      <c r="AY68" s="198"/>
      <c r="AZ68" s="198"/>
      <c r="BA68" s="198"/>
      <c r="BB68" s="198"/>
      <c r="BC68" s="198"/>
      <c r="BD68" s="198"/>
      <c r="BE68" s="198"/>
      <c r="BF68" s="198"/>
      <c r="BG68" s="198"/>
      <c r="BH68" s="198"/>
      <c r="BI68" s="200"/>
      <c r="BJ68" s="200"/>
      <c r="BK68" s="158"/>
      <c r="BL68" s="158"/>
      <c r="BM68" s="173"/>
      <c r="BN68" s="158"/>
      <c r="BO68" s="158"/>
      <c r="BP68" s="184"/>
      <c r="BQ68" s="196"/>
      <c r="BR68" s="198"/>
      <c r="BS68" s="198"/>
      <c r="BT68" s="198"/>
      <c r="BU68" s="198"/>
      <c r="BV68" s="198"/>
      <c r="BW68" s="198"/>
      <c r="BX68" s="198"/>
      <c r="BY68" s="198"/>
      <c r="BZ68" s="198"/>
      <c r="CA68" s="198"/>
      <c r="CB68" s="198"/>
      <c r="CC68" s="198"/>
      <c r="CD68" s="198"/>
      <c r="CE68" s="198"/>
      <c r="CF68" s="198"/>
      <c r="CG68" s="198"/>
      <c r="CH68" s="198"/>
      <c r="CI68" s="198"/>
      <c r="CJ68" s="198"/>
      <c r="CK68" s="198"/>
      <c r="CL68" s="198"/>
      <c r="CM68" s="198"/>
      <c r="CN68" s="198"/>
      <c r="CO68" s="198"/>
      <c r="CP68" s="198"/>
      <c r="CQ68" s="198"/>
      <c r="CR68" s="198"/>
      <c r="CS68" s="198"/>
      <c r="CT68" s="198"/>
      <c r="CU68" s="198"/>
      <c r="CV68" s="198"/>
      <c r="CW68" s="198"/>
      <c r="CX68" s="198"/>
      <c r="CY68" s="198"/>
      <c r="CZ68" s="198"/>
      <c r="DA68" s="198"/>
      <c r="DB68" s="198"/>
      <c r="DC68" s="198"/>
      <c r="DD68" s="198"/>
      <c r="DE68" s="198"/>
      <c r="DF68" s="198"/>
      <c r="DG68" s="198"/>
      <c r="DH68" s="198"/>
      <c r="DI68" s="198"/>
      <c r="DJ68" s="198"/>
      <c r="DK68" s="198"/>
      <c r="DL68" s="198"/>
      <c r="DM68" s="198"/>
      <c r="DN68" s="198"/>
      <c r="DO68" s="198"/>
      <c r="DP68" s="198"/>
      <c r="DQ68" s="198"/>
      <c r="DR68" s="198"/>
      <c r="DS68" s="198"/>
      <c r="DT68" s="198"/>
      <c r="DU68" s="198"/>
      <c r="DV68" s="198"/>
      <c r="DW68" s="198"/>
      <c r="DX68" s="198"/>
      <c r="DY68" s="198"/>
      <c r="DZ68" s="198"/>
      <c r="EA68" s="198"/>
      <c r="EB68" s="200"/>
      <c r="EC68" s="185"/>
      <c r="ED68" s="158"/>
      <c r="EE68" s="158"/>
      <c r="EF68" s="158"/>
    </row>
    <row r="69" spans="1:136" s="189" customFormat="1" ht="21" x14ac:dyDescent="0.3">
      <c r="A69" s="240"/>
      <c r="B69" s="240"/>
      <c r="C69" s="242"/>
      <c r="D69" s="462" t="s">
        <v>369</v>
      </c>
      <c r="E69" s="463"/>
      <c r="F69" s="463"/>
      <c r="G69" s="463"/>
      <c r="H69" s="463"/>
      <c r="I69" s="463"/>
      <c r="J69" s="463"/>
      <c r="K69" s="463"/>
      <c r="L69" s="463"/>
      <c r="M69" s="463"/>
      <c r="N69" s="463"/>
      <c r="O69" s="463"/>
      <c r="P69" s="463"/>
      <c r="Q69" s="463"/>
      <c r="R69" s="463"/>
      <c r="S69" s="463"/>
      <c r="T69" s="463"/>
      <c r="U69" s="463"/>
      <c r="V69" s="463"/>
      <c r="W69" s="463"/>
      <c r="X69" s="463"/>
      <c r="Y69" s="463"/>
      <c r="Z69" s="463"/>
      <c r="AA69" s="463"/>
      <c r="AB69" s="463"/>
      <c r="AC69" s="463"/>
      <c r="AD69" s="463"/>
      <c r="AE69" s="463"/>
      <c r="AF69" s="463"/>
      <c r="AG69" s="463"/>
      <c r="AH69" s="463"/>
      <c r="AI69" s="463"/>
      <c r="AJ69" s="463"/>
      <c r="AK69" s="463"/>
      <c r="AL69" s="463"/>
      <c r="AM69" s="463"/>
      <c r="AN69" s="463"/>
      <c r="AO69" s="463"/>
      <c r="AP69" s="463"/>
      <c r="AQ69" s="463"/>
      <c r="AR69" s="463"/>
      <c r="AS69" s="463"/>
      <c r="AT69" s="463"/>
      <c r="AU69" s="463"/>
      <c r="AV69" s="463"/>
      <c r="AW69" s="463"/>
      <c r="AX69" s="463"/>
      <c r="AY69" s="463"/>
      <c r="AZ69" s="463"/>
      <c r="BA69" s="463"/>
      <c r="BB69" s="463"/>
      <c r="BC69" s="463"/>
      <c r="BD69" s="463"/>
      <c r="BE69" s="463"/>
      <c r="BF69" s="463"/>
      <c r="BG69" s="463"/>
      <c r="BH69" s="463"/>
      <c r="BI69" s="464"/>
      <c r="BJ69" s="244"/>
      <c r="BK69" s="240"/>
      <c r="BL69" s="240"/>
      <c r="BM69" s="246"/>
      <c r="BN69" s="240"/>
      <c r="BO69" s="240"/>
      <c r="BP69" s="241"/>
      <c r="BQ69" s="462" t="s">
        <v>369</v>
      </c>
      <c r="BR69" s="463"/>
      <c r="BS69" s="463"/>
      <c r="BT69" s="463"/>
      <c r="BU69" s="463"/>
      <c r="BV69" s="463"/>
      <c r="BW69" s="463"/>
      <c r="BX69" s="463"/>
      <c r="BY69" s="463"/>
      <c r="BZ69" s="463"/>
      <c r="CA69" s="463"/>
      <c r="CB69" s="463"/>
      <c r="CC69" s="463"/>
      <c r="CD69" s="463"/>
      <c r="CE69" s="463"/>
      <c r="CF69" s="463"/>
      <c r="CG69" s="463"/>
      <c r="CH69" s="463"/>
      <c r="CI69" s="463"/>
      <c r="CJ69" s="463"/>
      <c r="CK69" s="463"/>
      <c r="CL69" s="463"/>
      <c r="CM69" s="463"/>
      <c r="CN69" s="463"/>
      <c r="CO69" s="463"/>
      <c r="CP69" s="463"/>
      <c r="CQ69" s="463"/>
      <c r="CR69" s="463"/>
      <c r="CS69" s="463"/>
      <c r="CT69" s="463"/>
      <c r="CU69" s="463"/>
      <c r="CV69" s="463"/>
      <c r="CW69" s="463"/>
      <c r="CX69" s="463"/>
      <c r="CY69" s="463"/>
      <c r="CZ69" s="463"/>
      <c r="DA69" s="463"/>
      <c r="DB69" s="463"/>
      <c r="DC69" s="463"/>
      <c r="DD69" s="463"/>
      <c r="DE69" s="463"/>
      <c r="DF69" s="463"/>
      <c r="DG69" s="463"/>
      <c r="DH69" s="463"/>
      <c r="DI69" s="463"/>
      <c r="DJ69" s="463"/>
      <c r="DK69" s="463"/>
      <c r="DL69" s="463"/>
      <c r="DM69" s="463"/>
      <c r="DN69" s="463"/>
      <c r="DO69" s="463"/>
      <c r="DP69" s="463"/>
      <c r="DQ69" s="463"/>
      <c r="DR69" s="463"/>
      <c r="DS69" s="463"/>
      <c r="DT69" s="463"/>
      <c r="DU69" s="463"/>
      <c r="DV69" s="463"/>
      <c r="DW69" s="463"/>
      <c r="DX69" s="463"/>
      <c r="DY69" s="463"/>
      <c r="DZ69" s="463"/>
      <c r="EA69" s="463"/>
      <c r="EB69" s="464"/>
      <c r="EC69" s="245"/>
      <c r="ED69" s="240"/>
      <c r="EE69" s="240"/>
      <c r="EF69" s="240"/>
    </row>
    <row r="70" spans="1:136" x14ac:dyDescent="0.3">
      <c r="A70" s="158"/>
      <c r="B70" s="158"/>
      <c r="C70" s="196"/>
      <c r="D70" s="196"/>
      <c r="E70" s="198"/>
      <c r="F70" s="198"/>
      <c r="G70" s="198"/>
      <c r="H70" s="198"/>
      <c r="I70" s="198"/>
      <c r="J70" s="198"/>
      <c r="K70" s="198"/>
      <c r="L70" s="198"/>
      <c r="M70" s="198"/>
      <c r="N70" s="198"/>
      <c r="O70" s="198"/>
      <c r="P70" s="198"/>
      <c r="Q70" s="198"/>
      <c r="R70" s="198"/>
      <c r="S70" s="198"/>
      <c r="T70" s="198"/>
      <c r="U70" s="198"/>
      <c r="V70" s="198"/>
      <c r="W70" s="198"/>
      <c r="X70" s="198"/>
      <c r="Y70" s="198"/>
      <c r="Z70" s="198"/>
      <c r="AA70" s="198"/>
      <c r="AB70" s="198"/>
      <c r="AC70" s="198"/>
      <c r="AD70" s="198"/>
      <c r="AE70" s="198"/>
      <c r="AF70" s="198"/>
      <c r="AG70" s="198"/>
      <c r="AH70" s="198"/>
      <c r="AI70" s="198"/>
      <c r="AJ70" s="198"/>
      <c r="AK70" s="198"/>
      <c r="AL70" s="198"/>
      <c r="AM70" s="198"/>
      <c r="AN70" s="198"/>
      <c r="AO70" s="198"/>
      <c r="AP70" s="198"/>
      <c r="AQ70" s="198"/>
      <c r="AR70" s="198"/>
      <c r="AS70" s="198"/>
      <c r="AT70" s="198"/>
      <c r="AU70" s="198"/>
      <c r="AV70" s="198"/>
      <c r="AW70" s="198"/>
      <c r="AX70" s="198"/>
      <c r="AY70" s="198"/>
      <c r="AZ70" s="198"/>
      <c r="BA70" s="198"/>
      <c r="BB70" s="198"/>
      <c r="BC70" s="198"/>
      <c r="BD70" s="198"/>
      <c r="BE70" s="198"/>
      <c r="BF70" s="198"/>
      <c r="BG70" s="198"/>
      <c r="BH70" s="198"/>
      <c r="BI70" s="200"/>
      <c r="BJ70" s="200"/>
      <c r="BK70" s="158"/>
      <c r="BL70" s="158"/>
      <c r="BM70" s="173"/>
      <c r="BN70" s="158"/>
      <c r="BO70" s="158"/>
      <c r="BP70" s="184"/>
      <c r="BQ70" s="196"/>
      <c r="BR70" s="198"/>
      <c r="BS70" s="198"/>
      <c r="BT70" s="198"/>
      <c r="BU70" s="198"/>
      <c r="BV70" s="198"/>
      <c r="BW70" s="198"/>
      <c r="BX70" s="198"/>
      <c r="BY70" s="198"/>
      <c r="BZ70" s="198"/>
      <c r="CA70" s="198"/>
      <c r="CB70" s="198"/>
      <c r="CC70" s="198"/>
      <c r="CD70" s="198"/>
      <c r="CE70" s="198"/>
      <c r="CF70" s="198"/>
      <c r="CG70" s="198"/>
      <c r="CH70" s="198"/>
      <c r="CI70" s="198"/>
      <c r="CJ70" s="198"/>
      <c r="CK70" s="198"/>
      <c r="CL70" s="198"/>
      <c r="CM70" s="198"/>
      <c r="CN70" s="198"/>
      <c r="CO70" s="198"/>
      <c r="CP70" s="198"/>
      <c r="CQ70" s="198"/>
      <c r="CR70" s="198"/>
      <c r="CS70" s="198"/>
      <c r="CT70" s="198"/>
      <c r="CU70" s="198"/>
      <c r="CV70" s="198"/>
      <c r="CW70" s="198"/>
      <c r="CX70" s="198"/>
      <c r="CY70" s="198"/>
      <c r="CZ70" s="198"/>
      <c r="DA70" s="198"/>
      <c r="DB70" s="198"/>
      <c r="DC70" s="198"/>
      <c r="DD70" s="198"/>
      <c r="DE70" s="198"/>
      <c r="DF70" s="198"/>
      <c r="DG70" s="198"/>
      <c r="DH70" s="198"/>
      <c r="DI70" s="198"/>
      <c r="DJ70" s="198"/>
      <c r="DK70" s="198"/>
      <c r="DL70" s="198"/>
      <c r="DM70" s="198"/>
      <c r="DN70" s="198"/>
      <c r="DO70" s="198"/>
      <c r="DP70" s="198"/>
      <c r="DQ70" s="198"/>
      <c r="DR70" s="198"/>
      <c r="DS70" s="198"/>
      <c r="DT70" s="198"/>
      <c r="DU70" s="198"/>
      <c r="DV70" s="198"/>
      <c r="DW70" s="198"/>
      <c r="DX70" s="198"/>
      <c r="DY70" s="198"/>
      <c r="DZ70" s="198"/>
      <c r="EA70" s="198"/>
      <c r="EB70" s="200"/>
      <c r="EC70" s="185"/>
      <c r="ED70" s="158"/>
      <c r="EE70" s="158"/>
      <c r="EF70" s="158"/>
    </row>
    <row r="71" spans="1:136" x14ac:dyDescent="0.3">
      <c r="A71" s="158"/>
      <c r="B71" s="158"/>
      <c r="C71" s="196"/>
      <c r="D71" s="196"/>
      <c r="E71" s="421" t="s">
        <v>261</v>
      </c>
      <c r="F71" s="422"/>
      <c r="G71" s="422"/>
      <c r="H71" s="422"/>
      <c r="I71" s="422"/>
      <c r="J71" s="422"/>
      <c r="K71" s="422"/>
      <c r="L71" s="422"/>
      <c r="M71" s="422"/>
      <c r="N71" s="422"/>
      <c r="O71" s="423"/>
      <c r="P71" s="198"/>
      <c r="Q71" s="198"/>
      <c r="R71" s="198"/>
      <c r="S71" s="421" t="s">
        <v>426</v>
      </c>
      <c r="T71" s="422"/>
      <c r="U71" s="422"/>
      <c r="V71" s="422"/>
      <c r="W71" s="422"/>
      <c r="X71" s="422"/>
      <c r="Y71" s="422"/>
      <c r="Z71" s="422"/>
      <c r="AA71" s="422"/>
      <c r="AB71" s="423"/>
      <c r="AC71" s="198"/>
      <c r="AD71" s="198"/>
      <c r="AE71" s="198"/>
      <c r="AF71" s="198"/>
      <c r="AG71" s="198"/>
      <c r="AH71" s="465" t="s">
        <v>471</v>
      </c>
      <c r="AI71" s="466"/>
      <c r="AJ71" s="466"/>
      <c r="AK71" s="466"/>
      <c r="AL71" s="467"/>
      <c r="AM71" s="198"/>
      <c r="AN71" s="198"/>
      <c r="AO71" s="421" t="s">
        <v>472</v>
      </c>
      <c r="AP71" s="422"/>
      <c r="AQ71" s="422"/>
      <c r="AR71" s="422"/>
      <c r="AS71" s="422"/>
      <c r="AT71" s="422"/>
      <c r="AU71" s="423"/>
      <c r="AV71" s="198"/>
      <c r="AW71" s="198"/>
      <c r="AX71" s="421" t="s">
        <v>267</v>
      </c>
      <c r="AY71" s="422"/>
      <c r="AZ71" s="422"/>
      <c r="BA71" s="422"/>
      <c r="BB71" s="423"/>
      <c r="BC71" s="198"/>
      <c r="BD71" s="421" t="s">
        <v>460</v>
      </c>
      <c r="BE71" s="422"/>
      <c r="BF71" s="422"/>
      <c r="BG71" s="422"/>
      <c r="BH71" s="423"/>
      <c r="BI71" s="200"/>
      <c r="BJ71" s="200"/>
      <c r="BK71" s="158"/>
      <c r="BL71" s="158"/>
      <c r="BM71" s="173"/>
      <c r="BN71" s="158"/>
      <c r="BO71" s="158"/>
      <c r="BP71" s="184"/>
      <c r="BQ71" s="196"/>
      <c r="BR71" s="421" t="s">
        <v>261</v>
      </c>
      <c r="BS71" s="422"/>
      <c r="BT71" s="422"/>
      <c r="BU71" s="422"/>
      <c r="BV71" s="422"/>
      <c r="BW71" s="422"/>
      <c r="BX71" s="422"/>
      <c r="BY71" s="422"/>
      <c r="BZ71" s="422"/>
      <c r="CA71" s="422"/>
      <c r="CB71" s="423"/>
      <c r="CC71" s="198"/>
      <c r="CD71" s="198"/>
      <c r="CE71" s="198"/>
      <c r="CF71" s="198"/>
      <c r="CG71" s="421" t="s">
        <v>461</v>
      </c>
      <c r="CH71" s="422"/>
      <c r="CI71" s="422"/>
      <c r="CJ71" s="422"/>
      <c r="CK71" s="422"/>
      <c r="CL71" s="422"/>
      <c r="CM71" s="422"/>
      <c r="CN71" s="422"/>
      <c r="CO71" s="422"/>
      <c r="CP71" s="422"/>
      <c r="CQ71" s="422"/>
      <c r="CR71" s="423"/>
      <c r="CS71" s="198"/>
      <c r="CT71" s="198"/>
      <c r="CU71" s="198"/>
      <c r="CV71" s="198"/>
      <c r="CW71" s="198"/>
      <c r="CX71" s="198"/>
      <c r="CY71" s="198"/>
      <c r="CZ71" s="198"/>
      <c r="DA71" s="465" t="s">
        <v>471</v>
      </c>
      <c r="DB71" s="466"/>
      <c r="DC71" s="466"/>
      <c r="DD71" s="466"/>
      <c r="DE71" s="467"/>
      <c r="DF71" s="198"/>
      <c r="DG71" s="198"/>
      <c r="DH71" s="421" t="s">
        <v>472</v>
      </c>
      <c r="DI71" s="422"/>
      <c r="DJ71" s="422"/>
      <c r="DK71" s="422"/>
      <c r="DL71" s="422"/>
      <c r="DM71" s="422"/>
      <c r="DN71" s="423"/>
      <c r="DO71" s="198"/>
      <c r="DP71" s="198"/>
      <c r="DQ71" s="421" t="s">
        <v>267</v>
      </c>
      <c r="DR71" s="422"/>
      <c r="DS71" s="422"/>
      <c r="DT71" s="422"/>
      <c r="DU71" s="423"/>
      <c r="DV71" s="198"/>
      <c r="DW71" s="421" t="s">
        <v>460</v>
      </c>
      <c r="DX71" s="422"/>
      <c r="DY71" s="422"/>
      <c r="DZ71" s="422"/>
      <c r="EA71" s="423"/>
      <c r="EB71" s="200"/>
      <c r="EC71" s="185"/>
      <c r="ED71" s="158"/>
      <c r="EE71" s="158"/>
      <c r="EF71" s="158"/>
    </row>
    <row r="72" spans="1:136" ht="15.6" x14ac:dyDescent="0.3">
      <c r="A72" s="158"/>
      <c r="B72" s="158"/>
      <c r="C72" s="196"/>
      <c r="D72" s="196"/>
      <c r="E72" s="427" t="str">
        <f>IFERROR(INDEX(Table59[],MATCH('Combined Sizer'!$M$3,Table59[Record ID],0),MATCH("Constructive -  Project Type",Table59[#Headers],0)),"")</f>
        <v/>
      </c>
      <c r="F72" s="427"/>
      <c r="G72" s="427"/>
      <c r="H72" s="427"/>
      <c r="I72" s="427"/>
      <c r="J72" s="427"/>
      <c r="K72" s="427"/>
      <c r="L72" s="427"/>
      <c r="M72" s="427"/>
      <c r="N72" s="427"/>
      <c r="O72" s="427"/>
      <c r="P72" s="201"/>
      <c r="Q72" s="201"/>
      <c r="R72" s="201"/>
      <c r="S72" s="428" t="str">
        <f>IFERROR(INDEX(Table59[],MATCH('Combined Sizer'!$M$3,Table59[Record ID],0),MATCH("Constructive -  Experience Level",Table59[#Headers],0)),"")</f>
        <v/>
      </c>
      <c r="T72" s="429"/>
      <c r="U72" s="429"/>
      <c r="V72" s="429"/>
      <c r="W72" s="429"/>
      <c r="X72" s="429"/>
      <c r="Y72" s="429"/>
      <c r="Z72" s="429"/>
      <c r="AA72" s="429"/>
      <c r="AB72" s="430"/>
      <c r="AC72" s="198"/>
      <c r="AD72" s="198"/>
      <c r="AE72" s="198"/>
      <c r="AF72" s="198"/>
      <c r="AG72" s="198"/>
      <c r="AH72" s="468">
        <f>IF(IF($AY$10="Single Family","Single Family",IF($AY$10="Non-Warrantable Condo","Non-Warrantable Condo",IF(OR($AY$10="Duplex",$AY$10="Triplex",$AY$10="Fourplex",$AY$10="2 - 4 Unit",$AY$10="Townhome",$AY$10="Warrantable Condo",$AY$19&lt;=4),"Other (2-4 unit)","ERROR")))="Other (2-4 Unit)",2495,1995)</f>
        <v>1995</v>
      </c>
      <c r="AI72" s="469"/>
      <c r="AJ72" s="469"/>
      <c r="AK72" s="469"/>
      <c r="AL72" s="470"/>
      <c r="AM72" s="197"/>
      <c r="AN72" s="197"/>
      <c r="AO72" s="471">
        <v>0</v>
      </c>
      <c r="AP72" s="472"/>
      <c r="AQ72" s="472"/>
      <c r="AR72" s="472"/>
      <c r="AS72" s="472"/>
      <c r="AT72" s="472"/>
      <c r="AU72" s="473"/>
      <c r="AV72" s="197"/>
      <c r="AW72" s="197"/>
      <c r="AX72" s="424">
        <f>IF($AO$72=0,IF($S$72="Silver (1-2)",0.1199,IF($S$72="Gold (3-4)",0.1149,0.1099)),IF($AO$72=0.5,IF($S$72="Silver (1-2)",0.1099,IF($S$72="Gold (3-4)",0.1049,0.0999)),IF($AO$72=1,IF($S$72="Silver (1-2)",0.0999,IF($S$72="Gold (3-4)",0.0949,0.0875)),"")))</f>
        <v>0.1099</v>
      </c>
      <c r="AY72" s="425"/>
      <c r="AZ72" s="425"/>
      <c r="BA72" s="425"/>
      <c r="BB72" s="426"/>
      <c r="BC72" s="197"/>
      <c r="BD72" s="424">
        <f>IF($S$10="Rate and Term Refinance",$AX$72+0.005,IF($S$10="Cash Out Refinance",$AX$72+0.01,$AX$72))</f>
        <v>0.1099</v>
      </c>
      <c r="BE72" s="425"/>
      <c r="BF72" s="425"/>
      <c r="BG72" s="425"/>
      <c r="BH72" s="426"/>
      <c r="BI72" s="200"/>
      <c r="BJ72" s="200"/>
      <c r="BK72" s="158"/>
      <c r="BL72" s="158"/>
      <c r="BM72" s="173"/>
      <c r="BN72" s="158"/>
      <c r="BO72" s="158"/>
      <c r="BP72" s="184"/>
      <c r="BQ72" s="196"/>
      <c r="BR72" s="427" t="str">
        <f>IF(OR($CG$13="Bridge (No Rehab)",$DR$13=0),"Bridge (No Rehab)",
IF(OR(AND($DR$13&gt;=(MIN($DH$13,$CX$16)/2),$DR$13&gt;50000),(($DH$19-$CX$19)/$CX$19)&gt;0.2),"Fix and Flip (Heavy Rehab)",IF(OR(AND($DR$13&gt;($CX$16*0.05),$DR$13&lt;50000),$DR$13&lt;=MIN($DH$13,$CX$16)/2),"Fix and Flip (Light Rehab)",IF($DR$13&gt;MIN($CX$16,$DH$13),"ERROR","NA"))))</f>
        <v>Fix and Flip (Light Rehab)</v>
      </c>
      <c r="BS72" s="427"/>
      <c r="BT72" s="427"/>
      <c r="BU72" s="427"/>
      <c r="BV72" s="427"/>
      <c r="BW72" s="427"/>
      <c r="BX72" s="427"/>
      <c r="BY72" s="427"/>
      <c r="BZ72" s="427"/>
      <c r="CA72" s="427"/>
      <c r="CB72" s="427"/>
      <c r="CC72" s="201"/>
      <c r="CD72" s="201"/>
      <c r="CE72" s="201"/>
      <c r="CF72" s="201"/>
      <c r="CG72" s="428" t="str">
        <f>IF($BR$10=0,"ERROR",
IF($BR$10&lt;=2,"Silver (1-2)",
IF($BR$10&lt;=4,"Gold (3-4)",
"Platinum (5+)")))</f>
        <v>Gold (3-4)</v>
      </c>
      <c r="CH72" s="429"/>
      <c r="CI72" s="429"/>
      <c r="CJ72" s="429"/>
      <c r="CK72" s="429"/>
      <c r="CL72" s="429"/>
      <c r="CM72" s="429"/>
      <c r="CN72" s="429"/>
      <c r="CO72" s="429"/>
      <c r="CP72" s="429"/>
      <c r="CQ72" s="429"/>
      <c r="CR72" s="430"/>
      <c r="CS72" s="198"/>
      <c r="CT72" s="198"/>
      <c r="CU72" s="198"/>
      <c r="CV72" s="198"/>
      <c r="CW72" s="198"/>
      <c r="CX72" s="198"/>
      <c r="CY72" s="198"/>
      <c r="CZ72" s="198"/>
      <c r="DA72" s="468">
        <f>IF(IF($DR$10="Single Family","Single Family",IF($DR$10="Non-Warrantable Condo","Non-Warrantable Condo",IF(OR($DR$10="Duplex",$DR$10="Triplex",$DR$10="Fourplex",$DR$10="2 - 4 Unit",$DR$10="Townhome",$DR$10="Warrantable Condo",$DR$19&lt;=4),"Other (2-4 unit)","ERROR")))="Other (2-4 Unit)",2495,1995)</f>
        <v>1995</v>
      </c>
      <c r="DB72" s="469"/>
      <c r="DC72" s="469"/>
      <c r="DD72" s="469"/>
      <c r="DE72" s="470"/>
      <c r="DF72" s="197"/>
      <c r="DG72" s="197"/>
      <c r="DH72" s="476">
        <v>1</v>
      </c>
      <c r="DI72" s="477"/>
      <c r="DJ72" s="477"/>
      <c r="DK72" s="477"/>
      <c r="DL72" s="477"/>
      <c r="DM72" s="477"/>
      <c r="DN72" s="478"/>
      <c r="DO72" s="197"/>
      <c r="DP72" s="197"/>
      <c r="DQ72" s="424">
        <f>IF($DH$72=0,IF($CG$72="Silver (1-2)",0.1199,IF($CG$72="Gold (3-4)",0.1149,0.1099)),IF($DH$72=0.5,IF($CG$72="Silver (1-2)",0.1099,IF($CG$72="Gold (3-4)",0.1049,0.0999)),IF($DH$72=1,IF($CG$72="Silver (1-2)",0.0999,IF($CG$72="Gold (3-4)",0.0949,0.0875)),"")))</f>
        <v>9.4899999999999998E-2</v>
      </c>
      <c r="DR72" s="425"/>
      <c r="DS72" s="425"/>
      <c r="DT72" s="425"/>
      <c r="DU72" s="426"/>
      <c r="DV72" s="197"/>
      <c r="DW72" s="424">
        <f>IF($CG$10="Rate and Term Refinance",$DQ$72+0.005,IF($CG$10="Cash Out Refinance",$DQ$72+0.01,$DQ$72))</f>
        <v>0.10489999999999999</v>
      </c>
      <c r="DX72" s="425"/>
      <c r="DY72" s="425"/>
      <c r="DZ72" s="425"/>
      <c r="EA72" s="426"/>
      <c r="EB72" s="200"/>
      <c r="EC72" s="185"/>
      <c r="ED72" s="158"/>
      <c r="EE72" s="158"/>
      <c r="EF72" s="158"/>
    </row>
    <row r="73" spans="1:136" ht="15" thickBot="1" x14ac:dyDescent="0.35">
      <c r="A73" s="158"/>
      <c r="B73" s="158"/>
      <c r="C73" s="196"/>
      <c r="D73" s="196"/>
      <c r="E73" s="198"/>
      <c r="F73" s="198"/>
      <c r="G73" s="198"/>
      <c r="H73" s="198"/>
      <c r="I73" s="198"/>
      <c r="J73" s="198"/>
      <c r="K73" s="198"/>
      <c r="L73" s="198"/>
      <c r="M73" s="198"/>
      <c r="N73" s="198"/>
      <c r="O73" s="198"/>
      <c r="P73" s="198"/>
      <c r="Q73" s="198"/>
      <c r="R73" s="198"/>
      <c r="S73" s="198"/>
      <c r="T73" s="198"/>
      <c r="U73" s="198"/>
      <c r="V73" s="198"/>
      <c r="W73" s="198"/>
      <c r="X73" s="198"/>
      <c r="Y73" s="198"/>
      <c r="Z73" s="198"/>
      <c r="AA73" s="198"/>
      <c r="AB73" s="198"/>
      <c r="AC73" s="198"/>
      <c r="AD73" s="198"/>
      <c r="AE73" s="198"/>
      <c r="AF73" s="198"/>
      <c r="AG73" s="198"/>
      <c r="AH73" s="198"/>
      <c r="AI73" s="198"/>
      <c r="AJ73" s="198"/>
      <c r="AK73" s="198"/>
      <c r="AL73" s="198"/>
      <c r="AM73" s="474" t="s">
        <v>473</v>
      </c>
      <c r="AN73" s="474"/>
      <c r="AO73" s="475"/>
      <c r="AP73" s="475"/>
      <c r="AQ73" s="475"/>
      <c r="AR73" s="475"/>
      <c r="AS73" s="475"/>
      <c r="AT73" s="475"/>
      <c r="AU73" s="475"/>
      <c r="AV73" s="475"/>
      <c r="AW73" s="475"/>
      <c r="AX73" s="198"/>
      <c r="AY73" s="198"/>
      <c r="AZ73" s="198"/>
      <c r="BA73" s="198"/>
      <c r="BB73" s="198"/>
      <c r="BC73" s="198"/>
      <c r="BD73" s="198"/>
      <c r="BE73" s="198"/>
      <c r="BF73" s="198"/>
      <c r="BG73" s="198"/>
      <c r="BH73" s="198"/>
      <c r="BI73" s="200"/>
      <c r="BJ73" s="210"/>
      <c r="BK73" s="158"/>
      <c r="BL73" s="158"/>
      <c r="BM73" s="173"/>
      <c r="BN73" s="158"/>
      <c r="BO73" s="158"/>
      <c r="BP73" s="184"/>
      <c r="BQ73" s="196"/>
      <c r="BR73" s="198"/>
      <c r="BS73" s="198"/>
      <c r="BT73" s="198"/>
      <c r="BU73" s="198"/>
      <c r="BV73" s="198"/>
      <c r="BW73" s="198"/>
      <c r="BX73" s="198"/>
      <c r="BY73" s="198"/>
      <c r="BZ73" s="198"/>
      <c r="CA73" s="198"/>
      <c r="CB73" s="198"/>
      <c r="CC73" s="198"/>
      <c r="CD73" s="198"/>
      <c r="CE73" s="198"/>
      <c r="CF73" s="198"/>
      <c r="CG73" s="198"/>
      <c r="CH73" s="198"/>
      <c r="CI73" s="198"/>
      <c r="CJ73" s="198"/>
      <c r="CK73" s="198"/>
      <c r="CL73" s="198"/>
      <c r="CM73" s="198"/>
      <c r="CN73" s="198"/>
      <c r="CO73" s="198"/>
      <c r="CP73" s="198"/>
      <c r="CQ73" s="198"/>
      <c r="CR73" s="198"/>
      <c r="CS73" s="198"/>
      <c r="CT73" s="198"/>
      <c r="CU73" s="198"/>
      <c r="CV73" s="198"/>
      <c r="CW73" s="198"/>
      <c r="CX73" s="198"/>
      <c r="CY73" s="198"/>
      <c r="CZ73" s="198"/>
      <c r="DA73" s="198"/>
      <c r="DB73" s="198"/>
      <c r="DC73" s="198"/>
      <c r="DD73" s="198"/>
      <c r="DE73" s="198"/>
      <c r="DF73" s="474" t="s">
        <v>473</v>
      </c>
      <c r="DG73" s="474"/>
      <c r="DH73" s="475"/>
      <c r="DI73" s="475"/>
      <c r="DJ73" s="475"/>
      <c r="DK73" s="475"/>
      <c r="DL73" s="475"/>
      <c r="DM73" s="475"/>
      <c r="DN73" s="475"/>
      <c r="DO73" s="475"/>
      <c r="DP73" s="475"/>
      <c r="DQ73" s="198"/>
      <c r="DR73" s="198"/>
      <c r="DS73" s="198"/>
      <c r="DT73" s="198"/>
      <c r="DU73" s="198"/>
      <c r="DV73" s="198"/>
      <c r="DW73" s="198"/>
      <c r="DX73" s="198"/>
      <c r="DY73" s="198"/>
      <c r="DZ73" s="198"/>
      <c r="EA73" s="198"/>
      <c r="EB73" s="200"/>
      <c r="EC73" s="279"/>
      <c r="ED73" s="158"/>
      <c r="EE73" s="158"/>
      <c r="EF73" s="158"/>
    </row>
    <row r="74" spans="1:136" ht="15" thickBot="1" x14ac:dyDescent="0.35">
      <c r="A74" s="158"/>
      <c r="B74" s="158"/>
      <c r="C74" s="196"/>
      <c r="D74" s="196"/>
      <c r="E74" s="361" t="s">
        <v>427</v>
      </c>
      <c r="F74" s="362"/>
      <c r="G74" s="362"/>
      <c r="H74" s="362"/>
      <c r="I74" s="362"/>
      <c r="J74" s="362"/>
      <c r="K74" s="362"/>
      <c r="L74" s="362"/>
      <c r="M74" s="362"/>
      <c r="N74" s="362"/>
      <c r="O74" s="362"/>
      <c r="P74" s="362"/>
      <c r="Q74" s="362"/>
      <c r="R74" s="362"/>
      <c r="S74" s="362"/>
      <c r="T74" s="362"/>
      <c r="U74" s="362"/>
      <c r="V74" s="362"/>
      <c r="W74" s="362"/>
      <c r="X74" s="362"/>
      <c r="Y74" s="362"/>
      <c r="Z74" s="362"/>
      <c r="AA74" s="362"/>
      <c r="AB74" s="363"/>
      <c r="AC74" s="198"/>
      <c r="AD74" s="198"/>
      <c r="AE74" s="198"/>
      <c r="AF74" s="198"/>
      <c r="AG74" s="198"/>
      <c r="AH74" s="361" t="s">
        <v>428</v>
      </c>
      <c r="AI74" s="362"/>
      <c r="AJ74" s="362"/>
      <c r="AK74" s="362"/>
      <c r="AL74" s="362"/>
      <c r="AM74" s="362"/>
      <c r="AN74" s="362"/>
      <c r="AO74" s="362"/>
      <c r="AP74" s="362"/>
      <c r="AQ74" s="362"/>
      <c r="AR74" s="362"/>
      <c r="AS74" s="362"/>
      <c r="AT74" s="362"/>
      <c r="AU74" s="362"/>
      <c r="AV74" s="362"/>
      <c r="AW74" s="362"/>
      <c r="AX74" s="362"/>
      <c r="AY74" s="362"/>
      <c r="AZ74" s="362"/>
      <c r="BA74" s="362"/>
      <c r="BB74" s="362"/>
      <c r="BC74" s="362"/>
      <c r="BD74" s="362"/>
      <c r="BE74" s="362"/>
      <c r="BF74" s="362"/>
      <c r="BG74" s="362"/>
      <c r="BH74" s="363"/>
      <c r="BI74" s="200"/>
      <c r="BJ74" s="200"/>
      <c r="BK74" s="158"/>
      <c r="BL74" s="158"/>
      <c r="BM74" s="173"/>
      <c r="BN74" s="158"/>
      <c r="BO74" s="158"/>
      <c r="BQ74" s="196"/>
      <c r="BR74" s="361" t="s">
        <v>427</v>
      </c>
      <c r="BS74" s="362"/>
      <c r="BT74" s="362"/>
      <c r="BU74" s="362"/>
      <c r="BV74" s="362"/>
      <c r="BW74" s="362"/>
      <c r="BX74" s="362"/>
      <c r="BY74" s="362"/>
      <c r="BZ74" s="362"/>
      <c r="CA74" s="362"/>
      <c r="CB74" s="362"/>
      <c r="CC74" s="362"/>
      <c r="CD74" s="362"/>
      <c r="CE74" s="362"/>
      <c r="CF74" s="362"/>
      <c r="CG74" s="362"/>
      <c r="CH74" s="362"/>
      <c r="CI74" s="362"/>
      <c r="CJ74" s="362"/>
      <c r="CK74" s="362"/>
      <c r="CL74" s="362"/>
      <c r="CM74" s="362"/>
      <c r="CN74" s="362"/>
      <c r="CO74" s="362"/>
      <c r="CP74" s="362"/>
      <c r="CQ74" s="362"/>
      <c r="CR74" s="363"/>
      <c r="CS74" s="198"/>
      <c r="CT74" s="198"/>
      <c r="CU74" s="198"/>
      <c r="CV74" s="198"/>
      <c r="CW74" s="198"/>
      <c r="CX74" s="198"/>
      <c r="CY74" s="198"/>
      <c r="CZ74" s="280"/>
      <c r="DA74" s="361" t="s">
        <v>428</v>
      </c>
      <c r="DB74" s="362"/>
      <c r="DC74" s="362"/>
      <c r="DD74" s="362"/>
      <c r="DE74" s="362"/>
      <c r="DF74" s="362"/>
      <c r="DG74" s="362"/>
      <c r="DH74" s="362"/>
      <c r="DI74" s="362"/>
      <c r="DJ74" s="362"/>
      <c r="DK74" s="362"/>
      <c r="DL74" s="362"/>
      <c r="DM74" s="362"/>
      <c r="DN74" s="362"/>
      <c r="DO74" s="362"/>
      <c r="DP74" s="362"/>
      <c r="DQ74" s="362"/>
      <c r="DR74" s="362"/>
      <c r="DS74" s="362"/>
      <c r="DT74" s="362"/>
      <c r="DU74" s="362"/>
      <c r="DV74" s="362"/>
      <c r="DW74" s="362"/>
      <c r="DX74" s="362"/>
      <c r="DY74" s="362"/>
      <c r="DZ74" s="362"/>
      <c r="EA74" s="363"/>
      <c r="EB74" s="200"/>
      <c r="ED74" s="158"/>
      <c r="EE74" s="158"/>
      <c r="EF74" s="158"/>
    </row>
    <row r="75" spans="1:136" x14ac:dyDescent="0.3">
      <c r="A75" s="158"/>
      <c r="B75" s="158"/>
      <c r="C75" s="196"/>
      <c r="D75" s="196"/>
      <c r="E75" s="367" t="s">
        <v>429</v>
      </c>
      <c r="F75" s="368"/>
      <c r="G75" s="368"/>
      <c r="H75" s="368"/>
      <c r="I75" s="368"/>
      <c r="J75" s="368"/>
      <c r="K75" s="368"/>
      <c r="L75" s="368"/>
      <c r="M75" s="368"/>
      <c r="N75" s="368" t="s">
        <v>430</v>
      </c>
      <c r="O75" s="368"/>
      <c r="P75" s="368"/>
      <c r="Q75" s="368"/>
      <c r="R75" s="368"/>
      <c r="S75" s="368"/>
      <c r="T75" s="368"/>
      <c r="U75" s="368"/>
      <c r="V75" s="368" t="s">
        <v>431</v>
      </c>
      <c r="W75" s="368"/>
      <c r="X75" s="368"/>
      <c r="Y75" s="368"/>
      <c r="Z75" s="368"/>
      <c r="AA75" s="368"/>
      <c r="AB75" s="369"/>
      <c r="AC75" s="198"/>
      <c r="AD75" s="198"/>
      <c r="AE75" s="198"/>
      <c r="AF75" s="198"/>
      <c r="AG75" s="198"/>
      <c r="AH75" s="367" t="s">
        <v>432</v>
      </c>
      <c r="AI75" s="368"/>
      <c r="AJ75" s="368"/>
      <c r="AK75" s="368"/>
      <c r="AL75" s="368"/>
      <c r="AM75" s="368"/>
      <c r="AN75" s="368"/>
      <c r="AO75" s="368"/>
      <c r="AP75" s="368"/>
      <c r="AQ75" s="368" t="s">
        <v>283</v>
      </c>
      <c r="AR75" s="368"/>
      <c r="AS75" s="368"/>
      <c r="AT75" s="368"/>
      <c r="AU75" s="368"/>
      <c r="AV75" s="368"/>
      <c r="AW75" s="368"/>
      <c r="AX75" s="368"/>
      <c r="AY75" s="368"/>
      <c r="AZ75" s="368" t="s">
        <v>433</v>
      </c>
      <c r="BA75" s="368"/>
      <c r="BB75" s="368"/>
      <c r="BC75" s="368"/>
      <c r="BD75" s="368"/>
      <c r="BE75" s="368"/>
      <c r="BF75" s="368"/>
      <c r="BG75" s="368"/>
      <c r="BH75" s="369"/>
      <c r="BI75" s="200"/>
      <c r="BJ75" s="200"/>
      <c r="BK75" s="158"/>
      <c r="BL75" s="158"/>
      <c r="BM75" s="173"/>
      <c r="BN75" s="158"/>
      <c r="BO75" s="158"/>
      <c r="BQ75" s="196"/>
      <c r="BR75" s="367" t="s">
        <v>429</v>
      </c>
      <c r="BS75" s="368"/>
      <c r="BT75" s="368"/>
      <c r="BU75" s="368"/>
      <c r="BV75" s="368"/>
      <c r="BW75" s="368"/>
      <c r="BX75" s="368"/>
      <c r="BY75" s="368"/>
      <c r="BZ75" s="368"/>
      <c r="CA75" s="368" t="s">
        <v>430</v>
      </c>
      <c r="CB75" s="368"/>
      <c r="CC75" s="368"/>
      <c r="CD75" s="368"/>
      <c r="CE75" s="368"/>
      <c r="CF75" s="368"/>
      <c r="CG75" s="368"/>
      <c r="CH75" s="368"/>
      <c r="CI75" s="368"/>
      <c r="CJ75" s="368" t="s">
        <v>431</v>
      </c>
      <c r="CK75" s="368"/>
      <c r="CL75" s="368"/>
      <c r="CM75" s="368"/>
      <c r="CN75" s="368"/>
      <c r="CO75" s="368"/>
      <c r="CP75" s="368"/>
      <c r="CQ75" s="368"/>
      <c r="CR75" s="369"/>
      <c r="CS75" s="198"/>
      <c r="CT75" s="198"/>
      <c r="CU75" s="198"/>
      <c r="CV75" s="198"/>
      <c r="CW75" s="198"/>
      <c r="CX75" s="198"/>
      <c r="CY75" s="198"/>
      <c r="CZ75" s="198"/>
      <c r="DA75" s="367" t="s">
        <v>432</v>
      </c>
      <c r="DB75" s="368"/>
      <c r="DC75" s="368"/>
      <c r="DD75" s="368"/>
      <c r="DE75" s="368"/>
      <c r="DF75" s="368"/>
      <c r="DG75" s="368"/>
      <c r="DH75" s="368"/>
      <c r="DI75" s="368"/>
      <c r="DJ75" s="368" t="s">
        <v>283</v>
      </c>
      <c r="DK75" s="368"/>
      <c r="DL75" s="368"/>
      <c r="DM75" s="368"/>
      <c r="DN75" s="368"/>
      <c r="DO75" s="368"/>
      <c r="DP75" s="368"/>
      <c r="DQ75" s="368"/>
      <c r="DR75" s="368"/>
      <c r="DS75" s="368" t="s">
        <v>433</v>
      </c>
      <c r="DT75" s="368"/>
      <c r="DU75" s="368"/>
      <c r="DV75" s="368"/>
      <c r="DW75" s="368"/>
      <c r="DX75" s="368"/>
      <c r="DY75" s="368"/>
      <c r="DZ75" s="368"/>
      <c r="EA75" s="369"/>
      <c r="EB75" s="200"/>
      <c r="ED75" s="158"/>
      <c r="EE75" s="158"/>
      <c r="EF75" s="158"/>
    </row>
    <row r="76" spans="1:136" ht="16.2" thickBot="1" x14ac:dyDescent="0.35">
      <c r="A76" s="158"/>
      <c r="B76" s="158"/>
      <c r="C76" s="196"/>
      <c r="D76" s="196"/>
      <c r="E76" s="375" t="str">
        <f>IFERROR(INDEX(Table59[],MATCH('Combined Sizer'!$M$3,Table59[Record ID],0),MATCH("Constructive -  Max Day 1",Table59[#Headers],0)),"")</f>
        <v/>
      </c>
      <c r="F76" s="376"/>
      <c r="G76" s="376"/>
      <c r="H76" s="376"/>
      <c r="I76" s="376"/>
      <c r="J76" s="376"/>
      <c r="K76" s="376"/>
      <c r="L76" s="376"/>
      <c r="M76" s="376"/>
      <c r="N76" s="376" t="str">
        <f>IFERROR(INDEX(Table59[],MATCH('Combined Sizer'!$M$3,Table59[Record ID],0),MATCH("Constructive -  Financed Budget",Table59[#Headers],0)),"")</f>
        <v/>
      </c>
      <c r="O76" s="376"/>
      <c r="P76" s="376"/>
      <c r="Q76" s="376"/>
      <c r="R76" s="376"/>
      <c r="S76" s="376"/>
      <c r="T76" s="376"/>
      <c r="U76" s="376"/>
      <c r="V76" s="376" t="str">
        <f>IFERROR(INDEX(Table59[],MATCH('Combined Sizer'!$M$3,Table59[Record ID],0),MATCH("Constructive -  Max Loan Amount",Table59[#Headers],0)),"")</f>
        <v/>
      </c>
      <c r="W76" s="376"/>
      <c r="X76" s="376"/>
      <c r="Y76" s="376"/>
      <c r="Z76" s="376"/>
      <c r="AA76" s="376"/>
      <c r="AB76" s="377"/>
      <c r="AC76" s="198"/>
      <c r="AD76" s="198"/>
      <c r="AE76" s="198"/>
      <c r="AF76" s="198"/>
      <c r="AG76" s="198"/>
      <c r="AH76" s="431" t="str">
        <f>IFERROR(INDEX(Table59[],MATCH('Combined Sizer'!$M$3,Table59[Record ID],0),MATCH("Constructive -  Max LTV",Table59[#Headers],0)),"")</f>
        <v/>
      </c>
      <c r="AI76" s="380"/>
      <c r="AJ76" s="380"/>
      <c r="AK76" s="380"/>
      <c r="AL76" s="380"/>
      <c r="AM76" s="380"/>
      <c r="AN76" s="380"/>
      <c r="AO76" s="380"/>
      <c r="AP76" s="380"/>
      <c r="AQ76" s="380" t="str">
        <f>IFERROR(INDEX(Table59[],MATCH('Combined Sizer'!$M$3,Table59[Record ID],0),MATCH("Constructive -  Max Total LTC",Table59[#Headers],0)),"")</f>
        <v/>
      </c>
      <c r="AR76" s="380"/>
      <c r="AS76" s="380"/>
      <c r="AT76" s="380"/>
      <c r="AU76" s="380"/>
      <c r="AV76" s="380"/>
      <c r="AW76" s="380"/>
      <c r="AX76" s="380"/>
      <c r="AY76" s="380"/>
      <c r="AZ76" s="380" t="str">
        <f>IFERROR(INDEX(Table59[],MATCH('Combined Sizer'!$M$3,Table59[Record ID],0),MATCH("Constructive -  Max LTARV",Table59[#Headers],0)),"")</f>
        <v/>
      </c>
      <c r="BA76" s="380"/>
      <c r="BB76" s="380"/>
      <c r="BC76" s="380"/>
      <c r="BD76" s="380"/>
      <c r="BE76" s="380"/>
      <c r="BF76" s="380"/>
      <c r="BG76" s="380"/>
      <c r="BH76" s="381"/>
      <c r="BI76" s="200"/>
      <c r="BJ76" s="200"/>
      <c r="BK76" s="158"/>
      <c r="BL76" s="158"/>
      <c r="BM76" s="173"/>
      <c r="BN76" s="158"/>
      <c r="BO76" s="158"/>
      <c r="BQ76" s="196"/>
      <c r="BR76" s="375" t="str">
        <f ca="1">IFERROR(MAX(MIN($DA$76*$CU$63,$CJ$76-$CA$76),75000),"N/A")</f>
        <v>N/A</v>
      </c>
      <c r="BS76" s="376"/>
      <c r="BT76" s="376"/>
      <c r="BU76" s="376"/>
      <c r="BV76" s="376"/>
      <c r="BW76" s="376"/>
      <c r="BX76" s="376"/>
      <c r="BY76" s="376"/>
      <c r="BZ76" s="376"/>
      <c r="CA76" s="376">
        <f>$DR$13</f>
        <v>20000</v>
      </c>
      <c r="CB76" s="376"/>
      <c r="CC76" s="376"/>
      <c r="CD76" s="376"/>
      <c r="CE76" s="376"/>
      <c r="CF76" s="376"/>
      <c r="CG76" s="376"/>
      <c r="CH76" s="376"/>
      <c r="CI76" s="376"/>
      <c r="CJ76" s="376" t="str">
        <f ca="1">_xlfn.LET(
  _xlpm.ltv,   $DA$76,
  _xlpm.ltarv, $DS$76,
  _xlpm.ltc,   $DJ$76,
  _xlpm.pp,    $DH$13,
  _xlpm.ib,    $DR$13,
  _xlpm.aiv,   $CU$63,
  _xlpm.arv,   $DH$16,
  _xlpm.cap,   2000000,
  _xlpm.total, _xlpm.pp+_xlpm.ib,
  _xlpm.ltvCap, _xlpm.ltv*_xlpm.aiv +_xlpm.ib,
  _xlpm.arvCap, IF(_xlpm.ltarv="N/A", 1E+99, _xlpm.ltarv*_xlpm.arv),
  _xlpm.ltcCap, IF(_xlpm.ltc="N/A",   1E+99, _xlpm.ltc*_xlpm.total),
  IFERROR(
    IF(AND(_xlpm.ltc="N/A", _xlpm.ltarv="N/A"),
       MIN(_xlpm.ltvCap, _xlpm.cap),
       MIN(_xlpm.ltvCap, _xlpm.arvCap, _xlpm.ltcCap, _xlpm.cap)
    ),
    "N/A"
  )
)</f>
        <v>N/A</v>
      </c>
      <c r="CK76" s="376"/>
      <c r="CL76" s="376"/>
      <c r="CM76" s="376"/>
      <c r="CN76" s="376"/>
      <c r="CO76" s="376"/>
      <c r="CP76" s="376"/>
      <c r="CQ76" s="376"/>
      <c r="CR76" s="377"/>
      <c r="CS76" s="198"/>
      <c r="CT76" s="198"/>
      <c r="CU76" s="198"/>
      <c r="CV76" s="198"/>
      <c r="CW76" s="198"/>
      <c r="CX76" s="198"/>
      <c r="CY76" s="198"/>
      <c r="CZ76" s="198"/>
      <c r="DA76" s="431" t="str">
        <f>IFERROR(_xlfn.LET(
  _xlpm.base, _xlfn.XLOOKUP($BT$88, ConstructiveMatrix[Match Key], ConstructiveMatrix[Max Initial LTC], ""),
  _xlpm.ny, $CQ$84="New York",
  _xlpm.fr, $CY$84,
  _xlpm.adj, IF(_xlpm.ny, IF(_xlpm.fr, 0.2, 0.15), IF(_xlpm.fr, 0.05, 0)),
  _xlpm.base - _xlpm.adj
),"N/A")</f>
        <v>N/A</v>
      </c>
      <c r="DB76" s="380"/>
      <c r="DC76" s="380"/>
      <c r="DD76" s="380"/>
      <c r="DE76" s="380"/>
      <c r="DF76" s="380"/>
      <c r="DG76" s="380"/>
      <c r="DH76" s="380"/>
      <c r="DI76" s="380"/>
      <c r="DJ76" s="380" t="str">
        <f>IFERROR(_xlfn.LET(
  _xlpm.base, _xlfn.XLOOKUP($BT$88, ConstructiveMatrix[Match Key], ConstructiveMatrix[Max Total LTC], ""),
  _xlpm.ny, $CQ$84="New York",
  _xlpm.fr, $CY$84,
  _xlpm.adj, IF(_xlpm.ny, IF(_xlpm.fr, 0.2, 0.15), IF(_xlpm.fr, 0.05, 0)),
  _xlpm.base - _xlpm.adj
),"N/A")</f>
        <v>N/A</v>
      </c>
      <c r="DK76" s="380"/>
      <c r="DL76" s="380"/>
      <c r="DM76" s="380"/>
      <c r="DN76" s="380"/>
      <c r="DO76" s="380"/>
      <c r="DP76" s="380"/>
      <c r="DQ76" s="380"/>
      <c r="DR76" s="380"/>
      <c r="DS76" s="380" t="str">
        <f>IFERROR(_xlfn.LET(
  _xlpm.base, _xlfn.XLOOKUP($BT$88, ConstructiveMatrix[Match Key], ConstructiveMatrix[Max LTARV], ""),
  _xlpm.ny, $CQ$84="New York",
  _xlpm.fr, $CY$84,
  _xlpm.adj, IF(_xlpm.ny, IF(_xlpm.fr, 0.2, 0.15), IF(_xlpm.fr, 0.05, 0)),
  _xlpm.base - _xlpm.adj
),"N/A")</f>
        <v>N/A</v>
      </c>
      <c r="DT76" s="380"/>
      <c r="DU76" s="380"/>
      <c r="DV76" s="380"/>
      <c r="DW76" s="380"/>
      <c r="DX76" s="380"/>
      <c r="DY76" s="380"/>
      <c r="DZ76" s="380"/>
      <c r="EA76" s="381"/>
      <c r="EB76" s="200"/>
      <c r="ED76" s="158"/>
      <c r="EE76" s="158"/>
      <c r="EF76" s="158"/>
    </row>
    <row r="77" spans="1:136" ht="15" thickBot="1" x14ac:dyDescent="0.35">
      <c r="A77" s="158"/>
      <c r="B77" s="158"/>
      <c r="C77" s="196"/>
      <c r="D77" s="208"/>
      <c r="E77" s="206"/>
      <c r="F77" s="206"/>
      <c r="G77" s="206"/>
      <c r="H77" s="206"/>
      <c r="I77" s="206"/>
      <c r="J77" s="206"/>
      <c r="K77" s="206"/>
      <c r="L77" s="206"/>
      <c r="M77" s="209"/>
      <c r="N77" s="209"/>
      <c r="O77" s="209"/>
      <c r="P77" s="209"/>
      <c r="Q77" s="209"/>
      <c r="R77" s="209"/>
      <c r="S77" s="209"/>
      <c r="T77" s="209"/>
      <c r="U77" s="209"/>
      <c r="V77" s="206"/>
      <c r="W77" s="206"/>
      <c r="X77" s="206"/>
      <c r="Y77" s="206"/>
      <c r="Z77" s="206"/>
      <c r="AA77" s="206"/>
      <c r="AB77" s="198"/>
      <c r="AC77" s="198"/>
      <c r="AD77" s="198"/>
      <c r="AE77" s="198"/>
      <c r="AF77" s="198"/>
      <c r="AG77" s="198"/>
      <c r="AH77" s="207"/>
      <c r="AI77" s="207"/>
      <c r="AJ77" s="207"/>
      <c r="AK77" s="207"/>
      <c r="AL77" s="207"/>
      <c r="AM77" s="207"/>
      <c r="AN77" s="207"/>
      <c r="AO77" s="207"/>
      <c r="AP77" s="207"/>
      <c r="AQ77" s="207"/>
      <c r="AR77" s="207"/>
      <c r="AS77" s="207"/>
      <c r="AT77" s="207"/>
      <c r="AU77" s="207"/>
      <c r="AV77" s="207"/>
      <c r="AW77" s="207"/>
      <c r="AX77" s="207"/>
      <c r="AY77" s="207"/>
      <c r="AZ77" s="207"/>
      <c r="BA77" s="207"/>
      <c r="BB77" s="207"/>
      <c r="BC77" s="207"/>
      <c r="BD77" s="207"/>
      <c r="BE77" s="207"/>
      <c r="BF77" s="207"/>
      <c r="BG77" s="207"/>
      <c r="BH77" s="207"/>
      <c r="BI77" s="200"/>
      <c r="BJ77" s="200"/>
      <c r="BK77" s="158"/>
      <c r="BL77" s="158"/>
      <c r="BM77" s="173"/>
      <c r="BN77" s="158"/>
      <c r="BO77" s="158"/>
      <c r="BQ77" s="208"/>
      <c r="BR77" s="206"/>
      <c r="BS77" s="206"/>
      <c r="BT77" s="206"/>
      <c r="BU77" s="206"/>
      <c r="BV77" s="206"/>
      <c r="BW77" s="206"/>
      <c r="BX77" s="206"/>
      <c r="BY77" s="206"/>
      <c r="BZ77" s="209"/>
      <c r="CA77" s="209"/>
      <c r="CB77" s="209"/>
      <c r="CC77" s="209"/>
      <c r="CD77" s="209"/>
      <c r="CE77" s="209"/>
      <c r="CF77" s="209"/>
      <c r="CG77" s="209"/>
      <c r="CH77" s="209"/>
      <c r="CI77" s="209"/>
      <c r="CJ77" s="206"/>
      <c r="CK77" s="206"/>
      <c r="CL77" s="206"/>
      <c r="CM77" s="206"/>
      <c r="CN77" s="206"/>
      <c r="CO77" s="206"/>
      <c r="CP77" s="206"/>
      <c r="CQ77" s="206"/>
      <c r="CR77" s="198"/>
      <c r="CS77" s="198"/>
      <c r="CT77" s="198"/>
      <c r="CU77" s="198"/>
      <c r="CV77" s="198"/>
      <c r="CW77" s="198"/>
      <c r="CX77" s="198"/>
      <c r="CY77" s="198"/>
      <c r="CZ77" s="198"/>
      <c r="DA77" s="207"/>
      <c r="DB77" s="207"/>
      <c r="DC77" s="207"/>
      <c r="DD77" s="207"/>
      <c r="DE77" s="207"/>
      <c r="DF77" s="207"/>
      <c r="DG77" s="207"/>
      <c r="DH77" s="207"/>
      <c r="DI77" s="207"/>
      <c r="DJ77" s="207"/>
      <c r="DK77" s="207"/>
      <c r="DL77" s="207"/>
      <c r="DM77" s="207"/>
      <c r="DN77" s="207"/>
      <c r="DO77" s="207"/>
      <c r="DP77" s="207"/>
      <c r="DQ77" s="207"/>
      <c r="DR77" s="207"/>
      <c r="DS77" s="207"/>
      <c r="DT77" s="207"/>
      <c r="DU77" s="207"/>
      <c r="DV77" s="207"/>
      <c r="DW77" s="207"/>
      <c r="DX77" s="207"/>
      <c r="DY77" s="207"/>
      <c r="DZ77" s="207"/>
      <c r="EA77" s="207"/>
      <c r="EB77" s="200"/>
      <c r="ED77" s="158"/>
      <c r="EE77" s="158"/>
      <c r="EF77" s="158"/>
    </row>
    <row r="78" spans="1:136" ht="15" thickBot="1" x14ac:dyDescent="0.35">
      <c r="A78" s="158"/>
      <c r="B78" s="158"/>
      <c r="C78" s="196"/>
      <c r="D78" s="208"/>
      <c r="E78" s="361" t="s">
        <v>435</v>
      </c>
      <c r="F78" s="362"/>
      <c r="G78" s="362"/>
      <c r="H78" s="362"/>
      <c r="I78" s="362"/>
      <c r="J78" s="362"/>
      <c r="K78" s="362"/>
      <c r="L78" s="362"/>
      <c r="M78" s="362"/>
      <c r="N78" s="362"/>
      <c r="O78" s="362"/>
      <c r="P78" s="362"/>
      <c r="Q78" s="362"/>
      <c r="R78" s="362"/>
      <c r="S78" s="362"/>
      <c r="T78" s="362"/>
      <c r="U78" s="362"/>
      <c r="V78" s="362"/>
      <c r="W78" s="362"/>
      <c r="X78" s="362"/>
      <c r="Y78" s="362"/>
      <c r="Z78" s="362"/>
      <c r="AA78" s="362"/>
      <c r="AB78" s="363"/>
      <c r="AC78" s="198"/>
      <c r="AD78" s="198"/>
      <c r="AE78" s="198"/>
      <c r="AF78" s="198"/>
      <c r="AG78" s="198"/>
      <c r="AH78" s="361" t="s">
        <v>436</v>
      </c>
      <c r="AI78" s="362"/>
      <c r="AJ78" s="362"/>
      <c r="AK78" s="362"/>
      <c r="AL78" s="362"/>
      <c r="AM78" s="362"/>
      <c r="AN78" s="362"/>
      <c r="AO78" s="362"/>
      <c r="AP78" s="362"/>
      <c r="AQ78" s="362"/>
      <c r="AR78" s="362"/>
      <c r="AS78" s="362"/>
      <c r="AT78" s="362"/>
      <c r="AU78" s="362"/>
      <c r="AV78" s="362"/>
      <c r="AW78" s="362"/>
      <c r="AX78" s="362"/>
      <c r="AY78" s="362"/>
      <c r="AZ78" s="362"/>
      <c r="BA78" s="362"/>
      <c r="BB78" s="362"/>
      <c r="BC78" s="362"/>
      <c r="BD78" s="362"/>
      <c r="BE78" s="362"/>
      <c r="BF78" s="362"/>
      <c r="BG78" s="362"/>
      <c r="BH78" s="363"/>
      <c r="BI78" s="200"/>
      <c r="BJ78" s="200"/>
      <c r="BK78" s="158"/>
      <c r="BL78" s="158"/>
      <c r="BM78" s="173"/>
      <c r="BN78" s="158"/>
      <c r="BO78" s="158"/>
      <c r="BQ78" s="208"/>
      <c r="BR78" s="361" t="s">
        <v>435</v>
      </c>
      <c r="BS78" s="362"/>
      <c r="BT78" s="362"/>
      <c r="BU78" s="362"/>
      <c r="BV78" s="362"/>
      <c r="BW78" s="362"/>
      <c r="BX78" s="362"/>
      <c r="BY78" s="362"/>
      <c r="BZ78" s="362"/>
      <c r="CA78" s="362"/>
      <c r="CB78" s="362"/>
      <c r="CC78" s="362"/>
      <c r="CD78" s="362"/>
      <c r="CE78" s="362"/>
      <c r="CF78" s="362"/>
      <c r="CG78" s="362"/>
      <c r="CH78" s="362"/>
      <c r="CI78" s="362"/>
      <c r="CJ78" s="362"/>
      <c r="CK78" s="362"/>
      <c r="CL78" s="362"/>
      <c r="CM78" s="362"/>
      <c r="CN78" s="362"/>
      <c r="CO78" s="362"/>
      <c r="CP78" s="362"/>
      <c r="CQ78" s="362"/>
      <c r="CR78" s="363"/>
      <c r="CS78" s="198"/>
      <c r="CT78" s="198"/>
      <c r="CU78" s="198"/>
      <c r="CV78" s="198"/>
      <c r="CW78" s="198"/>
      <c r="CX78" s="198"/>
      <c r="CY78" s="198"/>
      <c r="CZ78" s="198"/>
      <c r="DA78" s="361" t="s">
        <v>436</v>
      </c>
      <c r="DB78" s="362"/>
      <c r="DC78" s="362"/>
      <c r="DD78" s="362"/>
      <c r="DE78" s="362"/>
      <c r="DF78" s="362"/>
      <c r="DG78" s="362"/>
      <c r="DH78" s="362"/>
      <c r="DI78" s="362"/>
      <c r="DJ78" s="362"/>
      <c r="DK78" s="362"/>
      <c r="DL78" s="362"/>
      <c r="DM78" s="362"/>
      <c r="DN78" s="362"/>
      <c r="DO78" s="362"/>
      <c r="DP78" s="362"/>
      <c r="DQ78" s="362"/>
      <c r="DR78" s="362"/>
      <c r="DS78" s="362"/>
      <c r="DT78" s="362"/>
      <c r="DU78" s="362"/>
      <c r="DV78" s="362"/>
      <c r="DW78" s="362"/>
      <c r="DX78" s="362"/>
      <c r="DY78" s="362"/>
      <c r="DZ78" s="362"/>
      <c r="EA78" s="363"/>
      <c r="EB78" s="200"/>
      <c r="ED78" s="158"/>
      <c r="EE78" s="158"/>
      <c r="EF78" s="158"/>
    </row>
    <row r="79" spans="1:136" ht="15" thickBot="1" x14ac:dyDescent="0.35">
      <c r="A79" s="158"/>
      <c r="B79" s="158"/>
      <c r="C79" s="196"/>
      <c r="D79" s="208"/>
      <c r="E79" s="373"/>
      <c r="F79" s="373"/>
      <c r="G79" s="373"/>
      <c r="H79" s="373"/>
      <c r="I79" s="373"/>
      <c r="J79" s="373"/>
      <c r="K79" s="373"/>
      <c r="L79" s="373"/>
      <c r="M79" s="373"/>
      <c r="N79" s="373"/>
      <c r="O79" s="373"/>
      <c r="P79" s="373"/>
      <c r="Q79" s="373"/>
      <c r="R79" s="373"/>
      <c r="S79" s="373"/>
      <c r="T79" s="373"/>
      <c r="U79" s="373"/>
      <c r="V79" s="373"/>
      <c r="W79" s="373"/>
      <c r="X79" s="373"/>
      <c r="Y79" s="373"/>
      <c r="Z79" s="373"/>
      <c r="AA79" s="373"/>
      <c r="AB79" s="373"/>
      <c r="AC79" s="198"/>
      <c r="AD79" s="198"/>
      <c r="AE79" s="198"/>
      <c r="AF79" s="198"/>
      <c r="AG79" s="198"/>
      <c r="AH79" s="373" t="s">
        <v>437</v>
      </c>
      <c r="AI79" s="373"/>
      <c r="AJ79" s="373"/>
      <c r="AK79" s="373"/>
      <c r="AL79" s="373"/>
      <c r="AM79" s="373"/>
      <c r="AN79" s="373"/>
      <c r="AO79" s="373"/>
      <c r="AP79" s="373"/>
      <c r="AQ79" s="373"/>
      <c r="AR79" s="373"/>
      <c r="AS79" s="373"/>
      <c r="AT79" s="373"/>
      <c r="AU79" s="373"/>
      <c r="AV79" s="373"/>
      <c r="AW79" s="373"/>
      <c r="AX79" s="373"/>
      <c r="AY79" s="373"/>
      <c r="AZ79" s="373"/>
      <c r="BA79" s="373"/>
      <c r="BB79" s="373"/>
      <c r="BC79" s="373"/>
      <c r="BD79" s="373"/>
      <c r="BE79" s="373"/>
      <c r="BF79" s="373"/>
      <c r="BG79" s="373"/>
      <c r="BH79" s="373"/>
      <c r="BI79" s="200"/>
      <c r="BJ79" s="200"/>
      <c r="BK79" s="158"/>
      <c r="BL79" s="158"/>
      <c r="BM79" s="173"/>
      <c r="BN79" s="158"/>
      <c r="BO79" s="158"/>
      <c r="BQ79" s="208"/>
      <c r="BR79" s="373" t="s">
        <v>438</v>
      </c>
      <c r="BS79" s="373"/>
      <c r="BT79" s="373"/>
      <c r="BU79" s="373"/>
      <c r="BV79" s="373"/>
      <c r="BW79" s="373"/>
      <c r="BX79" s="373"/>
      <c r="BY79" s="373"/>
      <c r="BZ79" s="373"/>
      <c r="CA79" s="373"/>
      <c r="CB79" s="373"/>
      <c r="CC79" s="373"/>
      <c r="CD79" s="373"/>
      <c r="CE79" s="373"/>
      <c r="CF79" s="373"/>
      <c r="CG79" s="373"/>
      <c r="CH79" s="373"/>
      <c r="CI79" s="373"/>
      <c r="CJ79" s="373"/>
      <c r="CK79" s="373"/>
      <c r="CL79" s="373"/>
      <c r="CM79" s="373"/>
      <c r="CN79" s="373"/>
      <c r="CO79" s="373"/>
      <c r="CP79" s="373"/>
      <c r="CQ79" s="373"/>
      <c r="CR79" s="373"/>
      <c r="CS79" s="198"/>
      <c r="CT79" s="198"/>
      <c r="CU79" s="198"/>
      <c r="CV79" s="198"/>
      <c r="CW79" s="198"/>
      <c r="CX79" s="198"/>
      <c r="CY79" s="198"/>
      <c r="CZ79" s="198"/>
      <c r="DA79" s="374" t="s">
        <v>437</v>
      </c>
      <c r="DB79" s="374"/>
      <c r="DC79" s="374"/>
      <c r="DD79" s="374"/>
      <c r="DE79" s="374"/>
      <c r="DF79" s="374"/>
      <c r="DG79" s="374"/>
      <c r="DH79" s="374"/>
      <c r="DI79" s="374"/>
      <c r="DJ79" s="374"/>
      <c r="DK79" s="374"/>
      <c r="DL79" s="374"/>
      <c r="DM79" s="374"/>
      <c r="DN79" s="374"/>
      <c r="DO79" s="374"/>
      <c r="DP79" s="374"/>
      <c r="DQ79" s="374"/>
      <c r="DR79" s="374"/>
      <c r="DS79" s="374"/>
      <c r="DT79" s="374"/>
      <c r="DU79" s="374"/>
      <c r="DV79" s="374"/>
      <c r="DW79" s="374"/>
      <c r="DX79" s="374"/>
      <c r="DY79" s="374"/>
      <c r="DZ79" s="374"/>
      <c r="EA79" s="374"/>
      <c r="EB79" s="200"/>
      <c r="ED79" s="158"/>
      <c r="EE79" s="158"/>
      <c r="EF79" s="158"/>
    </row>
    <row r="80" spans="1:136" ht="15" thickTop="1" x14ac:dyDescent="0.3">
      <c r="A80" s="158"/>
      <c r="B80" s="158"/>
      <c r="C80" s="196"/>
      <c r="D80" s="208"/>
      <c r="E80" s="393" t="s">
        <v>439</v>
      </c>
      <c r="F80" s="394"/>
      <c r="G80" s="394"/>
      <c r="H80" s="394"/>
      <c r="I80" s="394"/>
      <c r="J80" s="394"/>
      <c r="K80" s="394"/>
      <c r="L80" s="394"/>
      <c r="M80" s="395"/>
      <c r="N80" s="396" t="s">
        <v>430</v>
      </c>
      <c r="O80" s="391"/>
      <c r="P80" s="391"/>
      <c r="Q80" s="391"/>
      <c r="R80" s="391"/>
      <c r="S80" s="391"/>
      <c r="T80" s="391"/>
      <c r="U80" s="391"/>
      <c r="V80" s="391" t="s">
        <v>440</v>
      </c>
      <c r="W80" s="391"/>
      <c r="X80" s="391"/>
      <c r="Y80" s="391"/>
      <c r="Z80" s="391"/>
      <c r="AA80" s="391"/>
      <c r="AB80" s="392"/>
      <c r="AC80" s="198"/>
      <c r="AD80" s="198"/>
      <c r="AE80" s="198"/>
      <c r="AF80" s="198"/>
      <c r="AG80" s="198"/>
      <c r="AH80" s="390" t="s">
        <v>432</v>
      </c>
      <c r="AI80" s="391"/>
      <c r="AJ80" s="391"/>
      <c r="AK80" s="391"/>
      <c r="AL80" s="391"/>
      <c r="AM80" s="391"/>
      <c r="AN80" s="391"/>
      <c r="AO80" s="391"/>
      <c r="AP80" s="391"/>
      <c r="AQ80" s="391" t="s">
        <v>283</v>
      </c>
      <c r="AR80" s="391"/>
      <c r="AS80" s="391"/>
      <c r="AT80" s="391"/>
      <c r="AU80" s="391"/>
      <c r="AV80" s="391"/>
      <c r="AW80" s="391"/>
      <c r="AX80" s="391"/>
      <c r="AY80" s="391"/>
      <c r="AZ80" s="391" t="s">
        <v>433</v>
      </c>
      <c r="BA80" s="391"/>
      <c r="BB80" s="391"/>
      <c r="BC80" s="391"/>
      <c r="BD80" s="391"/>
      <c r="BE80" s="391"/>
      <c r="BF80" s="391"/>
      <c r="BG80" s="391"/>
      <c r="BH80" s="392"/>
      <c r="BI80" s="200"/>
      <c r="BJ80" s="200"/>
      <c r="BK80" s="158"/>
      <c r="BL80" s="158"/>
      <c r="BM80" s="173"/>
      <c r="BN80" s="158"/>
      <c r="BO80" s="158"/>
      <c r="BQ80" s="208"/>
      <c r="BR80" s="479" t="s">
        <v>441</v>
      </c>
      <c r="BS80" s="480"/>
      <c r="BT80" s="480"/>
      <c r="BU80" s="480"/>
      <c r="BV80" s="480"/>
      <c r="BW80" s="480"/>
      <c r="BX80" s="480"/>
      <c r="BY80" s="480"/>
      <c r="BZ80" s="479"/>
      <c r="CA80" s="396" t="s">
        <v>430</v>
      </c>
      <c r="CB80" s="432"/>
      <c r="CC80" s="432"/>
      <c r="CD80" s="432"/>
      <c r="CE80" s="432"/>
      <c r="CF80" s="432"/>
      <c r="CG80" s="432"/>
      <c r="CH80" s="432"/>
      <c r="CI80" s="432"/>
      <c r="CJ80" s="391" t="s">
        <v>442</v>
      </c>
      <c r="CK80" s="391"/>
      <c r="CL80" s="391"/>
      <c r="CM80" s="391"/>
      <c r="CN80" s="391"/>
      <c r="CO80" s="391"/>
      <c r="CP80" s="391"/>
      <c r="CQ80" s="391"/>
      <c r="CR80" s="392"/>
      <c r="CS80" s="198"/>
      <c r="CT80" s="198"/>
      <c r="CU80" s="198"/>
      <c r="CV80" s="198"/>
      <c r="CW80" s="198"/>
      <c r="CX80" s="198"/>
      <c r="CY80" s="198"/>
      <c r="CZ80" s="198"/>
      <c r="DA80" s="390" t="s">
        <v>432</v>
      </c>
      <c r="DB80" s="391"/>
      <c r="DC80" s="391"/>
      <c r="DD80" s="391"/>
      <c r="DE80" s="391"/>
      <c r="DF80" s="391"/>
      <c r="DG80" s="391"/>
      <c r="DH80" s="391"/>
      <c r="DI80" s="391"/>
      <c r="DJ80" s="391" t="s">
        <v>283</v>
      </c>
      <c r="DK80" s="391"/>
      <c r="DL80" s="391"/>
      <c r="DM80" s="391"/>
      <c r="DN80" s="391"/>
      <c r="DO80" s="391"/>
      <c r="DP80" s="391"/>
      <c r="DQ80" s="391"/>
      <c r="DR80" s="391"/>
      <c r="DS80" s="391" t="s">
        <v>433</v>
      </c>
      <c r="DT80" s="391"/>
      <c r="DU80" s="391"/>
      <c r="DV80" s="391"/>
      <c r="DW80" s="391"/>
      <c r="DX80" s="391"/>
      <c r="DY80" s="391"/>
      <c r="DZ80" s="391"/>
      <c r="EA80" s="392"/>
      <c r="EB80" s="200"/>
      <c r="ED80" s="158"/>
      <c r="EE80" s="158"/>
      <c r="EF80" s="158"/>
    </row>
    <row r="81" spans="1:136" ht="16.2" thickBot="1" x14ac:dyDescent="0.35">
      <c r="A81" s="158"/>
      <c r="B81" s="158"/>
      <c r="C81" s="196"/>
      <c r="D81" s="208"/>
      <c r="E81" s="410" t="str">
        <f>IFERROR(V81-N81,"")</f>
        <v/>
      </c>
      <c r="F81" s="410"/>
      <c r="G81" s="410"/>
      <c r="H81" s="410"/>
      <c r="I81" s="410"/>
      <c r="J81" s="410"/>
      <c r="K81" s="410"/>
      <c r="L81" s="410"/>
      <c r="M81" s="481"/>
      <c r="N81" s="413" t="str">
        <f>IFERROR(INDEX(Table59[],MATCH('Combined Sizer'!$M$3,Table59[Record ID],0),MATCH("Churchill - Financed Budget",Table59[#Headers],0)),"")</f>
        <v/>
      </c>
      <c r="O81" s="376"/>
      <c r="P81" s="376"/>
      <c r="Q81" s="376"/>
      <c r="R81" s="376"/>
      <c r="S81" s="376"/>
      <c r="T81" s="376"/>
      <c r="U81" s="376"/>
      <c r="V81" s="376" t="str">
        <f>$S$16</f>
        <v/>
      </c>
      <c r="W81" s="376"/>
      <c r="X81" s="376"/>
      <c r="Y81" s="376"/>
      <c r="Z81" s="376"/>
      <c r="AA81" s="376"/>
      <c r="AB81" s="377"/>
      <c r="AC81" s="198"/>
      <c r="AD81" s="198"/>
      <c r="AE81" s="198"/>
      <c r="AF81" s="198"/>
      <c r="AG81" s="198"/>
      <c r="AH81" s="437" t="str">
        <f>IFERROR(E81/AG16,"")</f>
        <v/>
      </c>
      <c r="AI81" s="416"/>
      <c r="AJ81" s="416"/>
      <c r="AK81" s="416"/>
      <c r="AL81" s="416"/>
      <c r="AM81" s="416"/>
      <c r="AN81" s="416"/>
      <c r="AO81" s="416"/>
      <c r="AP81" s="416"/>
      <c r="AQ81" s="416" t="str">
        <f>IFERROR(V81/(AO13+AY13),"")</f>
        <v/>
      </c>
      <c r="AR81" s="416"/>
      <c r="AS81" s="416"/>
      <c r="AT81" s="416"/>
      <c r="AU81" s="416"/>
      <c r="AV81" s="416"/>
      <c r="AW81" s="416"/>
      <c r="AX81" s="416"/>
      <c r="AY81" s="416"/>
      <c r="AZ81" s="416" t="str">
        <f>IFERROR(V81/AO16,"")</f>
        <v/>
      </c>
      <c r="BA81" s="416"/>
      <c r="BB81" s="416"/>
      <c r="BC81" s="416"/>
      <c r="BD81" s="416"/>
      <c r="BE81" s="416"/>
      <c r="BF81" s="416"/>
      <c r="BG81" s="416"/>
      <c r="BH81" s="417"/>
      <c r="BI81" s="200"/>
      <c r="BJ81" s="200"/>
      <c r="BK81" s="158"/>
      <c r="BL81" s="158"/>
      <c r="BM81" s="173"/>
      <c r="BN81" s="158"/>
      <c r="BO81" s="158"/>
      <c r="BQ81" s="208"/>
      <c r="BR81" s="434">
        <v>255000</v>
      </c>
      <c r="BS81" s="434"/>
      <c r="BT81" s="434"/>
      <c r="BU81" s="434"/>
      <c r="BV81" s="434"/>
      <c r="BW81" s="434"/>
      <c r="BX81" s="434"/>
      <c r="BY81" s="434"/>
      <c r="BZ81" s="397"/>
      <c r="CA81" s="400">
        <f>$DR$13</f>
        <v>20000</v>
      </c>
      <c r="CB81" s="413"/>
      <c r="CC81" s="413"/>
      <c r="CD81" s="413"/>
      <c r="CE81" s="413"/>
      <c r="CF81" s="413"/>
      <c r="CG81" s="413"/>
      <c r="CH81" s="413"/>
      <c r="CI81" s="413"/>
      <c r="CJ81" s="376">
        <f>CA81+BR81</f>
        <v>275000</v>
      </c>
      <c r="CK81" s="376"/>
      <c r="CL81" s="376"/>
      <c r="CM81" s="376"/>
      <c r="CN81" s="376"/>
      <c r="CO81" s="376"/>
      <c r="CP81" s="376"/>
      <c r="CQ81" s="376"/>
      <c r="CR81" s="377"/>
      <c r="CS81" s="198"/>
      <c r="CT81" s="198"/>
      <c r="CU81" s="198"/>
      <c r="CV81" s="198"/>
      <c r="CW81" s="198"/>
      <c r="CX81" s="198"/>
      <c r="CY81" s="198"/>
      <c r="CZ81" s="198"/>
      <c r="DA81" s="437">
        <f>IFERROR($BR$81/$CX$16,"")</f>
        <v>0.37777777777777777</v>
      </c>
      <c r="DB81" s="416"/>
      <c r="DC81" s="416"/>
      <c r="DD81" s="416"/>
      <c r="DE81" s="416"/>
      <c r="DF81" s="416"/>
      <c r="DG81" s="416"/>
      <c r="DH81" s="416"/>
      <c r="DI81" s="416"/>
      <c r="DJ81" s="416">
        <f>IFERROR($CJ$81/($DH$13+$DR$13),"")</f>
        <v>0.40441176470588236</v>
      </c>
      <c r="DK81" s="416"/>
      <c r="DL81" s="416"/>
      <c r="DM81" s="416"/>
      <c r="DN81" s="416"/>
      <c r="DO81" s="416"/>
      <c r="DP81" s="416"/>
      <c r="DQ81" s="416"/>
      <c r="DR81" s="416"/>
      <c r="DS81" s="416">
        <f>IFERROR(CJ81/DH16,"")</f>
        <v>0.34375</v>
      </c>
      <c r="DT81" s="416"/>
      <c r="DU81" s="416"/>
      <c r="DV81" s="416"/>
      <c r="DW81" s="416"/>
      <c r="DX81" s="416"/>
      <c r="DY81" s="416"/>
      <c r="DZ81" s="416"/>
      <c r="EA81" s="417"/>
      <c r="EB81" s="200"/>
      <c r="ED81" s="158"/>
      <c r="EE81" s="158"/>
      <c r="EF81" s="158"/>
    </row>
    <row r="82" spans="1:136" ht="16.2" hidden="1" thickTop="1" x14ac:dyDescent="0.3">
      <c r="A82" s="158"/>
      <c r="B82" s="158"/>
      <c r="C82" s="196"/>
      <c r="D82" s="208"/>
      <c r="E82" s="216"/>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4"/>
      <c r="AD82" s="214"/>
      <c r="AE82" s="214"/>
      <c r="AF82" s="214"/>
      <c r="AG82" s="214"/>
      <c r="AH82" s="217"/>
      <c r="AI82" s="217"/>
      <c r="AJ82" s="217"/>
      <c r="AK82" s="217"/>
      <c r="AL82" s="217"/>
      <c r="AM82" s="217"/>
      <c r="AN82" s="217"/>
      <c r="AO82" s="217"/>
      <c r="AP82" s="217"/>
      <c r="AQ82" s="217"/>
      <c r="AR82" s="217"/>
      <c r="AS82" s="217"/>
      <c r="AT82" s="217"/>
      <c r="AU82" s="217"/>
      <c r="AV82" s="217"/>
      <c r="AW82" s="217"/>
      <c r="AX82" s="217"/>
      <c r="AY82" s="217"/>
      <c r="AZ82" s="217"/>
      <c r="BA82" s="217"/>
      <c r="BB82" s="217"/>
      <c r="BC82" s="217"/>
      <c r="BD82" s="217"/>
      <c r="BE82" s="217"/>
      <c r="BF82" s="217"/>
      <c r="BG82" s="217"/>
      <c r="BH82" s="217"/>
      <c r="BI82" s="200"/>
      <c r="BJ82" s="200"/>
      <c r="BK82" s="158"/>
      <c r="BL82" s="158"/>
      <c r="BM82" s="173"/>
      <c r="BN82" s="158"/>
      <c r="BO82" s="158"/>
      <c r="BQ82" s="208"/>
      <c r="BR82" s="216"/>
      <c r="BS82" s="216"/>
      <c r="BT82" s="216"/>
      <c r="BU82" s="216"/>
      <c r="BV82" s="216"/>
      <c r="BW82" s="216"/>
      <c r="BX82" s="216"/>
      <c r="BY82" s="216"/>
      <c r="BZ82" s="216"/>
      <c r="CA82" s="216"/>
      <c r="CB82" s="216"/>
      <c r="CC82" s="216"/>
      <c r="CD82" s="216"/>
      <c r="CE82" s="216"/>
      <c r="CF82" s="216"/>
      <c r="CG82" s="216"/>
      <c r="CH82" s="216"/>
      <c r="CI82" s="216"/>
      <c r="CJ82" s="216"/>
      <c r="CK82" s="216"/>
      <c r="CL82" s="216"/>
      <c r="CM82" s="216"/>
      <c r="CN82" s="216"/>
      <c r="CO82" s="216"/>
      <c r="CP82" s="216"/>
      <c r="CQ82" s="216"/>
      <c r="CR82" s="216"/>
      <c r="CS82" s="214"/>
      <c r="CT82" s="214"/>
      <c r="CU82" s="214"/>
      <c r="CV82" s="214"/>
      <c r="CW82" s="214"/>
      <c r="CX82" s="214"/>
      <c r="CY82" s="214"/>
      <c r="CZ82" s="214"/>
      <c r="DA82" s="217"/>
      <c r="DB82" s="217"/>
      <c r="DC82" s="217"/>
      <c r="DD82" s="217"/>
      <c r="DE82" s="217"/>
      <c r="DF82" s="217"/>
      <c r="DG82" s="217"/>
      <c r="DH82" s="217"/>
      <c r="DI82" s="217"/>
      <c r="DJ82" s="217"/>
      <c r="DK82" s="217"/>
      <c r="DL82" s="217"/>
      <c r="DM82" s="217"/>
      <c r="DN82" s="217"/>
      <c r="DO82" s="217"/>
      <c r="DP82" s="217"/>
      <c r="DQ82" s="217"/>
      <c r="DR82" s="217"/>
      <c r="DS82" s="217"/>
      <c r="DT82" s="217"/>
      <c r="DU82" s="217"/>
      <c r="DV82" s="217"/>
      <c r="DW82" s="217"/>
      <c r="DX82" s="217"/>
      <c r="DY82" s="217"/>
      <c r="DZ82" s="217"/>
      <c r="EA82" s="217"/>
      <c r="EB82" s="200"/>
      <c r="ED82" s="158"/>
      <c r="EE82" s="158"/>
      <c r="EF82" s="158"/>
    </row>
    <row r="83" spans="1:136" ht="15.6" hidden="1" x14ac:dyDescent="0.3">
      <c r="A83" s="158"/>
      <c r="B83" s="158"/>
      <c r="C83" s="196"/>
      <c r="D83" s="208"/>
      <c r="E83" s="216"/>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4"/>
      <c r="AD83" s="214"/>
      <c r="AE83" s="214"/>
      <c r="AF83" s="214"/>
      <c r="AG83" s="214"/>
      <c r="AH83" s="217"/>
      <c r="AI83" s="217"/>
      <c r="AJ83" s="217"/>
      <c r="AK83" s="217"/>
      <c r="AL83" s="217"/>
      <c r="AM83" s="217"/>
      <c r="AN83" s="217"/>
      <c r="AO83" s="217"/>
      <c r="AP83" s="217"/>
      <c r="AQ83" s="217"/>
      <c r="AR83" s="217"/>
      <c r="AS83" s="217"/>
      <c r="AT83" s="217"/>
      <c r="AU83" s="217"/>
      <c r="AV83" s="217"/>
      <c r="AW83" s="217"/>
      <c r="AX83" s="217"/>
      <c r="AY83" s="217"/>
      <c r="AZ83" s="217"/>
      <c r="BA83" s="217"/>
      <c r="BB83" s="217"/>
      <c r="BC83" s="217"/>
      <c r="BD83" s="217"/>
      <c r="BE83" s="217"/>
      <c r="BF83" s="217"/>
      <c r="BG83" s="217"/>
      <c r="BH83" s="217"/>
      <c r="BI83" s="200"/>
      <c r="BJ83" s="200"/>
      <c r="BK83" s="158"/>
      <c r="BL83" s="158"/>
      <c r="BM83" s="173"/>
      <c r="BN83" s="158"/>
      <c r="BO83" s="158"/>
      <c r="BQ83" s="208"/>
      <c r="BR83" s="216"/>
      <c r="BS83" s="216"/>
      <c r="BT83" s="446" t="s">
        <v>474</v>
      </c>
      <c r="BU83" s="447"/>
      <c r="BV83" s="447"/>
      <c r="BW83" s="447"/>
      <c r="BX83" s="447"/>
      <c r="BY83" s="447"/>
      <c r="BZ83" s="448"/>
      <c r="CA83" s="216"/>
      <c r="CB83" s="216"/>
      <c r="CC83" s="452" t="s">
        <v>263</v>
      </c>
      <c r="CD83" s="453"/>
      <c r="CE83" s="453"/>
      <c r="CF83" s="454"/>
      <c r="CG83" s="216"/>
      <c r="CH83" s="216"/>
      <c r="CI83" s="452" t="s">
        <v>475</v>
      </c>
      <c r="CJ83" s="453"/>
      <c r="CK83" s="453"/>
      <c r="CL83" s="453"/>
      <c r="CM83" s="454"/>
      <c r="CN83" s="216"/>
      <c r="CO83" s="216"/>
      <c r="CP83" s="216"/>
      <c r="CQ83" s="452" t="s">
        <v>476</v>
      </c>
      <c r="CR83" s="453"/>
      <c r="CS83" s="453"/>
      <c r="CT83" s="453"/>
      <c r="CU83" s="454"/>
      <c r="CV83" s="214"/>
      <c r="CW83" s="214"/>
      <c r="CX83" s="214"/>
      <c r="CY83" s="488" t="s">
        <v>477</v>
      </c>
      <c r="CZ83" s="489"/>
      <c r="DA83" s="489"/>
      <c r="DB83" s="489"/>
      <c r="DC83" s="489"/>
      <c r="DD83" s="490"/>
      <c r="DE83" s="217"/>
      <c r="DF83" s="217"/>
      <c r="DG83" s="217"/>
      <c r="DH83" s="217"/>
      <c r="DI83" s="217"/>
      <c r="DJ83" s="217"/>
      <c r="DK83" s="217"/>
      <c r="DL83" s="217"/>
      <c r="DM83" s="217"/>
      <c r="DN83" s="217"/>
      <c r="DO83" s="217"/>
      <c r="DP83" s="217"/>
      <c r="DQ83" s="217"/>
      <c r="DR83" s="217"/>
      <c r="DS83" s="217"/>
      <c r="DT83" s="217"/>
      <c r="DU83" s="217"/>
      <c r="DV83" s="217"/>
      <c r="DW83" s="217"/>
      <c r="DX83" s="217"/>
      <c r="DY83" s="217"/>
      <c r="DZ83" s="217"/>
      <c r="EA83" s="217"/>
      <c r="EB83" s="200"/>
      <c r="ED83" s="158"/>
      <c r="EE83" s="158"/>
      <c r="EF83" s="158"/>
    </row>
    <row r="84" spans="1:136" ht="15.6" hidden="1" x14ac:dyDescent="0.3">
      <c r="A84" s="158"/>
      <c r="B84" s="158"/>
      <c r="C84" s="196"/>
      <c r="D84" s="208"/>
      <c r="E84" s="216"/>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4"/>
      <c r="AD84" s="214"/>
      <c r="AE84" s="214"/>
      <c r="AF84" s="214"/>
      <c r="AG84" s="214"/>
      <c r="AH84" s="217"/>
      <c r="AI84" s="217"/>
      <c r="AJ84" s="217"/>
      <c r="AK84" s="217"/>
      <c r="AL84" s="217"/>
      <c r="AM84" s="217"/>
      <c r="AN84" s="217"/>
      <c r="AO84" s="217"/>
      <c r="AP84" s="217"/>
      <c r="AQ84" s="217"/>
      <c r="AR84" s="217"/>
      <c r="AS84" s="217"/>
      <c r="AT84" s="217"/>
      <c r="AU84" s="217"/>
      <c r="AV84" s="217"/>
      <c r="AW84" s="217"/>
      <c r="AX84" s="217"/>
      <c r="AY84" s="217"/>
      <c r="AZ84" s="217"/>
      <c r="BA84" s="217"/>
      <c r="BB84" s="217"/>
      <c r="BC84" s="217"/>
      <c r="BD84" s="217"/>
      <c r="BE84" s="217"/>
      <c r="BF84" s="217"/>
      <c r="BG84" s="217"/>
      <c r="BH84" s="217"/>
      <c r="BI84" s="200"/>
      <c r="BJ84" s="200"/>
      <c r="BK84" s="158"/>
      <c r="BL84" s="158"/>
      <c r="BM84" s="173"/>
      <c r="BN84" s="158"/>
      <c r="BO84" s="158"/>
      <c r="BQ84" s="208"/>
      <c r="BR84" s="216"/>
      <c r="BS84" s="216"/>
      <c r="BT84" s="452" t="str">
        <f>_xlfn.LET(
  _xlpm.pt, TRIM($DR$10),
  _xlpm.u,  N($DR$19),
  IF(OR(_xlpm.pt="Single Family", _xlpm.pt="Non-Warrantable Condo"),
     _xlpm.pt,
     IF(OR(ISNUMBER(MATCH(_xlpm.pt,{"Duplex","Triplex","Fourplex","2 - 4 Unit","Townhome","Warrantable Condo"},0)), _xlpm.u&lt;=4),
        "Other (2-4 unit)",
        "ERROR"
     )
  )
)</f>
        <v>Single Family</v>
      </c>
      <c r="BU84" s="453"/>
      <c r="BV84" s="453"/>
      <c r="BW84" s="453"/>
      <c r="BX84" s="453"/>
      <c r="BY84" s="453"/>
      <c r="BZ84" s="454"/>
      <c r="CA84" s="216"/>
      <c r="CB84" s="216"/>
      <c r="CC84" s="452" t="str">
        <f>_xlfn.LET(
  _xlpm.fico, N($BR$13),
  IF(_xlpm.fico&lt;680,"ERROR",
     IF(_xlpm.fico&lt;740,"680-739","740+")
  )
)</f>
        <v>ERROR</v>
      </c>
      <c r="CD84" s="453"/>
      <c r="CE84" s="453"/>
      <c r="CF84" s="454"/>
      <c r="CG84" s="216"/>
      <c r="CH84" s="216"/>
      <c r="CI84" s="452" t="str">
        <f ca="1">_xlfn.LET(
  _xlpm.u,   N($DR$19),
  _xlpm.pt,  $CG$13,
  _xlpm.aiv, N($CU$63),
  _xlpm.arv, N($DH$16),
  IF(AND(_xlpm.u&gt;1,_xlpm.u&lt;=4),
     _xlfn.LET(
       _xlpm.aivpu, _xlpm.aiv/_xlpm.u,
       _xlpm.arvpu, _xlpm.arv/_xlpm.u,
       IF(_xlpm.pt="Bridge (No Rehab)",
          IF(_xlpm.aivpu&lt;50000,"ERROR",""),
          IF(OR(_xlpm.aivpu&lt;30000,_xlpm.arvpu&lt;50000),"ERROR","")
       )
     ),
     ""
  )
)</f>
        <v/>
      </c>
      <c r="CJ84" s="453"/>
      <c r="CK84" s="453"/>
      <c r="CL84" s="453"/>
      <c r="CM84" s="454"/>
      <c r="CN84" s="216"/>
      <c r="CO84" s="216"/>
      <c r="CP84" s="216"/>
      <c r="CQ84" s="452" t="str">
        <f>_xlfn.LET(
  _xlpm.st, $CX$10,
  IF(ISNUMBER(MATCH(_xlpm.st, {"AK","ND","SD","UT","VT"}, 0)),
     "ERROR",
     IF(_xlpm.st="NY","New York","")
  )
)</f>
        <v/>
      </c>
      <c r="CR84" s="453"/>
      <c r="CS84" s="453"/>
      <c r="CT84" s="453"/>
      <c r="CU84" s="454"/>
      <c r="CV84" s="214"/>
      <c r="CW84" s="214"/>
      <c r="CX84" s="214"/>
      <c r="CY84" s="458" t="b">
        <f>IF($BR$16="Foreign National",TRUE,FALSE)</f>
        <v>0</v>
      </c>
      <c r="CZ84" s="459"/>
      <c r="DA84" s="459"/>
      <c r="DB84" s="459"/>
      <c r="DC84" s="459"/>
      <c r="DD84" s="460"/>
      <c r="DE84" s="217"/>
      <c r="DF84" s="217"/>
      <c r="DG84" s="217"/>
      <c r="DH84" s="217"/>
      <c r="DI84" s="217"/>
      <c r="DJ84" s="217"/>
      <c r="DK84" s="217"/>
      <c r="DL84" s="217"/>
      <c r="DM84" s="217"/>
      <c r="DN84" s="217"/>
      <c r="DO84" s="217"/>
      <c r="DP84" s="217"/>
      <c r="DQ84" s="217"/>
      <c r="DR84" s="217"/>
      <c r="DS84" s="217"/>
      <c r="DT84" s="217"/>
      <c r="DU84" s="217"/>
      <c r="DV84" s="217"/>
      <c r="DW84" s="217"/>
      <c r="DX84" s="217"/>
      <c r="DY84" s="217"/>
      <c r="DZ84" s="217"/>
      <c r="EA84" s="217"/>
      <c r="EB84" s="200"/>
      <c r="ED84" s="158"/>
      <c r="EE84" s="158"/>
      <c r="EF84" s="158"/>
    </row>
    <row r="85" spans="1:136" ht="15.6" hidden="1" x14ac:dyDescent="0.3">
      <c r="A85" s="158"/>
      <c r="B85" s="158"/>
      <c r="C85" s="196"/>
      <c r="D85" s="208"/>
      <c r="E85" s="216"/>
      <c r="F85" s="216"/>
      <c r="G85" s="216"/>
      <c r="H85" s="216"/>
      <c r="I85" s="452" t="s">
        <v>468</v>
      </c>
      <c r="J85" s="453"/>
      <c r="K85" s="453"/>
      <c r="L85" s="453"/>
      <c r="M85" s="453"/>
      <c r="N85" s="453"/>
      <c r="O85" s="453"/>
      <c r="P85" s="453"/>
      <c r="Q85" s="454"/>
      <c r="R85" s="216"/>
      <c r="S85" s="216"/>
      <c r="T85" s="216"/>
      <c r="U85" s="216"/>
      <c r="V85" s="216"/>
      <c r="W85" s="216"/>
      <c r="X85" s="216"/>
      <c r="Y85" s="216"/>
      <c r="Z85" s="216"/>
      <c r="AA85" s="216"/>
      <c r="AB85" s="216"/>
      <c r="AC85" s="214"/>
      <c r="AD85" s="214"/>
      <c r="AE85" s="214"/>
      <c r="AF85" s="214"/>
      <c r="AG85" s="214"/>
      <c r="AH85" s="217"/>
      <c r="AI85" s="217"/>
      <c r="AJ85" s="217"/>
      <c r="AK85" s="217"/>
      <c r="AL85" s="217"/>
      <c r="AM85" s="217"/>
      <c r="AN85" s="217"/>
      <c r="AO85" s="217"/>
      <c r="AP85" s="217"/>
      <c r="AQ85" s="217"/>
      <c r="AR85" s="217"/>
      <c r="AS85" s="217"/>
      <c r="AT85" s="217"/>
      <c r="AU85" s="217"/>
      <c r="AV85" s="217"/>
      <c r="AW85" s="217"/>
      <c r="AX85" s="217"/>
      <c r="AY85" s="217"/>
      <c r="AZ85" s="217"/>
      <c r="BA85" s="217"/>
      <c r="BB85" s="217"/>
      <c r="BC85" s="217"/>
      <c r="BD85" s="217"/>
      <c r="BE85" s="217"/>
      <c r="BF85" s="217"/>
      <c r="BG85" s="217"/>
      <c r="BH85" s="217"/>
      <c r="BI85" s="200"/>
      <c r="BJ85" s="200"/>
      <c r="BK85" s="158"/>
      <c r="BL85" s="158"/>
      <c r="BM85" s="173"/>
      <c r="BN85" s="158"/>
      <c r="BO85" s="158"/>
      <c r="BQ85" s="208"/>
      <c r="BR85" s="216"/>
      <c r="BS85" s="216"/>
      <c r="BT85" s="216"/>
      <c r="BU85" s="216"/>
      <c r="BV85" s="216"/>
      <c r="BW85" s="216"/>
      <c r="BX85" s="216"/>
      <c r="BY85" s="216"/>
      <c r="BZ85" s="216"/>
      <c r="CA85" s="216"/>
      <c r="CB85" s="216"/>
      <c r="CC85" s="216"/>
      <c r="CD85" s="216"/>
      <c r="CE85" s="216"/>
      <c r="CF85" s="216"/>
      <c r="CG85" s="216"/>
      <c r="CH85" s="216"/>
      <c r="CI85" s="216"/>
      <c r="CJ85" s="216"/>
      <c r="CK85" s="216"/>
      <c r="CL85" s="216"/>
      <c r="CM85" s="216"/>
      <c r="CN85" s="216"/>
      <c r="CO85" s="216"/>
      <c r="CP85" s="216"/>
      <c r="CQ85" s="216"/>
      <c r="CR85" s="216"/>
      <c r="CS85" s="214"/>
      <c r="CT85" s="214"/>
      <c r="CU85" s="214"/>
      <c r="CV85" s="214"/>
      <c r="CW85" s="214"/>
      <c r="CX85" s="214"/>
      <c r="CY85" s="214"/>
      <c r="CZ85" s="214"/>
      <c r="DA85" s="217"/>
      <c r="DB85" s="217"/>
      <c r="DC85" s="217"/>
      <c r="DD85" s="217"/>
      <c r="DE85" s="217"/>
      <c r="DF85" s="217"/>
      <c r="DG85" s="217"/>
      <c r="DH85" s="217"/>
      <c r="DI85" s="217"/>
      <c r="DJ85" s="217"/>
      <c r="DK85" s="217"/>
      <c r="DL85" s="217"/>
      <c r="DM85" s="217"/>
      <c r="DN85" s="217"/>
      <c r="DO85" s="217"/>
      <c r="DP85" s="217"/>
      <c r="DQ85" s="217"/>
      <c r="DR85" s="217"/>
      <c r="DS85" s="217"/>
      <c r="DT85" s="217"/>
      <c r="DU85" s="217"/>
      <c r="DV85" s="217"/>
      <c r="DW85" s="217"/>
      <c r="DX85" s="217"/>
      <c r="DY85" s="217"/>
      <c r="DZ85" s="217"/>
      <c r="EA85" s="217"/>
      <c r="EB85" s="200"/>
      <c r="ED85" s="158"/>
      <c r="EE85" s="158"/>
      <c r="EF85" s="158"/>
    </row>
    <row r="86" spans="1:136" ht="15.6" hidden="1" x14ac:dyDescent="0.3">
      <c r="A86" s="158"/>
      <c r="B86" s="158"/>
      <c r="C86" s="196"/>
      <c r="D86" s="208"/>
      <c r="E86" s="216"/>
      <c r="F86" s="216"/>
      <c r="G86" s="216"/>
      <c r="H86" s="216"/>
      <c r="I86" s="443" t="b">
        <f>_xlfn.XLOOKUP(
  'Combined Sizer'!$M$3,
  Table59[Record ID],
  Table59[Constructive -  Eligible_TF]
)</f>
        <v>0</v>
      </c>
      <c r="J86" s="444"/>
      <c r="K86" s="444"/>
      <c r="L86" s="444"/>
      <c r="M86" s="444"/>
      <c r="N86" s="444"/>
      <c r="O86" s="444"/>
      <c r="P86" s="445"/>
      <c r="Q86" s="216"/>
      <c r="R86" s="216"/>
      <c r="S86" s="216"/>
      <c r="T86" s="216"/>
      <c r="U86" s="216"/>
      <c r="V86" s="216"/>
      <c r="W86" s="216"/>
      <c r="X86" s="216"/>
      <c r="Y86" s="216"/>
      <c r="Z86" s="216"/>
      <c r="AA86" s="216"/>
      <c r="AB86" s="216"/>
      <c r="AC86" s="214"/>
      <c r="AD86" s="214"/>
      <c r="AE86" s="214"/>
      <c r="AF86" s="214"/>
      <c r="AG86" s="214"/>
      <c r="AH86" s="217"/>
      <c r="AI86" s="217"/>
      <c r="AJ86" s="217"/>
      <c r="AK86" s="217"/>
      <c r="AL86" s="217"/>
      <c r="AM86" s="217"/>
      <c r="AN86" s="217"/>
      <c r="AO86" s="217"/>
      <c r="AP86" s="217"/>
      <c r="AQ86" s="217"/>
      <c r="AR86" s="217"/>
      <c r="AS86" s="217"/>
      <c r="AT86" s="217"/>
      <c r="AU86" s="217"/>
      <c r="AV86" s="217"/>
      <c r="AW86" s="217"/>
      <c r="AX86" s="217"/>
      <c r="AY86" s="217"/>
      <c r="AZ86" s="217"/>
      <c r="BA86" s="217"/>
      <c r="BB86" s="217"/>
      <c r="BC86" s="217"/>
      <c r="BD86" s="217"/>
      <c r="BE86" s="217"/>
      <c r="BF86" s="217"/>
      <c r="BG86" s="217"/>
      <c r="BH86" s="217"/>
      <c r="BI86" s="200"/>
      <c r="BJ86" s="200"/>
      <c r="BK86" s="158"/>
      <c r="BL86" s="158"/>
      <c r="BM86" s="173"/>
      <c r="BN86" s="158"/>
      <c r="BO86" s="158"/>
      <c r="BQ86" s="208"/>
      <c r="BR86" s="216"/>
      <c r="BS86" s="216"/>
      <c r="BT86" s="216"/>
      <c r="BU86" s="216"/>
      <c r="BV86" s="216"/>
      <c r="BW86" s="216"/>
      <c r="BX86" s="216"/>
      <c r="BY86" s="216"/>
      <c r="BZ86" s="216"/>
      <c r="CA86" s="216"/>
      <c r="CB86" s="216"/>
      <c r="CC86" s="216"/>
      <c r="CD86" s="216"/>
      <c r="CE86" s="216"/>
      <c r="CF86" s="216"/>
      <c r="CG86" s="216"/>
      <c r="CH86" s="216"/>
      <c r="CI86" s="216"/>
      <c r="CJ86" s="216"/>
      <c r="CK86" s="216"/>
      <c r="CL86" s="216"/>
      <c r="CM86" s="216"/>
      <c r="CN86" s="216"/>
      <c r="CO86" s="216"/>
      <c r="CP86" s="216"/>
      <c r="CQ86" s="216"/>
      <c r="CR86" s="216"/>
      <c r="CS86" s="214"/>
      <c r="CT86" s="214"/>
      <c r="CU86" s="214"/>
      <c r="CV86" s="214"/>
      <c r="CW86" s="214"/>
      <c r="CX86" s="214"/>
      <c r="CY86" s="214"/>
      <c r="CZ86" s="214"/>
      <c r="DA86" s="217"/>
      <c r="DB86" s="217"/>
      <c r="DC86" s="217"/>
      <c r="DD86" s="217"/>
      <c r="DE86" s="217"/>
      <c r="DF86" s="217"/>
      <c r="DG86" s="217"/>
      <c r="DH86" s="217"/>
      <c r="DI86" s="217"/>
      <c r="DJ86" s="217"/>
      <c r="DK86" s="217"/>
      <c r="DL86" s="217"/>
      <c r="DM86" s="217"/>
      <c r="DN86" s="217"/>
      <c r="DO86" s="217"/>
      <c r="DP86" s="217"/>
      <c r="DQ86" s="217"/>
      <c r="DR86" s="217"/>
      <c r="DS86" s="217"/>
      <c r="DT86" s="217"/>
      <c r="DU86" s="217"/>
      <c r="DV86" s="217"/>
      <c r="DW86" s="217"/>
      <c r="DX86" s="217"/>
      <c r="DY86" s="217"/>
      <c r="DZ86" s="217"/>
      <c r="EA86" s="217"/>
      <c r="EB86" s="200"/>
      <c r="ED86" s="158"/>
      <c r="EE86" s="158"/>
      <c r="EF86" s="158"/>
    </row>
    <row r="87" spans="1:136" ht="15.6" hidden="1" x14ac:dyDescent="0.3">
      <c r="A87" s="158"/>
      <c r="B87" s="158"/>
      <c r="C87" s="196"/>
      <c r="D87" s="208"/>
      <c r="E87" s="216"/>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4"/>
      <c r="AD87" s="214"/>
      <c r="AE87" s="214"/>
      <c r="AF87" s="214"/>
      <c r="AG87" s="214"/>
      <c r="AH87" s="217"/>
      <c r="AI87" s="217"/>
      <c r="AJ87" s="217"/>
      <c r="AK87" s="217"/>
      <c r="AL87" s="217"/>
      <c r="AM87" s="217"/>
      <c r="AN87" s="217"/>
      <c r="AO87" s="217"/>
      <c r="AP87" s="217"/>
      <c r="AQ87" s="217"/>
      <c r="AR87" s="217"/>
      <c r="AS87" s="217"/>
      <c r="AT87" s="217"/>
      <c r="AU87" s="217"/>
      <c r="AV87" s="217"/>
      <c r="AW87" s="217"/>
      <c r="AX87" s="217"/>
      <c r="AY87" s="217"/>
      <c r="AZ87" s="217"/>
      <c r="BA87" s="217"/>
      <c r="BB87" s="217"/>
      <c r="BC87" s="217"/>
      <c r="BD87" s="217"/>
      <c r="BE87" s="217"/>
      <c r="BF87" s="217"/>
      <c r="BG87" s="217"/>
      <c r="BH87" s="217"/>
      <c r="BI87" s="200"/>
      <c r="BJ87" s="200"/>
      <c r="BK87" s="158"/>
      <c r="BL87" s="158"/>
      <c r="BM87" s="173"/>
      <c r="BN87" s="158"/>
      <c r="BO87" s="158"/>
      <c r="BQ87" s="208"/>
      <c r="BR87" s="216"/>
      <c r="BS87" s="216"/>
      <c r="BT87" s="216" t="s">
        <v>469</v>
      </c>
      <c r="BU87" s="216"/>
      <c r="BV87" s="216"/>
      <c r="BW87" s="216"/>
      <c r="BX87" s="216"/>
      <c r="BY87" s="216"/>
      <c r="BZ87" s="216"/>
      <c r="CA87" s="216"/>
      <c r="CB87" s="216"/>
      <c r="CC87" s="216"/>
      <c r="CD87" s="216"/>
      <c r="CE87" s="216"/>
      <c r="CF87" s="216"/>
      <c r="CG87" s="216"/>
      <c r="CH87" s="216"/>
      <c r="CI87" s="216"/>
      <c r="CJ87" s="216"/>
      <c r="CK87" s="216"/>
      <c r="CL87" s="216"/>
      <c r="CM87" s="216"/>
      <c r="CN87" s="216"/>
      <c r="CO87" s="216"/>
      <c r="CP87" s="216"/>
      <c r="CQ87" s="216"/>
      <c r="CR87" s="216"/>
      <c r="CS87" s="214"/>
      <c r="CT87" s="214"/>
      <c r="CU87" s="214"/>
      <c r="CV87" s="214"/>
      <c r="CW87" s="214"/>
      <c r="CX87" s="214"/>
      <c r="CY87" s="214"/>
      <c r="CZ87" s="214"/>
      <c r="DA87" s="217"/>
      <c r="DB87" s="217"/>
      <c r="DC87" s="217"/>
      <c r="DD87" s="217"/>
      <c r="DE87" s="217"/>
      <c r="DF87" s="217"/>
      <c r="DG87" s="217"/>
      <c r="DH87" s="217"/>
      <c r="DI87" s="217"/>
      <c r="DJ87" s="217"/>
      <c r="DK87" s="217"/>
      <c r="DL87" s="217"/>
      <c r="DM87" s="217"/>
      <c r="DN87" s="217"/>
      <c r="DO87" s="217"/>
      <c r="DP87" s="217"/>
      <c r="DQ87" s="440" t="s">
        <v>468</v>
      </c>
      <c r="DR87" s="441"/>
      <c r="DS87" s="441"/>
      <c r="DT87" s="441"/>
      <c r="DU87" s="441"/>
      <c r="DV87" s="441"/>
      <c r="DW87" s="441"/>
      <c r="DX87" s="441"/>
      <c r="DY87" s="442"/>
      <c r="DZ87" s="217"/>
      <c r="EA87" s="217"/>
      <c r="EB87" s="200"/>
      <c r="ED87" s="158"/>
      <c r="EE87" s="158"/>
      <c r="EF87" s="158"/>
    </row>
    <row r="88" spans="1:136" ht="15.6" hidden="1" x14ac:dyDescent="0.3">
      <c r="A88" s="158"/>
      <c r="B88" s="158"/>
      <c r="C88" s="196"/>
      <c r="D88" s="208"/>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4"/>
      <c r="AD88" s="214"/>
      <c r="AE88" s="214"/>
      <c r="AF88" s="214"/>
      <c r="AG88" s="214"/>
      <c r="AH88" s="217"/>
      <c r="AI88" s="217"/>
      <c r="AJ88" s="217"/>
      <c r="AK88" s="217"/>
      <c r="AL88" s="217"/>
      <c r="AM88" s="217"/>
      <c r="AN88" s="217"/>
      <c r="AO88" s="217"/>
      <c r="AP88" s="217"/>
      <c r="AQ88" s="217"/>
      <c r="AR88" s="217"/>
      <c r="AS88" s="217"/>
      <c r="AT88" s="217"/>
      <c r="AU88" s="217"/>
      <c r="AV88" s="217"/>
      <c r="AW88" s="217"/>
      <c r="AX88" s="217"/>
      <c r="AY88" s="217"/>
      <c r="AZ88" s="217"/>
      <c r="BA88" s="217"/>
      <c r="BB88" s="217"/>
      <c r="BC88" s="217"/>
      <c r="BD88" s="217"/>
      <c r="BE88" s="217"/>
      <c r="BF88" s="217"/>
      <c r="BG88" s="217"/>
      <c r="BH88" s="217"/>
      <c r="BI88" s="200"/>
      <c r="BJ88" s="200"/>
      <c r="BK88" s="158"/>
      <c r="BL88" s="158"/>
      <c r="BM88" s="173"/>
      <c r="BN88" s="158"/>
      <c r="BO88" s="158"/>
      <c r="BQ88" s="208"/>
      <c r="BR88" s="216"/>
      <c r="BS88" s="216"/>
      <c r="BT88" s="452" t="str">
        <f>$CG$72 &amp; "|" &amp; $BR$72 &amp; "|" &amp; $CG$10 &amp; "|" &amp; $BT$84 &amp; "|" &amp; $CC$84</f>
        <v>Gold (3-4)|Fix and Flip (Light Rehab)|Cash Out Refinance|Single Family|ERROR</v>
      </c>
      <c r="BU88" s="453"/>
      <c r="BV88" s="453"/>
      <c r="BW88" s="453"/>
      <c r="BX88" s="453"/>
      <c r="BY88" s="453"/>
      <c r="BZ88" s="453"/>
      <c r="CA88" s="453"/>
      <c r="CB88" s="453"/>
      <c r="CC88" s="453"/>
      <c r="CD88" s="453"/>
      <c r="CE88" s="453"/>
      <c r="CF88" s="453"/>
      <c r="CG88" s="453"/>
      <c r="CH88" s="453"/>
      <c r="CI88" s="453"/>
      <c r="CJ88" s="453"/>
      <c r="CK88" s="453"/>
      <c r="CL88" s="453"/>
      <c r="CM88" s="453"/>
      <c r="CN88" s="453"/>
      <c r="CO88" s="453"/>
      <c r="CP88" s="453"/>
      <c r="CQ88" s="453"/>
      <c r="CR88" s="453"/>
      <c r="CS88" s="454"/>
      <c r="CT88" s="214"/>
      <c r="CU88" s="214"/>
      <c r="CV88" s="214"/>
      <c r="CW88" s="214"/>
      <c r="CX88" s="214"/>
      <c r="CY88" s="214"/>
      <c r="CZ88" s="214"/>
      <c r="DA88" s="217"/>
      <c r="DB88" s="217"/>
      <c r="DC88" s="217"/>
      <c r="DD88" s="217"/>
      <c r="DE88" s="217"/>
      <c r="DF88" s="217"/>
      <c r="DG88" s="217"/>
      <c r="DH88" s="217"/>
      <c r="DI88" s="217"/>
      <c r="DJ88" s="217"/>
      <c r="DK88" s="217"/>
      <c r="DL88" s="217"/>
      <c r="DM88" s="217"/>
      <c r="DN88" s="217"/>
      <c r="DO88" s="217"/>
      <c r="DP88" s="217"/>
      <c r="DQ88" s="440" t="b">
        <f ca="1">NOT(OR(
    ISNUMBER(SEARCH("ERROR",$BT$88)),
    $CQ$84="ERROR",
    $CI$84="ERROR",
    $DO$63=FALSE
))</f>
        <v>0</v>
      </c>
      <c r="DR88" s="441"/>
      <c r="DS88" s="441"/>
      <c r="DT88" s="441"/>
      <c r="DU88" s="441"/>
      <c r="DV88" s="441"/>
      <c r="DW88" s="441"/>
      <c r="DX88" s="441"/>
      <c r="DY88" s="442"/>
      <c r="DZ88" s="217"/>
      <c r="EA88" s="217"/>
      <c r="EB88" s="200"/>
      <c r="ED88" s="158"/>
      <c r="EE88" s="158"/>
      <c r="EF88" s="158"/>
    </row>
    <row r="89" spans="1:136" ht="15.6" hidden="1" x14ac:dyDescent="0.3">
      <c r="A89" s="158"/>
      <c r="B89" s="158"/>
      <c r="C89" s="196"/>
      <c r="D89" s="208"/>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4"/>
      <c r="AD89" s="214"/>
      <c r="AE89" s="214"/>
      <c r="AF89" s="214"/>
      <c r="AG89" s="214"/>
      <c r="AH89" s="217"/>
      <c r="AI89" s="217"/>
      <c r="AJ89" s="217"/>
      <c r="AK89" s="217"/>
      <c r="AL89" s="217"/>
      <c r="AM89" s="217"/>
      <c r="AN89" s="217"/>
      <c r="AO89" s="217"/>
      <c r="AP89" s="217"/>
      <c r="AQ89" s="217"/>
      <c r="AR89" s="217"/>
      <c r="AS89" s="217"/>
      <c r="AT89" s="217"/>
      <c r="AU89" s="217"/>
      <c r="AV89" s="217"/>
      <c r="AW89" s="217"/>
      <c r="AX89" s="217"/>
      <c r="AY89" s="217"/>
      <c r="AZ89" s="217"/>
      <c r="BA89" s="217"/>
      <c r="BB89" s="217"/>
      <c r="BC89" s="217"/>
      <c r="BD89" s="217"/>
      <c r="BE89" s="217"/>
      <c r="BF89" s="217"/>
      <c r="BG89" s="217"/>
      <c r="BH89" s="217"/>
      <c r="BI89" s="200"/>
      <c r="BJ89" s="200"/>
      <c r="BK89" s="158"/>
      <c r="BL89" s="158"/>
      <c r="BM89" s="173"/>
      <c r="BN89" s="158"/>
      <c r="BO89" s="158"/>
      <c r="BQ89" s="208"/>
      <c r="BR89" s="216"/>
      <c r="BS89" s="216"/>
      <c r="BT89" s="216"/>
      <c r="BU89" s="216"/>
      <c r="BV89" s="216"/>
      <c r="BW89" s="216"/>
      <c r="BX89" s="216"/>
      <c r="BY89" s="216"/>
      <c r="BZ89" s="216"/>
      <c r="CA89" s="216"/>
      <c r="CB89" s="216"/>
      <c r="CC89" s="216"/>
      <c r="CD89" s="216"/>
      <c r="CE89" s="216"/>
      <c r="CF89" s="216"/>
      <c r="CG89" s="216"/>
      <c r="CH89" s="216"/>
      <c r="CI89" s="216"/>
      <c r="CJ89" s="216"/>
      <c r="CK89" s="216"/>
      <c r="CL89" s="216"/>
      <c r="CM89" s="216"/>
      <c r="CN89" s="216"/>
      <c r="CO89" s="216"/>
      <c r="CP89" s="216"/>
      <c r="CQ89" s="216"/>
      <c r="CR89" s="216"/>
      <c r="CS89" s="214"/>
      <c r="CT89" s="214"/>
      <c r="CU89" s="214"/>
      <c r="CV89" s="214"/>
      <c r="CW89" s="214"/>
      <c r="CX89" s="214"/>
      <c r="CY89" s="214"/>
      <c r="CZ89" s="214"/>
      <c r="DA89" s="217"/>
      <c r="DB89" s="217"/>
      <c r="DC89" s="217"/>
      <c r="DD89" s="217"/>
      <c r="DE89" s="217"/>
      <c r="DF89" s="21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00"/>
      <c r="ED89" s="158"/>
      <c r="EE89" s="158"/>
      <c r="EF89" s="158"/>
    </row>
    <row r="90" spans="1:136" ht="15" thickTop="1" x14ac:dyDescent="0.3">
      <c r="A90" s="158"/>
      <c r="B90" s="158"/>
      <c r="C90" s="196"/>
      <c r="D90" s="208"/>
      <c r="E90" s="206"/>
      <c r="F90" s="206"/>
      <c r="G90" s="206"/>
      <c r="H90" s="206"/>
      <c r="I90" s="206"/>
      <c r="J90" s="206"/>
      <c r="K90" s="206"/>
      <c r="L90" s="206"/>
      <c r="M90" s="209"/>
      <c r="N90" s="209"/>
      <c r="O90" s="209"/>
      <c r="P90" s="209"/>
      <c r="Q90" s="209"/>
      <c r="R90" s="209"/>
      <c r="S90" s="209"/>
      <c r="T90" s="209"/>
      <c r="U90" s="209"/>
      <c r="V90" s="206"/>
      <c r="W90" s="206"/>
      <c r="X90" s="206"/>
      <c r="Y90" s="206"/>
      <c r="Z90" s="206"/>
      <c r="AA90" s="206"/>
      <c r="AB90" s="198"/>
      <c r="AC90" s="198"/>
      <c r="AD90" s="198"/>
      <c r="AE90" s="198"/>
      <c r="AF90" s="198"/>
      <c r="AG90" s="198"/>
      <c r="AH90" s="198"/>
      <c r="AI90" s="207"/>
      <c r="AJ90" s="207"/>
      <c r="AK90" s="207"/>
      <c r="AL90" s="207"/>
      <c r="AM90" s="207"/>
      <c r="AN90" s="207"/>
      <c r="AO90" s="207"/>
      <c r="AP90" s="207"/>
      <c r="AQ90" s="207"/>
      <c r="AR90" s="207"/>
      <c r="AS90" s="207"/>
      <c r="AT90" s="207"/>
      <c r="AU90" s="207"/>
      <c r="AV90" s="207"/>
      <c r="AW90" s="207"/>
      <c r="AX90" s="207"/>
      <c r="AY90" s="207"/>
      <c r="AZ90" s="207"/>
      <c r="BA90" s="207"/>
      <c r="BB90" s="207"/>
      <c r="BC90" s="207"/>
      <c r="BD90" s="207"/>
      <c r="BE90" s="207"/>
      <c r="BF90" s="207"/>
      <c r="BG90" s="207"/>
      <c r="BH90" s="207"/>
      <c r="BI90" s="210"/>
      <c r="BJ90" s="200"/>
      <c r="BK90" s="158"/>
      <c r="BL90" s="158"/>
      <c r="BM90" s="173"/>
      <c r="BN90" s="158"/>
      <c r="BO90" s="158"/>
      <c r="BQ90" s="208"/>
      <c r="BR90" s="206"/>
      <c r="BS90" s="206"/>
      <c r="BT90" s="206"/>
      <c r="BU90" s="206"/>
      <c r="BV90" s="206"/>
      <c r="BW90" s="206"/>
      <c r="BX90" s="206"/>
      <c r="BY90" s="206"/>
      <c r="BZ90" s="209"/>
      <c r="CA90" s="209"/>
      <c r="CB90" s="209"/>
      <c r="CC90" s="209"/>
      <c r="CD90" s="209"/>
      <c r="CE90" s="209"/>
      <c r="CF90" s="209"/>
      <c r="CG90" s="209"/>
      <c r="CH90" s="209"/>
      <c r="CI90" s="209"/>
      <c r="CJ90" s="206"/>
      <c r="CK90" s="206"/>
      <c r="CL90" s="206"/>
      <c r="CM90" s="206"/>
      <c r="CN90" s="206"/>
      <c r="CO90" s="206"/>
      <c r="CP90" s="206"/>
      <c r="CQ90" s="206"/>
      <c r="CR90" s="198"/>
      <c r="CS90" s="198"/>
      <c r="CT90" s="198"/>
      <c r="CU90" s="198"/>
      <c r="CV90" s="198"/>
      <c r="CW90" s="198"/>
      <c r="CX90" s="198"/>
      <c r="CY90" s="198"/>
      <c r="CZ90" s="198"/>
      <c r="DA90" s="198"/>
      <c r="DB90" s="207"/>
      <c r="DC90" s="207"/>
      <c r="DD90" s="207"/>
      <c r="DE90" s="207"/>
      <c r="DF90" s="207"/>
      <c r="DG90" s="207"/>
      <c r="DH90" s="207"/>
      <c r="DI90" s="207"/>
      <c r="DJ90" s="207"/>
      <c r="DK90" s="207"/>
      <c r="DL90" s="207"/>
      <c r="DM90" s="207"/>
      <c r="DN90" s="207"/>
      <c r="DO90" s="207"/>
      <c r="DP90" s="207"/>
      <c r="DQ90" s="207"/>
      <c r="DR90" s="207"/>
      <c r="DS90" s="207"/>
      <c r="DT90" s="207"/>
      <c r="DU90" s="207"/>
      <c r="DV90" s="207"/>
      <c r="DW90" s="207"/>
      <c r="DX90" s="207"/>
      <c r="DY90" s="207"/>
      <c r="DZ90" s="207"/>
      <c r="EA90" s="207"/>
      <c r="EB90" s="210"/>
      <c r="ED90" s="158"/>
      <c r="EE90" s="158"/>
      <c r="EF90" s="158"/>
    </row>
    <row r="91" spans="1:136" x14ac:dyDescent="0.3">
      <c r="A91" s="158"/>
      <c r="B91" s="158"/>
      <c r="C91" s="196"/>
      <c r="D91" s="482" t="s">
        <v>478</v>
      </c>
      <c r="E91" s="483"/>
      <c r="F91" s="483"/>
      <c r="G91" s="483"/>
      <c r="H91" s="483"/>
      <c r="I91" s="483"/>
      <c r="J91" s="483"/>
      <c r="K91" s="483"/>
      <c r="L91" s="483"/>
      <c r="M91" s="483"/>
      <c r="N91" s="483"/>
      <c r="O91" s="483"/>
      <c r="P91" s="483"/>
      <c r="Q91" s="483"/>
      <c r="R91" s="483"/>
      <c r="S91" s="483"/>
      <c r="T91" s="483"/>
      <c r="U91" s="483"/>
      <c r="V91" s="483"/>
      <c r="W91" s="483"/>
      <c r="X91" s="483"/>
      <c r="Y91" s="483"/>
      <c r="Z91" s="483"/>
      <c r="AA91" s="483"/>
      <c r="AB91" s="483"/>
      <c r="AC91" s="483"/>
      <c r="AD91" s="483"/>
      <c r="AE91" s="483"/>
      <c r="AF91" s="483"/>
      <c r="AG91" s="483"/>
      <c r="AH91" s="483"/>
      <c r="AI91" s="483"/>
      <c r="AJ91" s="483"/>
      <c r="AK91" s="483"/>
      <c r="AL91" s="483"/>
      <c r="AM91" s="483"/>
      <c r="AN91" s="483"/>
      <c r="AO91" s="483"/>
      <c r="AP91" s="483"/>
      <c r="AQ91" s="483"/>
      <c r="AR91" s="483"/>
      <c r="AS91" s="483"/>
      <c r="AT91" s="483"/>
      <c r="AU91" s="483"/>
      <c r="AV91" s="483"/>
      <c r="AW91" s="483"/>
      <c r="AX91" s="483"/>
      <c r="AY91" s="483"/>
      <c r="AZ91" s="483"/>
      <c r="BA91" s="483"/>
      <c r="BB91" s="483"/>
      <c r="BC91" s="483"/>
      <c r="BD91" s="483"/>
      <c r="BE91" s="483"/>
      <c r="BF91" s="483"/>
      <c r="BG91" s="483"/>
      <c r="BH91" s="483"/>
      <c r="BI91" s="484"/>
      <c r="BJ91" s="200"/>
      <c r="BK91" s="158"/>
      <c r="BL91" s="158"/>
      <c r="BM91" s="173"/>
      <c r="BN91" s="158"/>
      <c r="BO91" s="158"/>
      <c r="BQ91" s="485" t="s">
        <v>478</v>
      </c>
      <c r="BR91" s="486"/>
      <c r="BS91" s="486"/>
      <c r="BT91" s="486"/>
      <c r="BU91" s="486"/>
      <c r="BV91" s="486"/>
      <c r="BW91" s="486"/>
      <c r="BX91" s="486"/>
      <c r="BY91" s="486"/>
      <c r="BZ91" s="486"/>
      <c r="CA91" s="486"/>
      <c r="CB91" s="486"/>
      <c r="CC91" s="486"/>
      <c r="CD91" s="486"/>
      <c r="CE91" s="486"/>
      <c r="CF91" s="486"/>
      <c r="CG91" s="486"/>
      <c r="CH91" s="486"/>
      <c r="CI91" s="486"/>
      <c r="CJ91" s="486"/>
      <c r="CK91" s="486"/>
      <c r="CL91" s="486"/>
      <c r="CM91" s="486"/>
      <c r="CN91" s="486"/>
      <c r="CO91" s="486"/>
      <c r="CP91" s="486"/>
      <c r="CQ91" s="486"/>
      <c r="CR91" s="486"/>
      <c r="CS91" s="486"/>
      <c r="CT91" s="486"/>
      <c r="CU91" s="486"/>
      <c r="CV91" s="486"/>
      <c r="CW91" s="486"/>
      <c r="CX91" s="486"/>
      <c r="CY91" s="486"/>
      <c r="CZ91" s="486"/>
      <c r="DA91" s="486"/>
      <c r="DB91" s="486"/>
      <c r="DC91" s="486"/>
      <c r="DD91" s="486"/>
      <c r="DE91" s="486"/>
      <c r="DF91" s="486"/>
      <c r="DG91" s="486"/>
      <c r="DH91" s="486"/>
      <c r="DI91" s="486"/>
      <c r="DJ91" s="486"/>
      <c r="DK91" s="486"/>
      <c r="DL91" s="486"/>
      <c r="DM91" s="486"/>
      <c r="DN91" s="486"/>
      <c r="DO91" s="486"/>
      <c r="DP91" s="486"/>
      <c r="DQ91" s="486"/>
      <c r="DR91" s="486"/>
      <c r="DS91" s="486"/>
      <c r="DT91" s="486"/>
      <c r="DU91" s="486"/>
      <c r="DV91" s="486"/>
      <c r="DW91" s="486"/>
      <c r="DX91" s="486"/>
      <c r="DY91" s="486"/>
      <c r="DZ91" s="486"/>
      <c r="EA91" s="486"/>
      <c r="EB91" s="487"/>
      <c r="ED91" s="158"/>
      <c r="EE91" s="158"/>
      <c r="EF91" s="158"/>
    </row>
    <row r="92" spans="1:136" x14ac:dyDescent="0.3">
      <c r="A92" s="158"/>
      <c r="B92" s="158"/>
      <c r="C92" s="202"/>
      <c r="D92" s="203"/>
      <c r="E92" s="203"/>
      <c r="F92" s="203"/>
      <c r="G92" s="203"/>
      <c r="H92" s="203"/>
      <c r="I92" s="203"/>
      <c r="J92" s="203"/>
      <c r="K92" s="203"/>
      <c r="L92" s="203"/>
      <c r="M92" s="203"/>
      <c r="N92" s="203"/>
      <c r="O92" s="203"/>
      <c r="P92" s="203"/>
      <c r="Q92" s="203"/>
      <c r="R92" s="203"/>
      <c r="S92" s="203"/>
      <c r="T92" s="203"/>
      <c r="U92" s="203"/>
      <c r="V92" s="203"/>
      <c r="W92" s="203"/>
      <c r="X92" s="203"/>
      <c r="Y92" s="203"/>
      <c r="Z92" s="203"/>
      <c r="AA92" s="203"/>
      <c r="AB92" s="203"/>
      <c r="AC92" s="203"/>
      <c r="AD92" s="203"/>
      <c r="AE92" s="203"/>
      <c r="AF92" s="203"/>
      <c r="AG92" s="203"/>
      <c r="AH92" s="203"/>
      <c r="AI92" s="203"/>
      <c r="AJ92" s="203"/>
      <c r="AK92" s="203"/>
      <c r="AL92" s="203"/>
      <c r="AM92" s="203"/>
      <c r="AN92" s="203"/>
      <c r="AO92" s="203"/>
      <c r="AP92" s="203"/>
      <c r="AQ92" s="203"/>
      <c r="AR92" s="203"/>
      <c r="AS92" s="203"/>
      <c r="AT92" s="203"/>
      <c r="AU92" s="203"/>
      <c r="AV92" s="203"/>
      <c r="AW92" s="203"/>
      <c r="AX92" s="203"/>
      <c r="AY92" s="203"/>
      <c r="AZ92" s="203"/>
      <c r="BA92" s="203"/>
      <c r="BB92" s="203"/>
      <c r="BC92" s="203"/>
      <c r="BD92" s="203"/>
      <c r="BE92" s="203"/>
      <c r="BF92" s="203"/>
      <c r="BG92" s="203"/>
      <c r="BH92" s="203"/>
      <c r="BI92" s="203"/>
      <c r="BJ92" s="204"/>
      <c r="BK92" s="158"/>
      <c r="BL92" s="158"/>
      <c r="BM92" s="173"/>
      <c r="BN92" s="158"/>
      <c r="BO92" s="158"/>
      <c r="BQ92" s="183"/>
      <c r="BR92" s="183"/>
      <c r="BS92" s="183"/>
      <c r="BT92" s="183"/>
      <c r="BU92" s="183"/>
      <c r="BV92" s="183"/>
      <c r="BW92" s="183"/>
      <c r="BX92" s="183"/>
      <c r="BY92" s="183"/>
      <c r="BZ92" s="183"/>
      <c r="CA92" s="183"/>
      <c r="CB92" s="183"/>
      <c r="CC92" s="183"/>
      <c r="CD92" s="183"/>
      <c r="CE92" s="183"/>
      <c r="CF92" s="183"/>
      <c r="CG92" s="183"/>
      <c r="CH92" s="183"/>
      <c r="CI92" s="183"/>
      <c r="CJ92" s="183"/>
      <c r="CK92" s="183"/>
      <c r="CL92" s="183"/>
      <c r="CM92" s="183"/>
      <c r="CN92" s="183"/>
      <c r="CO92" s="183"/>
      <c r="CP92" s="183"/>
      <c r="CQ92" s="183"/>
      <c r="CR92" s="183"/>
      <c r="CS92" s="183"/>
      <c r="CT92" s="183"/>
      <c r="CU92" s="183"/>
      <c r="CV92" s="183"/>
      <c r="CW92" s="183"/>
      <c r="CX92" s="183"/>
      <c r="CY92" s="183"/>
      <c r="CZ92" s="183"/>
      <c r="DA92" s="183"/>
      <c r="DB92" s="183"/>
      <c r="DC92" s="183"/>
      <c r="DD92" s="183"/>
      <c r="DE92" s="183"/>
      <c r="DF92" s="183"/>
      <c r="DG92" s="183"/>
      <c r="DH92" s="183"/>
      <c r="DI92" s="183"/>
      <c r="DJ92" s="183"/>
      <c r="DK92" s="183"/>
      <c r="DL92" s="183"/>
      <c r="DM92" s="183"/>
      <c r="DN92" s="183"/>
      <c r="DO92" s="183"/>
      <c r="DP92" s="183"/>
      <c r="DQ92" s="183"/>
      <c r="DR92" s="183"/>
      <c r="DS92" s="183"/>
      <c r="DT92" s="183"/>
      <c r="DU92" s="183"/>
      <c r="DV92" s="183"/>
      <c r="DW92" s="183"/>
      <c r="DX92" s="183"/>
      <c r="DY92" s="183"/>
      <c r="DZ92" s="183"/>
      <c r="EA92" s="183"/>
      <c r="EB92" s="183"/>
      <c r="ED92" s="158"/>
      <c r="EE92" s="158"/>
      <c r="EF92" s="158"/>
    </row>
    <row r="93" spans="1:136" x14ac:dyDescent="0.3">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8"/>
      <c r="AF93" s="158"/>
      <c r="AG93" s="158"/>
      <c r="AH93" s="158"/>
      <c r="AI93" s="158"/>
      <c r="AJ93" s="158"/>
      <c r="AK93" s="158"/>
      <c r="AL93" s="158"/>
      <c r="AM93" s="158"/>
      <c r="AN93" s="158"/>
      <c r="AO93" s="158"/>
      <c r="AP93" s="158"/>
      <c r="AQ93" s="158"/>
      <c r="AR93" s="158"/>
      <c r="AS93" s="158"/>
      <c r="AT93" s="158"/>
      <c r="AU93" s="158"/>
      <c r="AV93" s="158"/>
      <c r="AW93" s="158"/>
      <c r="AX93" s="158"/>
      <c r="AY93" s="158"/>
      <c r="AZ93" s="158"/>
      <c r="BA93" s="158"/>
      <c r="BB93" s="158"/>
      <c r="BC93" s="158"/>
      <c r="BD93" s="158"/>
      <c r="BE93" s="158"/>
      <c r="BF93" s="158"/>
      <c r="BG93" s="158"/>
      <c r="BH93" s="158"/>
      <c r="BI93" s="158"/>
      <c r="BJ93" s="158"/>
      <c r="BK93" s="158"/>
      <c r="BL93" s="158"/>
      <c r="BM93" s="173"/>
      <c r="BN93" s="158"/>
      <c r="BO93" s="158"/>
      <c r="BP93" s="158"/>
      <c r="BQ93" s="158"/>
      <c r="BR93" s="158"/>
      <c r="BS93" s="158"/>
      <c r="BT93" s="158"/>
      <c r="BU93" s="158"/>
      <c r="BV93" s="158"/>
      <c r="BW93" s="158"/>
      <c r="BX93" s="158"/>
      <c r="BY93" s="158"/>
      <c r="BZ93" s="158"/>
      <c r="CA93" s="158"/>
      <c r="CB93" s="158"/>
      <c r="CC93" s="158"/>
      <c r="CD93" s="158"/>
      <c r="CE93" s="158"/>
      <c r="CF93" s="158"/>
      <c r="CG93" s="158"/>
      <c r="CH93" s="158"/>
      <c r="CI93" s="158"/>
      <c r="CJ93" s="158"/>
      <c r="CK93" s="158"/>
      <c r="CL93" s="158"/>
      <c r="CM93" s="158"/>
      <c r="CN93" s="158"/>
      <c r="CO93" s="158"/>
      <c r="CP93" s="158"/>
      <c r="CQ93" s="158"/>
      <c r="CR93" s="158"/>
      <c r="CS93" s="158"/>
      <c r="CT93" s="158"/>
      <c r="CU93" s="158"/>
      <c r="CV93" s="158"/>
      <c r="CW93" s="158"/>
      <c r="CX93" s="158"/>
      <c r="CY93" s="158"/>
      <c r="CZ93" s="158"/>
      <c r="DA93" s="158"/>
      <c r="DB93" s="158"/>
      <c r="DC93" s="158"/>
      <c r="DD93" s="158"/>
      <c r="DE93" s="158"/>
      <c r="DF93" s="158"/>
      <c r="DG93" s="158"/>
      <c r="DH93" s="158"/>
      <c r="DI93" s="158"/>
      <c r="DJ93" s="158"/>
      <c r="DK93" s="158"/>
      <c r="DL93" s="158"/>
      <c r="DM93" s="158"/>
      <c r="DN93" s="158"/>
      <c r="DO93" s="158"/>
      <c r="DP93" s="158"/>
      <c r="DQ93" s="158"/>
      <c r="DR93" s="158"/>
      <c r="DS93" s="158"/>
      <c r="DT93" s="158"/>
      <c r="DU93" s="158"/>
      <c r="DV93" s="158"/>
      <c r="DW93" s="158"/>
      <c r="DX93" s="158"/>
      <c r="DY93" s="158"/>
      <c r="DZ93" s="158"/>
      <c r="EA93" s="158"/>
      <c r="EB93" s="158"/>
      <c r="EC93" s="158"/>
      <c r="ED93" s="158"/>
      <c r="EE93" s="158"/>
      <c r="EF93" s="158"/>
    </row>
    <row r="94" spans="1:136" hidden="1" x14ac:dyDescent="0.3">
      <c r="A94" s="158"/>
      <c r="B94" s="158"/>
      <c r="C94" s="187"/>
      <c r="D94" s="158"/>
      <c r="E94" s="158"/>
      <c r="F94" s="158"/>
      <c r="G94" s="158"/>
      <c r="H94" s="158"/>
      <c r="I94" s="158"/>
      <c r="J94" s="158"/>
      <c r="K94" s="158"/>
      <c r="L94" s="158"/>
      <c r="M94" s="158"/>
      <c r="N94" s="158"/>
      <c r="O94" s="158"/>
      <c r="P94" s="158"/>
      <c r="Q94" s="158"/>
      <c r="R94" s="158"/>
      <c r="S94" s="158"/>
      <c r="T94" s="158"/>
      <c r="U94" s="158"/>
      <c r="V94" s="158"/>
      <c r="W94" s="158"/>
      <c r="X94" s="158"/>
      <c r="Y94" s="158"/>
      <c r="Z94" s="158"/>
      <c r="AA94" s="158"/>
      <c r="AB94" s="158"/>
      <c r="AC94" s="158"/>
      <c r="AD94" s="158"/>
      <c r="AE94" s="158"/>
      <c r="AF94" s="158"/>
      <c r="AG94" s="158"/>
      <c r="AH94" s="158"/>
      <c r="AI94" s="158"/>
      <c r="AJ94" s="158"/>
      <c r="AK94" s="158"/>
      <c r="AL94" s="158"/>
      <c r="AM94" s="158"/>
      <c r="AN94" s="158"/>
      <c r="AO94" s="158"/>
      <c r="AP94" s="158"/>
      <c r="AQ94" s="158"/>
      <c r="AR94" s="158"/>
      <c r="AS94" s="158"/>
      <c r="AT94" s="158"/>
      <c r="AU94" s="158"/>
      <c r="AV94" s="158"/>
      <c r="AW94" s="158"/>
      <c r="AX94" s="158"/>
      <c r="AY94" s="158"/>
      <c r="AZ94" s="158"/>
      <c r="BA94" s="158"/>
      <c r="BB94" s="158"/>
      <c r="BC94" s="158"/>
      <c r="BD94" s="158"/>
      <c r="BE94" s="158"/>
      <c r="BF94" s="158"/>
      <c r="BG94" s="158"/>
      <c r="BH94" s="158"/>
      <c r="BI94" s="158"/>
      <c r="BJ94" s="187"/>
      <c r="BK94" s="158"/>
      <c r="BL94" s="158"/>
      <c r="BM94" s="173"/>
      <c r="BN94" s="158"/>
      <c r="BO94" s="158"/>
      <c r="BP94" s="187"/>
      <c r="BQ94" s="158"/>
      <c r="BR94" s="158"/>
      <c r="BS94" s="158"/>
      <c r="BT94" s="158"/>
      <c r="BU94" s="158"/>
      <c r="BV94" s="158"/>
      <c r="BW94" s="158"/>
      <c r="BX94" s="158"/>
      <c r="BY94" s="158"/>
      <c r="BZ94" s="158"/>
      <c r="CA94" s="158"/>
      <c r="CB94" s="158"/>
      <c r="CC94" s="158"/>
      <c r="CD94" s="158"/>
      <c r="CE94" s="158"/>
      <c r="CF94" s="158"/>
      <c r="CG94" s="158"/>
      <c r="CH94" s="158"/>
      <c r="CI94" s="158"/>
      <c r="CJ94" s="158"/>
      <c r="CK94" s="158"/>
      <c r="CL94" s="158"/>
      <c r="CM94" s="158"/>
      <c r="CN94" s="158"/>
      <c r="CO94" s="158"/>
      <c r="CP94" s="158"/>
      <c r="CQ94" s="158"/>
      <c r="CR94" s="158"/>
      <c r="CS94" s="158"/>
      <c r="CT94" s="158"/>
      <c r="CU94" s="158"/>
      <c r="CV94" s="158"/>
      <c r="CW94" s="158"/>
      <c r="CX94" s="158"/>
      <c r="CY94" s="158"/>
      <c r="CZ94" s="158"/>
      <c r="DA94" s="158"/>
      <c r="DB94" s="158"/>
      <c r="DC94" s="158"/>
      <c r="DD94" s="158"/>
      <c r="DE94" s="158"/>
      <c r="DF94" s="158"/>
      <c r="DG94" s="158"/>
      <c r="DH94" s="158"/>
      <c r="DI94" s="158"/>
      <c r="DJ94" s="158"/>
      <c r="DK94" s="158"/>
      <c r="DL94" s="158"/>
      <c r="DM94" s="158"/>
      <c r="DN94" s="158"/>
      <c r="DO94" s="158"/>
      <c r="DP94" s="158"/>
      <c r="DQ94" s="158"/>
      <c r="DR94" s="158"/>
      <c r="DS94" s="158"/>
      <c r="DT94" s="158"/>
      <c r="DU94" s="158"/>
      <c r="DV94" s="158"/>
      <c r="DW94" s="158"/>
      <c r="DX94" s="158"/>
      <c r="DY94" s="158"/>
      <c r="DZ94" s="158"/>
      <c r="EA94" s="158"/>
      <c r="EB94" s="158"/>
      <c r="EC94" s="187"/>
      <c r="ED94" s="158"/>
      <c r="EE94" s="158"/>
      <c r="EF94" s="158"/>
    </row>
    <row r="95" spans="1:136" hidden="1" x14ac:dyDescent="0.3">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8"/>
      <c r="AF95" s="158"/>
      <c r="AG95" s="158"/>
      <c r="AH95" s="158"/>
      <c r="AI95" s="158"/>
      <c r="AJ95" s="158"/>
      <c r="AK95" s="158"/>
      <c r="AL95" s="158"/>
      <c r="AM95" s="158"/>
      <c r="AN95" s="158"/>
      <c r="AO95" s="158"/>
      <c r="AP95" s="158"/>
      <c r="AQ95" s="158"/>
      <c r="AR95" s="158"/>
      <c r="AS95" s="158"/>
      <c r="AT95" s="158"/>
      <c r="AU95" s="158"/>
      <c r="AV95" s="158"/>
      <c r="AW95" s="158"/>
      <c r="AX95" s="158"/>
      <c r="AY95" s="158"/>
      <c r="AZ95" s="158"/>
      <c r="BA95" s="158"/>
      <c r="BB95" s="158"/>
      <c r="BC95" s="158"/>
      <c r="BD95" s="158"/>
      <c r="BE95" s="158"/>
      <c r="BF95" s="158"/>
      <c r="BG95" s="158"/>
      <c r="BH95" s="158"/>
      <c r="BI95" s="158"/>
      <c r="BJ95" s="187"/>
      <c r="BK95" s="158"/>
      <c r="BL95" s="158"/>
      <c r="BM95" s="173"/>
      <c r="BN95" s="158"/>
      <c r="BO95" s="158"/>
      <c r="BP95" s="158"/>
      <c r="BQ95" s="158"/>
      <c r="BR95" s="158"/>
      <c r="BS95" s="158"/>
      <c r="BT95" s="158"/>
      <c r="BU95" s="158"/>
      <c r="BV95" s="158"/>
      <c r="BW95" s="158"/>
      <c r="BX95" s="158"/>
      <c r="BY95" s="158"/>
      <c r="BZ95" s="158"/>
      <c r="CA95" s="158"/>
      <c r="CB95" s="158"/>
      <c r="CC95" s="158"/>
      <c r="CD95" s="158"/>
      <c r="CE95" s="158"/>
      <c r="CF95" s="158"/>
      <c r="CG95" s="158"/>
      <c r="CH95" s="158"/>
      <c r="CI95" s="158"/>
      <c r="CJ95" s="158"/>
      <c r="CK95" s="158"/>
      <c r="CL95" s="158"/>
      <c r="CM95" s="158"/>
      <c r="CN95" s="158"/>
      <c r="CO95" s="158"/>
      <c r="CP95" s="158"/>
      <c r="CQ95" s="158"/>
      <c r="CR95" s="158"/>
      <c r="CS95" s="158"/>
      <c r="CT95" s="158"/>
      <c r="CU95" s="158"/>
      <c r="CV95" s="158"/>
      <c r="CW95" s="158"/>
      <c r="CX95" s="158"/>
      <c r="CY95" s="158"/>
      <c r="CZ95" s="158"/>
      <c r="DA95" s="158"/>
      <c r="DB95" s="158"/>
      <c r="DC95" s="158"/>
      <c r="DD95" s="158"/>
      <c r="DE95" s="158"/>
      <c r="DF95" s="158"/>
      <c r="DG95" s="158"/>
      <c r="DH95" s="158"/>
      <c r="DI95" s="158"/>
      <c r="DJ95" s="158"/>
      <c r="DK95" s="158"/>
      <c r="DL95" s="158"/>
      <c r="DM95" s="158"/>
      <c r="DN95" s="158"/>
      <c r="DO95" s="158"/>
      <c r="DP95" s="158"/>
      <c r="DQ95" s="158"/>
      <c r="DR95" s="158"/>
      <c r="DS95" s="158"/>
      <c r="DT95" s="158"/>
      <c r="DU95" s="158"/>
      <c r="DV95" s="158"/>
      <c r="DW95" s="158"/>
      <c r="DX95" s="158"/>
      <c r="DY95" s="158"/>
      <c r="DZ95" s="158"/>
      <c r="EA95" s="158"/>
      <c r="EB95" s="158"/>
      <c r="EC95" s="187"/>
      <c r="ED95" s="158"/>
      <c r="EE95" s="158"/>
      <c r="EF95" s="158"/>
    </row>
    <row r="97" spans="4:61" hidden="1" x14ac:dyDescent="0.3">
      <c r="AY97" s="2"/>
      <c r="AZ97" s="2"/>
    </row>
    <row r="98" spans="4:61" hidden="1" x14ac:dyDescent="0.3">
      <c r="AY98" s="191"/>
      <c r="AZ98" s="191"/>
    </row>
    <row r="99" spans="4:61" hidden="1" x14ac:dyDescent="0.3">
      <c r="D99" s="113"/>
      <c r="AC99" s="113"/>
      <c r="AD99" s="113"/>
      <c r="AE99" s="113"/>
      <c r="AF99" s="113"/>
      <c r="AG99" s="113"/>
      <c r="AH99" s="113"/>
      <c r="AI99" s="113"/>
      <c r="AJ99" s="113"/>
      <c r="AK99" s="113"/>
      <c r="AL99" s="113"/>
      <c r="AM99" s="113"/>
      <c r="AN99" s="113"/>
      <c r="AO99" s="113"/>
      <c r="BA99" s="113"/>
      <c r="BB99" s="113"/>
      <c r="BC99" s="113"/>
      <c r="BD99" s="113"/>
      <c r="BE99" s="113"/>
      <c r="BF99" s="113"/>
      <c r="BG99" s="113"/>
      <c r="BH99" s="113"/>
      <c r="BI99" s="113"/>
    </row>
    <row r="100" spans="4:61" hidden="1" x14ac:dyDescent="0.3">
      <c r="BI100" s="113"/>
    </row>
    <row r="104" spans="4:61" hidden="1" x14ac:dyDescent="0.3">
      <c r="D104" s="149"/>
      <c r="M104" s="149"/>
      <c r="U104" s="149"/>
      <c r="V104" s="149"/>
      <c r="W104" s="149"/>
      <c r="X104" s="149"/>
      <c r="Y104" s="149"/>
      <c r="Z104" s="149"/>
      <c r="AA104" s="149"/>
      <c r="AI104" s="149"/>
      <c r="AJ104" s="149"/>
      <c r="AK104" s="149"/>
      <c r="AL104" s="149"/>
      <c r="AM104" s="149"/>
      <c r="AN104" s="149"/>
      <c r="AO104" s="149"/>
      <c r="AP104" s="149"/>
      <c r="AQ104" s="149"/>
      <c r="AR104" s="149"/>
      <c r="BA104" s="149"/>
      <c r="BB104" s="149"/>
      <c r="BC104" s="149"/>
      <c r="BD104" s="149"/>
      <c r="BE104" s="149"/>
      <c r="BF104" s="149"/>
      <c r="BG104" s="149"/>
      <c r="BH104" s="149"/>
      <c r="BI104" s="149"/>
    </row>
  </sheetData>
  <sheetProtection algorithmName="SHA-512" hashValue="/JiV7P2xwqpRHScgJiHnl1Lg+kNAAqOv1/l8GC6y2OLhVgazzdEdABvI25A1g+ZyxeUeUxvtv9sma5D1khV6VQ==" saltValue="T2jjsCzEeL21HTgJoqRtXg==" spinCount="100000" sheet="1" objects="1" scenarios="1"/>
  <mergeCells count="376">
    <mergeCell ref="BP6:EC6"/>
    <mergeCell ref="J30:X30"/>
    <mergeCell ref="J29:X29"/>
    <mergeCell ref="E22:N22"/>
    <mergeCell ref="E21:N21"/>
    <mergeCell ref="AO13:AW13"/>
    <mergeCell ref="AO12:AW12"/>
    <mergeCell ref="AG13:AM13"/>
    <mergeCell ref="AG12:AM12"/>
    <mergeCell ref="BU30:CG30"/>
    <mergeCell ref="CZ30:DC30"/>
    <mergeCell ref="DE30:DH30"/>
    <mergeCell ref="DJ30:DO30"/>
    <mergeCell ref="DQ30:DT30"/>
    <mergeCell ref="DV30:EA30"/>
    <mergeCell ref="AH30:AK30"/>
    <mergeCell ref="AM30:AP30"/>
    <mergeCell ref="AR30:AW30"/>
    <mergeCell ref="AY30:BB30"/>
    <mergeCell ref="BD30:BH30"/>
    <mergeCell ref="BU29:CG29"/>
    <mergeCell ref="CZ29:DC29"/>
    <mergeCell ref="DE29:DH29"/>
    <mergeCell ref="DJ29:DO29"/>
    <mergeCell ref="I85:Q85"/>
    <mergeCell ref="I86:P86"/>
    <mergeCell ref="DQ87:DY87"/>
    <mergeCell ref="BT88:CS88"/>
    <mergeCell ref="DQ88:DY88"/>
    <mergeCell ref="D91:BI91"/>
    <mergeCell ref="BQ91:EB91"/>
    <mergeCell ref="BT83:BZ83"/>
    <mergeCell ref="CC83:CF83"/>
    <mergeCell ref="CI83:CM83"/>
    <mergeCell ref="CQ83:CU83"/>
    <mergeCell ref="CY83:DD83"/>
    <mergeCell ref="BT84:BZ84"/>
    <mergeCell ref="CC84:CF84"/>
    <mergeCell ref="CI84:CM84"/>
    <mergeCell ref="CQ84:CU84"/>
    <mergeCell ref="CY84:DD84"/>
    <mergeCell ref="BR81:BZ81"/>
    <mergeCell ref="CA81:CI81"/>
    <mergeCell ref="CJ81:CR81"/>
    <mergeCell ref="DA81:DI81"/>
    <mergeCell ref="DJ81:DR81"/>
    <mergeCell ref="DS81:EA81"/>
    <mergeCell ref="E81:M81"/>
    <mergeCell ref="N81:U81"/>
    <mergeCell ref="V81:AB81"/>
    <mergeCell ref="AH81:AP81"/>
    <mergeCell ref="AQ81:AY81"/>
    <mergeCell ref="AZ81:BH81"/>
    <mergeCell ref="BR80:BZ80"/>
    <mergeCell ref="CA80:CI80"/>
    <mergeCell ref="CJ80:CR80"/>
    <mergeCell ref="DA80:DI80"/>
    <mergeCell ref="DJ80:DR80"/>
    <mergeCell ref="DS80:EA80"/>
    <mergeCell ref="E80:M80"/>
    <mergeCell ref="N80:U80"/>
    <mergeCell ref="V80:AB80"/>
    <mergeCell ref="AH80:AP80"/>
    <mergeCell ref="AQ80:AY80"/>
    <mergeCell ref="AZ80:BH80"/>
    <mergeCell ref="E78:AB78"/>
    <mergeCell ref="AH78:BH78"/>
    <mergeCell ref="BR78:CR78"/>
    <mergeCell ref="DA78:EA78"/>
    <mergeCell ref="E79:AB79"/>
    <mergeCell ref="AH79:BH79"/>
    <mergeCell ref="BR79:CR79"/>
    <mergeCell ref="DA79:EA79"/>
    <mergeCell ref="BR76:BZ76"/>
    <mergeCell ref="CA76:CI76"/>
    <mergeCell ref="CJ76:CR76"/>
    <mergeCell ref="DA76:DI76"/>
    <mergeCell ref="DJ76:DR76"/>
    <mergeCell ref="DS76:EA76"/>
    <mergeCell ref="E76:M76"/>
    <mergeCell ref="N76:U76"/>
    <mergeCell ref="V76:AB76"/>
    <mergeCell ref="AH76:AP76"/>
    <mergeCell ref="AQ76:AY76"/>
    <mergeCell ref="AZ76:BH76"/>
    <mergeCell ref="BR75:BZ75"/>
    <mergeCell ref="CA75:CI75"/>
    <mergeCell ref="CJ75:CR75"/>
    <mergeCell ref="DA75:DI75"/>
    <mergeCell ref="DJ75:DR75"/>
    <mergeCell ref="DS75:EA75"/>
    <mergeCell ref="E75:M75"/>
    <mergeCell ref="N75:U75"/>
    <mergeCell ref="V75:AB75"/>
    <mergeCell ref="AH75:AP75"/>
    <mergeCell ref="AQ75:AY75"/>
    <mergeCell ref="AZ75:BH75"/>
    <mergeCell ref="E72:O72"/>
    <mergeCell ref="S72:AB72"/>
    <mergeCell ref="AH72:AL72"/>
    <mergeCell ref="AO72:AU72"/>
    <mergeCell ref="AX72:BB72"/>
    <mergeCell ref="BD72:BH72"/>
    <mergeCell ref="AM73:AW73"/>
    <mergeCell ref="DF73:DP73"/>
    <mergeCell ref="E74:AB74"/>
    <mergeCell ref="AH74:BH74"/>
    <mergeCell ref="BR74:CR74"/>
    <mergeCell ref="DA74:EA74"/>
    <mergeCell ref="BR72:CB72"/>
    <mergeCell ref="CG72:CR72"/>
    <mergeCell ref="DA72:DE72"/>
    <mergeCell ref="DH72:DN72"/>
    <mergeCell ref="DQ72:DU72"/>
    <mergeCell ref="DW72:EA72"/>
    <mergeCell ref="D69:BI69"/>
    <mergeCell ref="BQ69:EB69"/>
    <mergeCell ref="E71:O71"/>
    <mergeCell ref="S71:AB71"/>
    <mergeCell ref="AH71:AL71"/>
    <mergeCell ref="AO71:AU71"/>
    <mergeCell ref="AX71:BB71"/>
    <mergeCell ref="BD71:BH71"/>
    <mergeCell ref="BR71:CB71"/>
    <mergeCell ref="CG71:CR71"/>
    <mergeCell ref="DA71:DE71"/>
    <mergeCell ref="DH71:DN71"/>
    <mergeCell ref="DQ71:DU71"/>
    <mergeCell ref="DW71:EA71"/>
    <mergeCell ref="DO63:DU63"/>
    <mergeCell ref="H64:N64"/>
    <mergeCell ref="BS65:CX65"/>
    <mergeCell ref="DO65:DU65"/>
    <mergeCell ref="DO66:DU66"/>
    <mergeCell ref="BS62:BV62"/>
    <mergeCell ref="BY62:CB62"/>
    <mergeCell ref="CE62:CH62"/>
    <mergeCell ref="CK62:CN62"/>
    <mergeCell ref="DO62:DU62"/>
    <mergeCell ref="H63:N63"/>
    <mergeCell ref="BS63:BV63"/>
    <mergeCell ref="BY63:CB63"/>
    <mergeCell ref="CE63:CH63"/>
    <mergeCell ref="CK63:CN63"/>
    <mergeCell ref="BS66:DF66"/>
    <mergeCell ref="CU63:CZ63"/>
    <mergeCell ref="CU62:CZ62"/>
    <mergeCell ref="BR60:BZ60"/>
    <mergeCell ref="CA60:CI60"/>
    <mergeCell ref="CJ60:CR60"/>
    <mergeCell ref="DA60:DI60"/>
    <mergeCell ref="DJ60:DR60"/>
    <mergeCell ref="DS60:EA60"/>
    <mergeCell ref="E60:M60"/>
    <mergeCell ref="N60:U60"/>
    <mergeCell ref="V60:AB60"/>
    <mergeCell ref="AH60:AP60"/>
    <mergeCell ref="AQ60:AY60"/>
    <mergeCell ref="AZ60:BH60"/>
    <mergeCell ref="BR59:BZ59"/>
    <mergeCell ref="CA59:CI59"/>
    <mergeCell ref="CJ59:CR59"/>
    <mergeCell ref="DA59:DI59"/>
    <mergeCell ref="DJ59:DR59"/>
    <mergeCell ref="DS59:EA59"/>
    <mergeCell ref="E59:M59"/>
    <mergeCell ref="N59:U59"/>
    <mergeCell ref="V59:AB59"/>
    <mergeCell ref="AH59:AP59"/>
    <mergeCell ref="AQ59:AY59"/>
    <mergeCell ref="AZ59:BH59"/>
    <mergeCell ref="E57:AB57"/>
    <mergeCell ref="AH57:BH57"/>
    <mergeCell ref="BR57:CR57"/>
    <mergeCell ref="DA57:EA57"/>
    <mergeCell ref="E58:AB58"/>
    <mergeCell ref="AH58:BH58"/>
    <mergeCell ref="BR58:CR58"/>
    <mergeCell ref="DA58:EA58"/>
    <mergeCell ref="BR55:BZ55"/>
    <mergeCell ref="CA55:CI55"/>
    <mergeCell ref="CJ55:CR55"/>
    <mergeCell ref="DA55:DI55"/>
    <mergeCell ref="DJ55:DR55"/>
    <mergeCell ref="DS55:EA55"/>
    <mergeCell ref="E55:M55"/>
    <mergeCell ref="N55:U55"/>
    <mergeCell ref="V55:AB55"/>
    <mergeCell ref="AH55:AP55"/>
    <mergeCell ref="AQ55:AY55"/>
    <mergeCell ref="AZ55:BH55"/>
    <mergeCell ref="BR54:BZ54"/>
    <mergeCell ref="CA54:CI54"/>
    <mergeCell ref="CJ54:CR54"/>
    <mergeCell ref="DA54:DI54"/>
    <mergeCell ref="DJ54:DR54"/>
    <mergeCell ref="DS54:EA54"/>
    <mergeCell ref="E54:M54"/>
    <mergeCell ref="N54:U54"/>
    <mergeCell ref="V54:AB54"/>
    <mergeCell ref="AH54:AP54"/>
    <mergeCell ref="AQ54:AY54"/>
    <mergeCell ref="AZ54:BH54"/>
    <mergeCell ref="DQ51:DU51"/>
    <mergeCell ref="DW51:EA51"/>
    <mergeCell ref="E53:AB53"/>
    <mergeCell ref="AH53:BH53"/>
    <mergeCell ref="BR53:CR53"/>
    <mergeCell ref="DA53:EA53"/>
    <mergeCell ref="E51:O51"/>
    <mergeCell ref="R51:AB51"/>
    <mergeCell ref="AX51:BB51"/>
    <mergeCell ref="BD51:BH51"/>
    <mergeCell ref="BR51:CB51"/>
    <mergeCell ref="CF51:CR51"/>
    <mergeCell ref="D48:BI48"/>
    <mergeCell ref="BQ48:EB48"/>
    <mergeCell ref="E50:O50"/>
    <mergeCell ref="R50:AB50"/>
    <mergeCell ref="AX50:BB50"/>
    <mergeCell ref="BD50:BH50"/>
    <mergeCell ref="BR50:CB50"/>
    <mergeCell ref="CF50:CR50"/>
    <mergeCell ref="DQ50:DU50"/>
    <mergeCell ref="DW50:EA50"/>
    <mergeCell ref="BR39:BY39"/>
    <mergeCell ref="BZ39:CI39"/>
    <mergeCell ref="CJ39:CR39"/>
    <mergeCell ref="DA39:DI39"/>
    <mergeCell ref="DJ39:DR39"/>
    <mergeCell ref="DS39:EA39"/>
    <mergeCell ref="E39:M39"/>
    <mergeCell ref="N39:U39"/>
    <mergeCell ref="V39:AB39"/>
    <mergeCell ref="AH39:AP39"/>
    <mergeCell ref="AQ39:AY39"/>
    <mergeCell ref="AZ39:BH39"/>
    <mergeCell ref="BR38:BY38"/>
    <mergeCell ref="BZ38:CI38"/>
    <mergeCell ref="CJ38:CR38"/>
    <mergeCell ref="DA38:DI38"/>
    <mergeCell ref="DJ38:DR38"/>
    <mergeCell ref="DS38:EA38"/>
    <mergeCell ref="E38:M38"/>
    <mergeCell ref="N38:U38"/>
    <mergeCell ref="V38:AB38"/>
    <mergeCell ref="AH38:AP38"/>
    <mergeCell ref="AQ38:AY38"/>
    <mergeCell ref="AZ38:BH38"/>
    <mergeCell ref="E36:AB36"/>
    <mergeCell ref="AH36:BH36"/>
    <mergeCell ref="BR36:CR36"/>
    <mergeCell ref="DA36:EA36"/>
    <mergeCell ref="AH37:BH37"/>
    <mergeCell ref="BR37:CR37"/>
    <mergeCell ref="DA37:EA37"/>
    <mergeCell ref="BR34:BY34"/>
    <mergeCell ref="BZ34:CI34"/>
    <mergeCell ref="CJ34:CR34"/>
    <mergeCell ref="DA34:DI34"/>
    <mergeCell ref="DJ34:DR34"/>
    <mergeCell ref="DS34:EA34"/>
    <mergeCell ref="E34:M34"/>
    <mergeCell ref="N34:U34"/>
    <mergeCell ref="V34:AB34"/>
    <mergeCell ref="AH34:AP34"/>
    <mergeCell ref="AQ34:AY34"/>
    <mergeCell ref="AZ34:BH34"/>
    <mergeCell ref="AQ35:AY35"/>
    <mergeCell ref="BR33:BY33"/>
    <mergeCell ref="BZ33:CI33"/>
    <mergeCell ref="CJ33:CR33"/>
    <mergeCell ref="DA33:DI33"/>
    <mergeCell ref="DJ33:DR33"/>
    <mergeCell ref="DS33:EA33"/>
    <mergeCell ref="E32:AB32"/>
    <mergeCell ref="AH32:BH32"/>
    <mergeCell ref="BR32:CR32"/>
    <mergeCell ref="DA32:EA32"/>
    <mergeCell ref="E33:M33"/>
    <mergeCell ref="N33:U33"/>
    <mergeCell ref="V33:AB33"/>
    <mergeCell ref="AH33:AP33"/>
    <mergeCell ref="AQ33:AY33"/>
    <mergeCell ref="AZ33:BH33"/>
    <mergeCell ref="DQ29:DT29"/>
    <mergeCell ref="DV29:EA29"/>
    <mergeCell ref="C25:BJ25"/>
    <mergeCell ref="BP25:EC25"/>
    <mergeCell ref="D27:BI27"/>
    <mergeCell ref="BQ27:EB27"/>
    <mergeCell ref="AH29:AK29"/>
    <mergeCell ref="AM29:AP29"/>
    <mergeCell ref="AR29:AW29"/>
    <mergeCell ref="AY29:BB29"/>
    <mergeCell ref="BD29:BH29"/>
    <mergeCell ref="CX19:DF19"/>
    <mergeCell ref="DH19:DP19"/>
    <mergeCell ref="AG18:AM18"/>
    <mergeCell ref="AO18:AW18"/>
    <mergeCell ref="AY18:BG18"/>
    <mergeCell ref="AG19:AM19"/>
    <mergeCell ref="AO19:AW19"/>
    <mergeCell ref="AY19:BG19"/>
    <mergeCell ref="E19:N19"/>
    <mergeCell ref="E18:N18"/>
    <mergeCell ref="CX18:DF18"/>
    <mergeCell ref="DH18:DP18"/>
    <mergeCell ref="CG10:CQ10"/>
    <mergeCell ref="BR13:BZ13"/>
    <mergeCell ref="CX16:DF16"/>
    <mergeCell ref="CX13:DF13"/>
    <mergeCell ref="E13:N13"/>
    <mergeCell ref="S13:AA13"/>
    <mergeCell ref="BR10:BZ10"/>
    <mergeCell ref="CG13:CQ13"/>
    <mergeCell ref="DH13:DP13"/>
    <mergeCell ref="DH10:DP10"/>
    <mergeCell ref="CX10:DF10"/>
    <mergeCell ref="BR16:BZ16"/>
    <mergeCell ref="CG16:CQ16"/>
    <mergeCell ref="DH16:DP16"/>
    <mergeCell ref="S15:AA15"/>
    <mergeCell ref="AG15:AM15"/>
    <mergeCell ref="AO15:AW15"/>
    <mergeCell ref="BR15:BZ15"/>
    <mergeCell ref="CG15:CQ15"/>
    <mergeCell ref="E16:N16"/>
    <mergeCell ref="DR12:DZ12"/>
    <mergeCell ref="DR10:DZ10"/>
    <mergeCell ref="E12:N12"/>
    <mergeCell ref="S16:AA16"/>
    <mergeCell ref="AG16:AM16"/>
    <mergeCell ref="AO16:AW16"/>
    <mergeCell ref="BR19:BZ19"/>
    <mergeCell ref="CX12:DF12"/>
    <mergeCell ref="M2:Y2"/>
    <mergeCell ref="C3:L3"/>
    <mergeCell ref="M3:Y3"/>
    <mergeCell ref="BP3:BV3"/>
    <mergeCell ref="C5:BJ5"/>
    <mergeCell ref="BP5:EC5"/>
    <mergeCell ref="S12:AA12"/>
    <mergeCell ref="BR9:BZ9"/>
    <mergeCell ref="CG12:CQ12"/>
    <mergeCell ref="DH12:DP12"/>
    <mergeCell ref="CX9:DF9"/>
    <mergeCell ref="DH9:DP9"/>
    <mergeCell ref="DR9:DZ9"/>
    <mergeCell ref="E10:N10"/>
    <mergeCell ref="S10:AA10"/>
    <mergeCell ref="AG10:AW10"/>
    <mergeCell ref="DR18:DZ18"/>
    <mergeCell ref="E9:N9"/>
    <mergeCell ref="S9:AA9"/>
    <mergeCell ref="AG9:AW9"/>
    <mergeCell ref="CG9:CQ9"/>
    <mergeCell ref="DT42:DZ42"/>
    <mergeCell ref="DJ35:DR35"/>
    <mergeCell ref="E7:N7"/>
    <mergeCell ref="S7:AA7"/>
    <mergeCell ref="AF7:BH7"/>
    <mergeCell ref="BQ7:CA7"/>
    <mergeCell ref="CG7:CQ7"/>
    <mergeCell ref="CW7:EA7"/>
    <mergeCell ref="AY10:BG10"/>
    <mergeCell ref="BR18:BZ18"/>
    <mergeCell ref="AY13:BG13"/>
    <mergeCell ref="DR13:DZ13"/>
    <mergeCell ref="DR19:DZ19"/>
    <mergeCell ref="E15:N15"/>
    <mergeCell ref="AY9:BG9"/>
    <mergeCell ref="AY12:BG12"/>
    <mergeCell ref="BR12:BZ12"/>
    <mergeCell ref="CX15:DF15"/>
    <mergeCell ref="DH15:DP15"/>
  </mergeCells>
  <conditionalFormatting sqref="D28:BI28 D29:J30 Y29:BI30 D31:BI34 D35:AQ35 AZ35:BI35 D36:BI47">
    <cfRule type="expression" dxfId="73" priority="8">
      <formula>$F$42="FALSE"</formula>
    </cfRule>
  </conditionalFormatting>
  <conditionalFormatting sqref="D28:BI34 D35:AQ35 AZ35:BI35 D36:BI47 D49:BI68 D70:BI91">
    <cfRule type="expression" dxfId="72" priority="1">
      <formula>$M$3=""</formula>
    </cfRule>
  </conditionalFormatting>
  <conditionalFormatting sqref="D49:BI68">
    <cfRule type="expression" dxfId="71" priority="28">
      <formula>$H$64=FALSE</formula>
    </cfRule>
  </conditionalFormatting>
  <conditionalFormatting sqref="D70:BI91">
    <cfRule type="expression" dxfId="70" priority="27">
      <formula>$I$86=FALSE</formula>
    </cfRule>
  </conditionalFormatting>
  <conditionalFormatting sqref="M3:Y3">
    <cfRule type="expression" dxfId="69" priority="2">
      <formula>$M$3=""</formula>
    </cfRule>
  </conditionalFormatting>
  <conditionalFormatting sqref="V39:AB39">
    <cfRule type="cellIs" dxfId="68" priority="47" operator="greaterThan">
      <formula>$V$34</formula>
    </cfRule>
    <cfRule type="cellIs" dxfId="67" priority="48" operator="lessThanOrEqual">
      <formula>$V$34</formula>
    </cfRule>
  </conditionalFormatting>
  <conditionalFormatting sqref="V60:AB60">
    <cfRule type="expression" dxfId="66" priority="61">
      <formula>$V$60&lt;=$V$55</formula>
    </cfRule>
    <cfRule type="cellIs" dxfId="65" priority="62" operator="greaterThan">
      <formula>$V$55</formula>
    </cfRule>
  </conditionalFormatting>
  <conditionalFormatting sqref="V81:AB81">
    <cfRule type="cellIs" dxfId="64" priority="59" operator="greaterThan">
      <formula>$V$76</formula>
    </cfRule>
    <cfRule type="expression" dxfId="63" priority="60">
      <formula>$V$81&lt;$V$76</formula>
    </cfRule>
  </conditionalFormatting>
  <conditionalFormatting sqref="AH60:AP60">
    <cfRule type="expression" dxfId="62" priority="67">
      <formula>$AH$60&lt;=$AH$55</formula>
    </cfRule>
    <cfRule type="cellIs" dxfId="61" priority="68" operator="greaterThan">
      <formula>$AH$55</formula>
    </cfRule>
  </conditionalFormatting>
  <conditionalFormatting sqref="AH81:AP81">
    <cfRule type="expression" dxfId="60" priority="57">
      <formula>$AH$81&lt;=$AH$76</formula>
    </cfRule>
    <cfRule type="cellIs" dxfId="59" priority="58" operator="greaterThan">
      <formula>$AH$76</formula>
    </cfRule>
  </conditionalFormatting>
  <conditionalFormatting sqref="AM73:AW73">
    <cfRule type="expression" dxfId="58" priority="3">
      <formula>$DQ$88=FALSE</formula>
    </cfRule>
  </conditionalFormatting>
  <conditionalFormatting sqref="AQ60">
    <cfRule type="expression" dxfId="57" priority="66">
      <formula>$AQ$60&lt;=$AQ$55</formula>
    </cfRule>
  </conditionalFormatting>
  <conditionalFormatting sqref="AQ81">
    <cfRule type="expression" dxfId="56" priority="56">
      <formula>$AQ$81&lt;=$AQ$76</formula>
    </cfRule>
  </conditionalFormatting>
  <conditionalFormatting sqref="AQ35:AY35">
    <cfRule type="containsText" dxfId="55" priority="26" operator="containsText" text="Low FICO impacting LTC">
      <formula>NOT(ISERROR(SEARCH("Low FICO impacting LTC",AQ35)))</formula>
    </cfRule>
  </conditionalFormatting>
  <conditionalFormatting sqref="AQ39:AY39">
    <cfRule type="cellIs" dxfId="54" priority="49" operator="greaterThan">
      <formula>$AQ$34</formula>
    </cfRule>
    <cfRule type="cellIs" dxfId="53" priority="50" operator="lessThanOrEqual">
      <formula>$AQ$34</formula>
    </cfRule>
  </conditionalFormatting>
  <conditionalFormatting sqref="AQ60:AY60">
    <cfRule type="cellIs" dxfId="52" priority="64" operator="greaterThan">
      <formula>$AQ$55</formula>
    </cfRule>
  </conditionalFormatting>
  <conditionalFormatting sqref="AQ81:AY81">
    <cfRule type="cellIs" dxfId="51" priority="54" operator="greaterThan">
      <formula>$AQ$76</formula>
    </cfRule>
  </conditionalFormatting>
  <conditionalFormatting sqref="AZ60">
    <cfRule type="expression" dxfId="50" priority="65">
      <formula>$AZ$60&lt;=$AZ$55</formula>
    </cfRule>
  </conditionalFormatting>
  <conditionalFormatting sqref="AZ81">
    <cfRule type="expression" dxfId="49" priority="55">
      <formula>$AZ$81&lt;=$AZ$76</formula>
    </cfRule>
  </conditionalFormatting>
  <conditionalFormatting sqref="AZ39:BH39">
    <cfRule type="cellIs" dxfId="48" priority="51" operator="greaterThan">
      <formula>$AZ$34</formula>
    </cfRule>
    <cfRule type="cellIs" dxfId="47" priority="52" operator="lessThanOrEqual">
      <formula>$AZ$34</formula>
    </cfRule>
  </conditionalFormatting>
  <conditionalFormatting sqref="AZ60:BH60">
    <cfRule type="cellIs" dxfId="46" priority="63" operator="greaterThan">
      <formula>$AZ$55</formula>
    </cfRule>
  </conditionalFormatting>
  <conditionalFormatting sqref="AZ81:BH81">
    <cfRule type="cellIs" dxfId="45" priority="53" operator="greaterThan">
      <formula>$AZ$76</formula>
    </cfRule>
  </conditionalFormatting>
  <conditionalFormatting sqref="BP6:EC6">
    <cfRule type="expression" dxfId="44" priority="4">
      <formula>$DO$63=TRUE</formula>
    </cfRule>
  </conditionalFormatting>
  <conditionalFormatting sqref="BQ28:EB34 BQ35:DJ35 DS35:EB35 BQ36:EB41 BQ42:DT42 EA42:EB42 BQ43:EB47">
    <cfRule type="expression" dxfId="43" priority="5" stopIfTrue="1">
      <formula>$DT$42="FALSE"</formula>
    </cfRule>
  </conditionalFormatting>
  <conditionalFormatting sqref="BQ49:EB61 BQ62:CU63 DA62:DO63 DV62:EB63 BQ64:EB65 BQ66:BS66 DG66:EB66 BQ67:EB68">
    <cfRule type="expression" dxfId="42" priority="29">
      <formula>$DO$66=FALSE</formula>
    </cfRule>
  </conditionalFormatting>
  <conditionalFormatting sqref="BQ70:EB90 BQ91">
    <cfRule type="expression" dxfId="41" priority="30">
      <formula>$DQ$88=FALSE</formula>
    </cfRule>
  </conditionalFormatting>
  <conditionalFormatting sqref="BR10:BZ10">
    <cfRule type="expression" dxfId="40" priority="23">
      <formula>$BR$10=""</formula>
    </cfRule>
  </conditionalFormatting>
  <conditionalFormatting sqref="BR13:BZ13">
    <cfRule type="expression" dxfId="39" priority="22">
      <formula>$BR$13=""</formula>
    </cfRule>
  </conditionalFormatting>
  <conditionalFormatting sqref="BR16:BZ16 BR20:BZ22">
    <cfRule type="expression" dxfId="38" priority="76">
      <formula>$BR$16=""</formula>
    </cfRule>
  </conditionalFormatting>
  <conditionalFormatting sqref="BR19:BZ19">
    <cfRule type="expression" dxfId="37" priority="6">
      <formula>$BR$19=""</formula>
    </cfRule>
    <cfRule type="expression" dxfId="36" priority="7">
      <formula>$DR$10=""</formula>
    </cfRule>
  </conditionalFormatting>
  <conditionalFormatting sqref="CG16 DR20:DZ22">
    <cfRule type="expression" dxfId="35" priority="75">
      <formula>$CG$16=""</formula>
    </cfRule>
  </conditionalFormatting>
  <conditionalFormatting sqref="CG10:CQ10">
    <cfRule type="expression" dxfId="34" priority="20">
      <formula>$CG$10=""</formula>
    </cfRule>
  </conditionalFormatting>
  <conditionalFormatting sqref="CG13:CQ13">
    <cfRule type="expression" dxfId="33" priority="19">
      <formula>$CG$13=""</formula>
    </cfRule>
  </conditionalFormatting>
  <conditionalFormatting sqref="CJ39">
    <cfRule type="cellIs" dxfId="32" priority="69" operator="greaterThan">
      <formula>$CJ$34</formula>
    </cfRule>
    <cfRule type="cellIs" dxfId="31" priority="70" operator="lessThanOrEqual">
      <formula>$CJ$34</formula>
    </cfRule>
  </conditionalFormatting>
  <conditionalFormatting sqref="CJ60:CR60">
    <cfRule type="expression" dxfId="30" priority="39">
      <formula>$CJ$60&lt;=$CJ$55</formula>
    </cfRule>
    <cfRule type="cellIs" dxfId="29" priority="40" operator="greaterThan">
      <formula>$CJ$55</formula>
    </cfRule>
  </conditionalFormatting>
  <conditionalFormatting sqref="CJ81:CR81">
    <cfRule type="cellIs" dxfId="28" priority="37" operator="greaterThan">
      <formula>$CJ$76</formula>
    </cfRule>
    <cfRule type="expression" dxfId="27" priority="38">
      <formula>$CJ$81&lt;=$CJ$76</formula>
    </cfRule>
  </conditionalFormatting>
  <conditionalFormatting sqref="CX10:DF10">
    <cfRule type="expression" dxfId="26" priority="18">
      <formula>$CX$10=""</formula>
    </cfRule>
  </conditionalFormatting>
  <conditionalFormatting sqref="CX16:DF16">
    <cfRule type="expression" dxfId="25" priority="16">
      <formula>$CX$16=""</formula>
    </cfRule>
  </conditionalFormatting>
  <conditionalFormatting sqref="CX19:DF22">
    <cfRule type="expression" dxfId="24" priority="15">
      <formula>$CX$19=""</formula>
    </cfRule>
  </conditionalFormatting>
  <conditionalFormatting sqref="DA60">
    <cfRule type="expression" dxfId="23" priority="45">
      <formula>$DA$60&lt;=$DA$55</formula>
    </cfRule>
  </conditionalFormatting>
  <conditionalFormatting sqref="DA60:DI60">
    <cfRule type="cellIs" dxfId="22" priority="46" operator="greaterThan">
      <formula>$DA$55</formula>
    </cfRule>
  </conditionalFormatting>
  <conditionalFormatting sqref="DA81:DI81">
    <cfRule type="expression" dxfId="21" priority="35">
      <formula>$DA$81&lt;=$DA$76</formula>
    </cfRule>
    <cfRule type="cellIs" dxfId="20" priority="36" operator="greaterThan">
      <formula>$DA$76</formula>
    </cfRule>
  </conditionalFormatting>
  <conditionalFormatting sqref="DH10:DP10">
    <cfRule type="expression" dxfId="19" priority="14">
      <formula>$DH$10=""</formula>
    </cfRule>
  </conditionalFormatting>
  <conditionalFormatting sqref="DH13:DP13">
    <cfRule type="expression" dxfId="18" priority="17">
      <formula>$DH$13=""</formula>
    </cfRule>
  </conditionalFormatting>
  <conditionalFormatting sqref="DH16:DP16">
    <cfRule type="expression" dxfId="17" priority="12">
      <formula>$DH$16=""</formula>
    </cfRule>
  </conditionalFormatting>
  <conditionalFormatting sqref="DH19:DP22">
    <cfRule type="expression" dxfId="16" priority="11">
      <formula>$DH$19=""</formula>
    </cfRule>
  </conditionalFormatting>
  <conditionalFormatting sqref="DJ39">
    <cfRule type="cellIs" dxfId="15" priority="71" operator="greaterThan">
      <formula>$DJ$34</formula>
    </cfRule>
    <cfRule type="cellIs" dxfId="14" priority="72" operator="lessThanOrEqual">
      <formula>$DJ$34</formula>
    </cfRule>
  </conditionalFormatting>
  <conditionalFormatting sqref="DJ60">
    <cfRule type="expression" dxfId="13" priority="44">
      <formula>$DJ$60&lt;=$DJ$55</formula>
    </cfRule>
  </conditionalFormatting>
  <conditionalFormatting sqref="DJ81">
    <cfRule type="expression" dxfId="12" priority="34">
      <formula>$DJ$81&lt;=$DJ$76</formula>
    </cfRule>
  </conditionalFormatting>
  <conditionalFormatting sqref="DJ35:DR35">
    <cfRule type="expression" dxfId="11" priority="25">
      <formula>$DE$45=1</formula>
    </cfRule>
  </conditionalFormatting>
  <conditionalFormatting sqref="DJ60:DR60">
    <cfRule type="cellIs" dxfId="10" priority="42" operator="greaterThan">
      <formula>$DJ$55</formula>
    </cfRule>
  </conditionalFormatting>
  <conditionalFormatting sqref="DJ81:DR81">
    <cfRule type="cellIs" dxfId="9" priority="32" operator="greaterThan">
      <formula>$DJ$76</formula>
    </cfRule>
  </conditionalFormatting>
  <conditionalFormatting sqref="DR10:DZ10">
    <cfRule type="expression" dxfId="8" priority="10">
      <formula>$DR$10=""</formula>
    </cfRule>
  </conditionalFormatting>
  <conditionalFormatting sqref="DR13:DZ13">
    <cfRule type="expression" dxfId="7" priority="13">
      <formula>$DR$13=""</formula>
    </cfRule>
  </conditionalFormatting>
  <conditionalFormatting sqref="DR19:DZ19">
    <cfRule type="expression" dxfId="6" priority="9">
      <formula>$DR$19=""</formula>
    </cfRule>
  </conditionalFormatting>
  <conditionalFormatting sqref="DS39">
    <cfRule type="cellIs" dxfId="5" priority="73" operator="greaterThan">
      <formula>$DS$34</formula>
    </cfRule>
    <cfRule type="cellIs" dxfId="4" priority="74" operator="lessThanOrEqual">
      <formula>$DS$34</formula>
    </cfRule>
  </conditionalFormatting>
  <conditionalFormatting sqref="DS60">
    <cfRule type="expression" dxfId="3" priority="43">
      <formula>$DS$60&lt;=$DS$55</formula>
    </cfRule>
  </conditionalFormatting>
  <conditionalFormatting sqref="DS81">
    <cfRule type="expression" dxfId="2" priority="33">
      <formula>$DS$81&lt;=$DS$76</formula>
    </cfRule>
  </conditionalFormatting>
  <conditionalFormatting sqref="DS60:EA60">
    <cfRule type="cellIs" dxfId="1" priority="41" operator="greaterThan">
      <formula>$DS$55</formula>
    </cfRule>
  </conditionalFormatting>
  <conditionalFormatting sqref="DS81:EA81">
    <cfRule type="cellIs" dxfId="0" priority="31" operator="greaterThan">
      <formula>$DS$76</formula>
    </cfRule>
  </conditionalFormatting>
  <dataValidations count="3">
    <dataValidation type="list" allowBlank="1" showInputMessage="1" showErrorMessage="1" sqref="BR16:BZ16" xr:uid="{8263E4CF-3E6F-46D9-B280-DE6D12D07CF1}">
      <formula1>"Foreign National,Living Trust,Permanent Resident,US Citizen,US Domiciled Entity"</formula1>
    </dataValidation>
    <dataValidation type="list" allowBlank="1" showInputMessage="1" showErrorMessage="1" sqref="AO72 DH72" xr:uid="{C08066FF-2D97-442C-BEC1-DBC4895237BD}">
      <formula1>"0,0.5,1"</formula1>
    </dataValidation>
    <dataValidation type="list" allowBlank="1" showInputMessage="1" showErrorMessage="1" sqref="CG13:CQ13" xr:uid="{A0DD70E2-D6C5-455D-AFEA-D749E0E8AA71}">
      <formula1>"Bridge (No Rehab),Fix and Flip (Rehab)"</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A1E97F8-8A5A-4C5C-B39A-820728AB26D2}">
          <x14:formula1>
            <xm:f>'Data Validation'!$I$3:$I$12</xm:f>
          </x14:formula1>
          <xm:sqref>DR10:DZ10</xm:sqref>
        </x14:dataValidation>
        <x14:dataValidation type="list" allowBlank="1" showInputMessage="1" showErrorMessage="1" xr:uid="{C9B41DF0-9464-4F48-BE81-EBB2F722FCA1}">
          <x14:formula1>
            <xm:f>'Data Validation'!$L$3:$L$5</xm:f>
          </x14:formula1>
          <xm:sqref>CG10</xm:sqref>
        </x14:dataValidation>
        <x14:dataValidation type="list" allowBlank="1" showInputMessage="1" showErrorMessage="1" xr:uid="{EAE9371B-0094-46E6-BF35-595EC3A914B2}">
          <x14:formula1>
            <xm:f>State!$A$2:$A$51</xm:f>
          </x14:formula1>
          <xm:sqref>CX10:DF10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State</vt:lpstr>
      <vt:lpstr>Data</vt:lpstr>
      <vt:lpstr>Matrixes w match key</vt:lpstr>
      <vt:lpstr>Data Validation</vt:lpstr>
      <vt:lpstr>Summary Table</vt:lpstr>
      <vt:lpstr>Combined Sizer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Haycraft</cp:lastModifiedBy>
  <cp:revision/>
  <dcterms:created xsi:type="dcterms:W3CDTF">2025-08-20T14:05:56Z</dcterms:created>
  <dcterms:modified xsi:type="dcterms:W3CDTF">2025-09-02T21:58:46Z</dcterms:modified>
  <cp:category/>
  <cp:contentStatus/>
</cp:coreProperties>
</file>