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rgmann/Documents/GitHub/Aulas-USP-Machine-Learning/MBA-BIA-USP/Casos-Machine-Learning/"/>
    </mc:Choice>
  </mc:AlternateContent>
  <xr:revisionPtr revIDLastSave="0" documentId="13_ncr:1_{E194E33E-2414-F449-983D-3E6D552ACAC7}" xr6:coauthVersionLast="47" xr6:coauthVersionMax="47" xr10:uidLastSave="{00000000-0000-0000-0000-000000000000}"/>
  <bookViews>
    <workbookView xWindow="1340" yWindow="680" windowWidth="29400" windowHeight="17320" activeTab="4" xr2:uid="{556A7384-D044-9641-B2C3-2207606EFCB5}"/>
  </bookViews>
  <sheets>
    <sheet name="Introdução" sheetId="7" r:id="rId1"/>
    <sheet name="Gini-Impurity" sheetId="12" r:id="rId2"/>
    <sheet name="Gini-Impuriy-02" sheetId="13" r:id="rId3"/>
    <sheet name="Sheet1" sheetId="18" r:id="rId4"/>
    <sheet name="Sheet2" sheetId="19" r:id="rId5"/>
    <sheet name="ïndice de Gini" sheetId="1" r:id="rId6"/>
    <sheet name="DT-Regression-Sample" sheetId="17" r:id="rId7"/>
    <sheet name="DT-Regression" sheetId="9" r:id="rId8"/>
    <sheet name="Árvore Regressão" sheetId="2" r:id="rId9"/>
    <sheet name="Split" sheetId="6" r:id="rId10"/>
  </sheets>
  <definedNames>
    <definedName name="_xlnm._FilterDatabase" localSheetId="8" hidden="1">'Árvore Regressão'!$A$1:$C$18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9" l="1"/>
  <c r="M28" i="19"/>
  <c r="O24" i="19"/>
  <c r="O23" i="19"/>
  <c r="M20" i="19"/>
  <c r="E22" i="19"/>
  <c r="J23" i="19"/>
  <c r="H24" i="19"/>
  <c r="I21" i="19"/>
  <c r="J20" i="19"/>
  <c r="J19" i="19"/>
  <c r="C23" i="19"/>
  <c r="E20" i="19"/>
  <c r="E19" i="19"/>
  <c r="D21" i="19"/>
  <c r="S22" i="18"/>
  <c r="S20" i="18"/>
  <c r="S14" i="18"/>
  <c r="M32" i="18"/>
  <c r="M16" i="18"/>
  <c r="O29" i="18"/>
  <c r="O28" i="18"/>
  <c r="N29" i="18"/>
  <c r="N28" i="18"/>
  <c r="M30" i="18"/>
  <c r="M25" i="18"/>
  <c r="N22" i="18"/>
  <c r="N21" i="18"/>
  <c r="N13" i="18"/>
  <c r="N12" i="18"/>
  <c r="M14" i="18"/>
  <c r="K9" i="18"/>
  <c r="E20" i="18"/>
  <c r="E14" i="18"/>
  <c r="C8" i="18"/>
  <c r="G14" i="2"/>
  <c r="G11" i="2"/>
  <c r="G3" i="2"/>
  <c r="G39" i="1"/>
  <c r="J26" i="7"/>
  <c r="C18" i="2"/>
  <c r="C17" i="2"/>
  <c r="F16" i="2"/>
  <c r="E2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A16" i="2"/>
  <c r="C15" i="2"/>
  <c r="C50" i="2"/>
  <c r="C49" i="2"/>
  <c r="C37" i="2"/>
  <c r="C36" i="2"/>
  <c r="B25" i="2"/>
  <c r="G27" i="2"/>
  <c r="G24" i="2"/>
  <c r="C23" i="2"/>
  <c r="N25" i="13"/>
  <c r="K30" i="13"/>
  <c r="L23" i="13"/>
  <c r="L17" i="13"/>
  <c r="M25" i="13"/>
  <c r="M26" i="13"/>
  <c r="N3" i="13"/>
  <c r="Z12" i="12"/>
  <c r="M23" i="12"/>
  <c r="P12" i="12"/>
  <c r="C2" i="12"/>
  <c r="B22" i="1"/>
  <c r="A16" i="1"/>
  <c r="Z17" i="12"/>
  <c r="Y17" i="12"/>
  <c r="Y18" i="12"/>
  <c r="Y13" i="12"/>
  <c r="Y12" i="12"/>
  <c r="C23" i="12"/>
  <c r="P18" i="12"/>
  <c r="O18" i="12"/>
  <c r="O19" i="12"/>
  <c r="O12" i="12"/>
  <c r="O13" i="12"/>
  <c r="F12" i="12"/>
  <c r="E12" i="12"/>
  <c r="E13" i="12"/>
  <c r="D22" i="6"/>
  <c r="D18" i="6"/>
  <c r="AA36" i="2"/>
  <c r="AA33" i="2"/>
  <c r="V31" i="2"/>
  <c r="S28" i="2"/>
  <c r="H10" i="9"/>
  <c r="C7" i="9"/>
  <c r="J21" i="2"/>
  <c r="J20" i="2"/>
  <c r="I9" i="2"/>
  <c r="J7" i="2"/>
  <c r="M13" i="2"/>
  <c r="M8" i="2"/>
  <c r="M7" i="2"/>
  <c r="K40" i="1"/>
  <c r="I32" i="1"/>
  <c r="I27" i="1"/>
  <c r="I30" i="1"/>
  <c r="I29" i="1"/>
  <c r="D35" i="1"/>
  <c r="B36" i="1"/>
  <c r="B35" i="1"/>
  <c r="D30" i="1"/>
  <c r="B31" i="1"/>
  <c r="B30" i="1"/>
  <c r="V28" i="1"/>
  <c r="V27" i="1"/>
  <c r="V20" i="1"/>
  <c r="V19" i="1"/>
  <c r="V23" i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J8" i="2"/>
  <c r="J6" i="2"/>
  <c r="V30" i="1"/>
</calcChain>
</file>

<file path=xl/sharedStrings.xml><?xml version="1.0" encoding="utf-8"?>
<sst xmlns="http://schemas.openxmlformats.org/spreadsheetml/2006/main" count="588" uniqueCount="186">
  <si>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</si>
  <si>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</si>
  <si>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</si>
  <si>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</si>
  <si>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</si>
  <si>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</si>
  <si>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</si>
  <si>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</si>
  <si>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</si>
  <si>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</si>
  <si>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</si>
  <si>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</si>
  <si>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</si>
  <si>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</si>
  <si>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</si>
  <si>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</si>
  <si>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</si>
  <si>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</si>
  <si>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</si>
  <si>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</si>
  <si>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</si>
  <si>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</si>
  <si>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Sim</t>
  </si>
  <si>
    <t>Não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</si>
  <si>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</si>
  <si>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</si>
  <si>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</si>
  <si>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</si>
  <si>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</si>
  <si>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</si>
  <si>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</si>
  <si>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</si>
  <si>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</si>
  <si>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</si>
  <si>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</si>
  <si>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</si>
  <si>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</si>
  <si>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</si>
  <si>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</si>
  <si>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</si>
  <si>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</si>
  <si>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</si>
  <si>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</si>
  <si>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</si>
  <si>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</si>
  <si>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</si>
  <si>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</si>
  <si>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 xml:space="preserve">Gini 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</si>
  <si>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</si>
  <si>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</si>
  <si>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</si>
  <si>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</si>
  <si>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</si>
  <si>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</si>
  <si>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</si>
  <si>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</si>
  <si>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</si>
  <si>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</si>
  <si>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</si>
  <si>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</si>
  <si>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</si>
  <si>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</si>
  <si>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</si>
  <si>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</si>
  <si>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</si>
  <si>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</si>
  <si>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</si>
  <si>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</si>
  <si>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</si>
  <si>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Amostra for menor do que 4</t>
  </si>
  <si>
    <t>Vendas Previstas</t>
  </si>
  <si>
    <t>Domingo =sim</t>
  </si>
  <si>
    <t>Domingo = não</t>
  </si>
  <si>
    <t>R2</t>
  </si>
  <si>
    <t>MSE</t>
  </si>
  <si>
    <t>Mean Squared Error</t>
  </si>
  <si>
    <t>Coeficiente de Gini</t>
  </si>
  <si>
    <t>Default</t>
  </si>
  <si>
    <t>Mau Pagador</t>
  </si>
  <si>
    <t>Bom Pagador</t>
  </si>
  <si>
    <t>Idade</t>
  </si>
  <si>
    <t>idade</t>
  </si>
  <si>
    <t>adulto</t>
  </si>
  <si>
    <t>idoso</t>
  </si>
  <si>
    <t>Default =0</t>
  </si>
  <si>
    <t>Quantidade</t>
  </si>
  <si>
    <t>Default = 1</t>
  </si>
  <si>
    <t xml:space="preserve">adulto </t>
  </si>
  <si>
    <t>Zona de Máxima Incerteza</t>
  </si>
  <si>
    <t>Gini = 1 - prob1^2 - prob2^2</t>
  </si>
  <si>
    <t>Cara e Coroa (Alta Incerteza)</t>
  </si>
  <si>
    <t>(Calcula o nível de incerteza de X)</t>
  </si>
  <si>
    <t>Zona de Máxima Certeza</t>
  </si>
  <si>
    <t>A idade pode prever Default = 0 com 100% de acerto</t>
  </si>
  <si>
    <t>Sabendo que adulto, é suficiente para acertar Default = 0</t>
  </si>
  <si>
    <t>Gini Global</t>
  </si>
  <si>
    <t>N = 2</t>
  </si>
  <si>
    <t xml:space="preserve">Gini Global </t>
  </si>
  <si>
    <t>Default = 0</t>
  </si>
  <si>
    <t>Qtde</t>
  </si>
  <si>
    <t>1 - Prob(adulto)^2 - Prob(idoso)^2</t>
  </si>
  <si>
    <t>N =3</t>
  </si>
  <si>
    <t>N = 3</t>
  </si>
  <si>
    <t>Nível de incerteza da variável Default</t>
  </si>
  <si>
    <t>Quanto mais Próximo de zero (maior é o poder preditivo da variável)</t>
  </si>
  <si>
    <t>Y</t>
  </si>
  <si>
    <t>bom</t>
  </si>
  <si>
    <t>mau</t>
  </si>
  <si>
    <t>1- prob1^2 - prob2^2</t>
  </si>
  <si>
    <t>Impureza Máxima</t>
  </si>
  <si>
    <t>Gini da idade</t>
  </si>
  <si>
    <t>0 até 0,5</t>
  </si>
  <si>
    <t>Casa Própria</t>
  </si>
  <si>
    <t>total</t>
  </si>
  <si>
    <t>Sexo</t>
  </si>
  <si>
    <t>Mulher (1)</t>
  </si>
  <si>
    <t>Homem (0)</t>
  </si>
  <si>
    <t>Gini Sexo</t>
  </si>
  <si>
    <t>Grau de Dispersão das Vendas</t>
  </si>
  <si>
    <t xml:space="preserve">ameno </t>
  </si>
  <si>
    <t>Quanto o Desvio-Padrão diminuiu</t>
  </si>
  <si>
    <t>Previsão</t>
  </si>
  <si>
    <t>95% das Vendas podem ser explicadas por</t>
  </si>
  <si>
    <t>Temperatura e Domingo</t>
  </si>
  <si>
    <t>Vendas de Sorvete em João Pessoa - PB</t>
  </si>
  <si>
    <t>Erro Quadrático</t>
  </si>
  <si>
    <t>RMSE</t>
  </si>
  <si>
    <t>Quanto menor o erro, maior o poder preditivo do modelo</t>
  </si>
  <si>
    <t>Regressão</t>
  </si>
  <si>
    <t>Classificação</t>
  </si>
  <si>
    <t>Numérica</t>
  </si>
  <si>
    <t>Dummy (0 ou 1)</t>
  </si>
  <si>
    <t>Bom e Mau Pagador</t>
  </si>
  <si>
    <t>Decision tree</t>
  </si>
  <si>
    <t>Parâmetro</t>
  </si>
  <si>
    <t>R2, RMSE</t>
  </si>
  <si>
    <t xml:space="preserve">Taxa de Acerto </t>
  </si>
  <si>
    <t>VarB</t>
  </si>
  <si>
    <t>VaR B &lt; 21</t>
  </si>
  <si>
    <t>VaR B &gt;=21</t>
  </si>
  <si>
    <t>Gini(VaR B 21) = 0</t>
  </si>
  <si>
    <t>F</t>
  </si>
  <si>
    <t>M</t>
  </si>
  <si>
    <t>Aprova</t>
  </si>
  <si>
    <t>Não Aprova</t>
  </si>
  <si>
    <t>Status</t>
  </si>
  <si>
    <t>Mulher (F)</t>
  </si>
  <si>
    <t>Gini F</t>
  </si>
  <si>
    <t>O fato de ser Mulher já advinha por completo que Aprova</t>
  </si>
  <si>
    <t>Puro</t>
  </si>
  <si>
    <t>Homem (M)</t>
  </si>
  <si>
    <t xml:space="preserve">Prob </t>
  </si>
  <si>
    <t xml:space="preserve">Aprova </t>
  </si>
  <si>
    <t>Gini M</t>
  </si>
  <si>
    <t>O fato de ser Homem já prevê a falta de aprovação do crédito</t>
  </si>
  <si>
    <t>Máxima Incerteza (Cara e Coroa)</t>
  </si>
  <si>
    <t xml:space="preserve">Não Aprova </t>
  </si>
  <si>
    <t>Prob (%)</t>
  </si>
  <si>
    <t>1 - P1^2 - P2^2</t>
  </si>
  <si>
    <t>Máxima Incerteza</t>
  </si>
  <si>
    <t>Ser mulher não me direciona se aprova ou não</t>
  </si>
  <si>
    <t>Preciso de outras features</t>
  </si>
  <si>
    <t>Prob(%)</t>
  </si>
  <si>
    <t>Percentual</t>
  </si>
  <si>
    <t>Gini (Impureza)</t>
  </si>
  <si>
    <t>Gini Homem*%Homens + Gini Mulheres*%Mulheres</t>
  </si>
  <si>
    <t>Saber sobre o Sexo não decide sobre a aprovação do crédito</t>
  </si>
  <si>
    <t>(Gini F*%F) + (Gini M*%M)</t>
  </si>
  <si>
    <t>Boa para Previsão</t>
  </si>
  <si>
    <t>Serasa</t>
  </si>
  <si>
    <t xml:space="preserve">Tem </t>
  </si>
  <si>
    <t>Não Tem</t>
  </si>
  <si>
    <t>Solteiro</t>
  </si>
  <si>
    <t>Casado</t>
  </si>
  <si>
    <t>Qtd</t>
  </si>
  <si>
    <t>Gini Solteiro</t>
  </si>
  <si>
    <t>Gini Casado</t>
  </si>
  <si>
    <t>Gini Estado Civil</t>
  </si>
  <si>
    <t>Renda &lt; 2000</t>
  </si>
  <si>
    <t>Gini Renda &lt; 2000</t>
  </si>
  <si>
    <t>Renda &gt; 2000</t>
  </si>
  <si>
    <t>Não Aprovado</t>
  </si>
  <si>
    <t>Gini Renda &gt; 2000</t>
  </si>
  <si>
    <t>Gini (2000)</t>
  </si>
  <si>
    <t>Renda</t>
  </si>
  <si>
    <t xml:space="preserve">Não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</si>
</sst>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  <xf numFmtId="9" fontId="0" fillId="0" borderId="0" xfId="2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2" applyFont="1"/>
    <xf numFmtId="9" fontId="12" fillId="0" borderId="0" xfId="0" applyNumberFormat="1" applyFont="1"/>
    <xf numFmtId="166" fontId="12" fillId="0" borderId="0" xfId="0" applyNumberFormat="1" applyFont="1" applyAlignment="1">
      <alignment horizontal="center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26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6844" y="2499675"/>
        <a:ext cx="3021053" cy="1464949"/>
      </dsp:txXfrm>
    </dsp:sp>
    <dsp:sp modelId="{FA6A63C0-AFB5-E840-A55D-ECC6BC8EEA96}">
      <dsp:nvSpPr>
        <dsp:cNvPr id="0" name=""/>
        <dsp:cNvSpPr/>
      </dsp:nvSpPr>
      <dsp:spPr>
        <a:xfrm rot="18289469">
          <a:off x="2645949" y="231572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2282892"/>
        <a:ext cx="108996" cy="108996"/>
      </dsp:txXfrm>
    </dsp:sp>
    <dsp:sp modelId="{53BAF418-DD27-BF46-B45B-A0C36523D2DA}">
      <dsp:nvSpPr>
        <dsp:cNvPr id="0" name=""/>
        <dsp:cNvSpPr/>
      </dsp:nvSpPr>
      <dsp:spPr>
        <a:xfrm>
          <a:off x="4358357" y="664579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03934" y="710156"/>
        <a:ext cx="3021053" cy="1464949"/>
      </dsp:txXfrm>
    </dsp:sp>
    <dsp:sp modelId="{5C420475-20BE-B748-AE37-48C4DF5F5142}">
      <dsp:nvSpPr>
        <dsp:cNvPr id="0" name=""/>
        <dsp:cNvSpPr/>
      </dsp:nvSpPr>
      <dsp:spPr>
        <a:xfrm>
          <a:off x="3113475" y="3210485"/>
          <a:ext cx="1244882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1244882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04794" y="3201028"/>
        <a:ext cx="62244" cy="62244"/>
      </dsp:txXfrm>
    </dsp:sp>
    <dsp:sp modelId="{FEE1409E-76A4-9F48-A77E-4A6901D20B6C}">
      <dsp:nvSpPr>
        <dsp:cNvPr id="0" name=""/>
        <dsp:cNvSpPr/>
      </dsp:nvSpPr>
      <dsp:spPr>
        <a:xfrm>
          <a:off x="435835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03934" y="2499675"/>
        <a:ext cx="3021053" cy="1464949"/>
      </dsp:txXfrm>
    </dsp:sp>
    <dsp:sp modelId="{D581536D-EE62-AC4A-A345-8C980EEEC957}">
      <dsp:nvSpPr>
        <dsp:cNvPr id="0" name=""/>
        <dsp:cNvSpPr/>
      </dsp:nvSpPr>
      <dsp:spPr>
        <a:xfrm rot="3310531">
          <a:off x="2645949" y="410524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4072411"/>
        <a:ext cx="108996" cy="108996"/>
      </dsp:txXfrm>
    </dsp:sp>
    <dsp:sp modelId="{8BB75AE0-D362-B040-9DD7-2B9C772C20B3}">
      <dsp:nvSpPr>
        <dsp:cNvPr id="0" name=""/>
        <dsp:cNvSpPr/>
      </dsp:nvSpPr>
      <dsp:spPr>
        <a:xfrm>
          <a:off x="4358357" y="4243617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03934" y="4289194"/>
        <a:ext cx="3021053" cy="1464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12.png"/><Relationship Id="rId26" Type="http://schemas.openxmlformats.org/officeDocument/2006/relationships/image" Target="../media/image16.png"/><Relationship Id="rId21" Type="http://schemas.openxmlformats.org/officeDocument/2006/relationships/customXml" Target="../ink/ink10.xml"/><Relationship Id="rId34" Type="http://schemas.openxmlformats.org/officeDocument/2006/relationships/image" Target="../media/image20.png"/><Relationship Id="rId7" Type="http://schemas.openxmlformats.org/officeDocument/2006/relationships/customXml" Target="../ink/ink3.xml"/><Relationship Id="rId12" Type="http://schemas.openxmlformats.org/officeDocument/2006/relationships/image" Target="../media/image9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22.png"/><Relationship Id="rId2" Type="http://schemas.openxmlformats.org/officeDocument/2006/relationships/image" Target="../media/image4.png"/><Relationship Id="rId16" Type="http://schemas.openxmlformats.org/officeDocument/2006/relationships/image" Target="../media/image11.png"/><Relationship Id="rId20" Type="http://schemas.openxmlformats.org/officeDocument/2006/relationships/image" Target="../media/image13.png"/><Relationship Id="rId29" Type="http://schemas.openxmlformats.org/officeDocument/2006/relationships/customXml" Target="../ink/ink14.xml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customXml" Target="../ink/ink5.xml"/><Relationship Id="rId24" Type="http://schemas.openxmlformats.org/officeDocument/2006/relationships/image" Target="../media/image15.png"/><Relationship Id="rId32" Type="http://schemas.openxmlformats.org/officeDocument/2006/relationships/image" Target="../media/image19.png"/><Relationship Id="rId37" Type="http://schemas.openxmlformats.org/officeDocument/2006/relationships/customXml" Target="../ink/ink18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7.png"/><Relationship Id="rId36" Type="http://schemas.openxmlformats.org/officeDocument/2006/relationships/image" Target="../media/image21.png"/><Relationship Id="rId10" Type="http://schemas.openxmlformats.org/officeDocument/2006/relationships/image" Target="../media/image8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4" Type="http://schemas.openxmlformats.org/officeDocument/2006/relationships/image" Target="../media/image5.png"/><Relationship Id="rId9" Type="http://schemas.openxmlformats.org/officeDocument/2006/relationships/customXml" Target="../ink/ink4.xml"/><Relationship Id="rId14" Type="http://schemas.openxmlformats.org/officeDocument/2006/relationships/image" Target="../media/image10.png"/><Relationship Id="rId22" Type="http://schemas.openxmlformats.org/officeDocument/2006/relationships/image" Target="../media/image14.png"/><Relationship Id="rId27" Type="http://schemas.openxmlformats.org/officeDocument/2006/relationships/customXml" Target="../ink/ink13.xml"/><Relationship Id="rId30" Type="http://schemas.openxmlformats.org/officeDocument/2006/relationships/image" Target="../media/image18.png"/><Relationship Id="rId35" Type="http://schemas.openxmlformats.org/officeDocument/2006/relationships/customXml" Target="../ink/ink17.xml"/><Relationship Id="rId8" Type="http://schemas.openxmlformats.org/officeDocument/2006/relationships/image" Target="../media/image7.png"/><Relationship Id="rId3" Type="http://schemas.openxmlformats.org/officeDocument/2006/relationships/customXml" Target="../ink/ink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7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26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196850</xdr:rowOff>
    </xdr:from>
    <xdr:to>
      <xdr:col>8</xdr:col>
      <xdr:colOff>177800</xdr:colOff>
      <xdr:row>25</xdr:row>
      <xdr:rowOff>71966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7933"/>
          <a:ext cx="6781800" cy="62462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17</xdr:row>
      <xdr:rowOff>47286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583E4-1979-8BD8-87E0-56B42446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501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744682</xdr:colOff>
      <xdr:row>11</xdr:row>
      <xdr:rowOff>69273</xdr:rowOff>
    </xdr:from>
    <xdr:to>
      <xdr:col>34</xdr:col>
      <xdr:colOff>262082</xdr:colOff>
      <xdr:row>25</xdr:row>
      <xdr:rowOff>159630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4632E-8365-C42C-8C58-DE9AF5200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8818" y="2291773"/>
          <a:ext cx="7772400" cy="29189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122671</xdr:colOff>
      <xdr:row>13</xdr:row>
      <xdr:rowOff>32657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9564D-3E3D-354B-B1E4-70930D2E4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05242" cy="6273800"/>
        </a:xfrm>
        <a:prstGeom prst="rect">
          <a:avLst/>
        </a:prstGeom>
      </xdr:spPr>
    </xdr:pic>
    <xdr:clientData/>
  </xdr:twoCellAnchor>
  <xdr:twoCellAnchor editAs="oneCell">
    <xdr:from>
      <xdr:col>15</xdr:col>
      <xdr:colOff>671286</xdr:colOff>
      <xdr:row>32</xdr:row>
      <xdr:rowOff>72571</xdr:rowOff>
    </xdr:from>
    <xdr:to>
      <xdr:col>25</xdr:col>
      <xdr:colOff>188686</xdr:colOff>
      <xdr:row>43</xdr:row>
      <xdr:rowOff>129345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801DF5-F952-EF73-EC5C-2A41EE868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53857" y="15167428"/>
          <a:ext cx="7772400" cy="524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572829</xdr:colOff>
      <xdr:row>38</xdr:row>
      <xdr:rowOff>332977</xdr:rowOff>
    </xdr:from>
    <xdr:to>
      <xdr:col>18</xdr:col>
      <xdr:colOff>417289</xdr:colOff>
      <xdr:row>38</xdr:row>
      <xdr:rowOff>383737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87F68F01-D4B3-D533-26C5-DF6B6BA2309F}"/>
                </a:ext>
              </a:extLst>
            </xdr14:cNvPr>
            <xdr14:cNvContentPartPr/>
          </xdr14:nvContentPartPr>
          <xdr14:nvPr macro=""/>
          <xdr14:xfrm>
            <a:off x="18806400" y="18258120"/>
            <a:ext cx="669960" cy="507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87F68F01-D4B3-D533-26C5-DF6B6BA2309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788400" y="18240120"/>
              <a:ext cx="70560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445009</xdr:colOff>
      <xdr:row>38</xdr:row>
      <xdr:rowOff>96817</xdr:rowOff>
    </xdr:from>
    <xdr:to>
      <xdr:col>18</xdr:col>
      <xdr:colOff>445369</xdr:colOff>
      <xdr:row>38</xdr:row>
      <xdr:rowOff>336577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2C2BEF4-7962-33BD-E14C-A7684995ED9E}"/>
                </a:ext>
              </a:extLst>
            </xdr14:cNvPr>
            <xdr14:cNvContentPartPr/>
          </xdr14:nvContentPartPr>
          <xdr14:nvPr macro=""/>
          <xdr14:xfrm>
            <a:off x="19504080" y="18021960"/>
            <a:ext cx="360" cy="2397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2C2BEF4-7962-33BD-E14C-A7684995ED9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486080" y="18004320"/>
              <a:ext cx="3600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163749</xdr:colOff>
      <xdr:row>39</xdr:row>
      <xdr:rowOff>38383</xdr:rowOff>
    </xdr:from>
    <xdr:to>
      <xdr:col>24</xdr:col>
      <xdr:colOff>818209</xdr:colOff>
      <xdr:row>40</xdr:row>
      <xdr:rowOff>37909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90D36C8A-DDE8-694A-5D6A-95F67D372475}"/>
                </a:ext>
              </a:extLst>
            </xdr14:cNvPr>
            <xdr14:cNvContentPartPr/>
          </xdr14:nvContentPartPr>
          <xdr14:nvPr macro=""/>
          <xdr14:xfrm>
            <a:off x="23350320" y="18435240"/>
            <a:ext cx="1479960" cy="4712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90D36C8A-DDE8-694A-5D6A-95F67D37247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3332316" y="18417240"/>
              <a:ext cx="1515609" cy="50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190109</xdr:colOff>
      <xdr:row>39</xdr:row>
      <xdr:rowOff>218383</xdr:rowOff>
    </xdr:from>
    <xdr:to>
      <xdr:col>20</xdr:col>
      <xdr:colOff>534969</xdr:colOff>
      <xdr:row>40</xdr:row>
      <xdr:rowOff>144469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D281C8C-9AED-6F2D-CC93-1C4D34853D2D}"/>
                </a:ext>
              </a:extLst>
            </xdr14:cNvPr>
            <xdr14:cNvContentPartPr/>
          </xdr14:nvContentPartPr>
          <xdr14:nvPr macro=""/>
          <xdr14:xfrm>
            <a:off x="20074680" y="18615240"/>
            <a:ext cx="1170360" cy="3978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D281C8C-9AED-6F2D-CC93-1C4D34853D2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057040" y="18597600"/>
              <a:ext cx="1206000" cy="43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568469</xdr:colOff>
      <xdr:row>42</xdr:row>
      <xdr:rowOff>400560</xdr:rowOff>
    </xdr:from>
    <xdr:to>
      <xdr:col>20</xdr:col>
      <xdr:colOff>750249</xdr:colOff>
      <xdr:row>42</xdr:row>
      <xdr:rowOff>402360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EF14A3A-5325-0D5B-EBC7-643230E1F2B5}"/>
                </a:ext>
              </a:extLst>
            </xdr14:cNvPr>
            <xdr14:cNvContentPartPr/>
          </xdr14:nvContentPartPr>
          <xdr14:nvPr macro=""/>
          <xdr14:xfrm>
            <a:off x="20453040" y="20212560"/>
            <a:ext cx="1007280" cy="18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EF14A3A-5325-0D5B-EBC7-643230E1F2B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435040" y="20194560"/>
              <a:ext cx="10429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22609</xdr:colOff>
      <xdr:row>42</xdr:row>
      <xdr:rowOff>390480</xdr:rowOff>
    </xdr:from>
    <xdr:to>
      <xdr:col>24</xdr:col>
      <xdr:colOff>714169</xdr:colOff>
      <xdr:row>42</xdr:row>
      <xdr:rowOff>414240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D6CC90C3-9634-FAF6-C6D8-9F995D9D186E}"/>
                </a:ext>
              </a:extLst>
            </xdr14:cNvPr>
            <xdr14:cNvContentPartPr/>
          </xdr14:nvContentPartPr>
          <xdr14:nvPr macro=""/>
          <xdr14:xfrm>
            <a:off x="24034680" y="20202480"/>
            <a:ext cx="691560" cy="237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D6CC90C3-9634-FAF6-C6D8-9F995D9D186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016680" y="20184840"/>
              <a:ext cx="72720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470889</xdr:colOff>
      <xdr:row>33</xdr:row>
      <xdr:rowOff>57429</xdr:rowOff>
    </xdr:from>
    <xdr:to>
      <xdr:col>21</xdr:col>
      <xdr:colOff>249109</xdr:colOff>
      <xdr:row>33</xdr:row>
      <xdr:rowOff>63189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3F4BD6DE-FB89-BC6E-2416-9AC3E9F96146}"/>
                </a:ext>
              </a:extLst>
            </xdr14:cNvPr>
            <xdr14:cNvContentPartPr/>
          </xdr14:nvContentPartPr>
          <xdr14:nvPr macro=""/>
          <xdr14:xfrm>
            <a:off x="21180960" y="15624000"/>
            <a:ext cx="603720" cy="576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3F4BD6DE-FB89-BC6E-2416-9AC3E9F9614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1162960" y="15606000"/>
              <a:ext cx="63936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361829</xdr:colOff>
      <xdr:row>33</xdr:row>
      <xdr:rowOff>54549</xdr:rowOff>
    </xdr:from>
    <xdr:to>
      <xdr:col>20</xdr:col>
      <xdr:colOff>78489</xdr:colOff>
      <xdr:row>33</xdr:row>
      <xdr:rowOff>54909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A64E505-3E81-16BA-EBC7-0C2FF78446C0}"/>
                </a:ext>
              </a:extLst>
            </xdr14:cNvPr>
            <xdr14:cNvContentPartPr/>
          </xdr14:nvContentPartPr>
          <xdr14:nvPr macro=""/>
          <xdr14:xfrm>
            <a:off x="20246400" y="15621120"/>
            <a:ext cx="542160" cy="3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A64E505-3E81-16BA-EBC7-0C2FF78446C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0228760" y="15603480"/>
              <a:ext cx="577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1789</xdr:colOff>
      <xdr:row>35</xdr:row>
      <xdr:rowOff>168440</xdr:rowOff>
    </xdr:from>
    <xdr:to>
      <xdr:col>21</xdr:col>
      <xdr:colOff>817909</xdr:colOff>
      <xdr:row>35</xdr:row>
      <xdr:rowOff>448160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1FD3F5AC-DFC0-F3BE-AC6B-0D4DE857BCF6}"/>
                </a:ext>
              </a:extLst>
            </xdr14:cNvPr>
            <xdr14:cNvContentPartPr/>
          </xdr14:nvContentPartPr>
          <xdr14:nvPr macro=""/>
          <xdr14:xfrm>
            <a:off x="21537360" y="16678440"/>
            <a:ext cx="816120" cy="27972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1FD3F5AC-DFC0-F3BE-AC6B-0D4DE857BCF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519368" y="16660800"/>
              <a:ext cx="851744" cy="31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796049</xdr:colOff>
      <xdr:row>35</xdr:row>
      <xdr:rowOff>176360</xdr:rowOff>
    </xdr:from>
    <xdr:to>
      <xdr:col>18</xdr:col>
      <xdr:colOff>401809</xdr:colOff>
      <xdr:row>36</xdr:row>
      <xdr:rowOff>20366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CEFCE20F-05B2-B4DB-BE3B-F8C736EAA10C}"/>
                </a:ext>
              </a:extLst>
            </xdr14:cNvPr>
            <xdr14:cNvContentPartPr/>
          </xdr14:nvContentPartPr>
          <xdr14:nvPr macro=""/>
          <xdr14:xfrm>
            <a:off x="18204120" y="16686360"/>
            <a:ext cx="1256760" cy="31572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CEFCE20F-05B2-B4DB-BE3B-F8C736EAA10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186125" y="16668720"/>
              <a:ext cx="129239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113109</xdr:colOff>
      <xdr:row>32</xdr:row>
      <xdr:rowOff>128103</xdr:rowOff>
    </xdr:from>
    <xdr:to>
      <xdr:col>18</xdr:col>
      <xdr:colOff>763609</xdr:colOff>
      <xdr:row>35</xdr:row>
      <xdr:rowOff>56120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32ACC084-79A1-BAD6-22B7-0091437D86B1}"/>
                </a:ext>
              </a:extLst>
            </xdr14:cNvPr>
            <xdr14:cNvContentPartPr/>
          </xdr14:nvContentPartPr>
          <xdr14:nvPr macro=""/>
          <xdr14:xfrm>
            <a:off x="18346680" y="15222960"/>
            <a:ext cx="1476000" cy="134316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32ACC084-79A1-BAD6-22B7-0091437D86B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8329040" y="15205320"/>
              <a:ext cx="1511640" cy="137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331949</xdr:colOff>
      <xdr:row>35</xdr:row>
      <xdr:rowOff>394880</xdr:rowOff>
    </xdr:from>
    <xdr:to>
      <xdr:col>20</xdr:col>
      <xdr:colOff>777969</xdr:colOff>
      <xdr:row>39</xdr:row>
      <xdr:rowOff>54943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C146E0CF-D275-AD5C-2B34-057A5B5BDDBA}"/>
                </a:ext>
              </a:extLst>
            </xdr14:cNvPr>
            <xdr14:cNvContentPartPr/>
          </xdr14:nvContentPartPr>
          <xdr14:nvPr macro=""/>
          <xdr14:xfrm>
            <a:off x="20216520" y="16904880"/>
            <a:ext cx="1271520" cy="154692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C146E0CF-D275-AD5C-2B34-057A5B5BDDB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0198880" y="16886880"/>
              <a:ext cx="1307160" cy="15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381569</xdr:colOff>
      <xdr:row>32</xdr:row>
      <xdr:rowOff>433743</xdr:rowOff>
    </xdr:from>
    <xdr:to>
      <xdr:col>24</xdr:col>
      <xdr:colOff>173089</xdr:colOff>
      <xdr:row>34</xdr:row>
      <xdr:rowOff>218954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BAD4DC2-9729-BE30-CEBE-A0F107FF885B}"/>
                </a:ext>
              </a:extLst>
            </xdr14:cNvPr>
            <xdr14:cNvContentPartPr/>
          </xdr14:nvContentPartPr>
          <xdr14:nvPr macro=""/>
          <xdr14:xfrm>
            <a:off x="22742640" y="15528600"/>
            <a:ext cx="1442520" cy="72864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BAD4DC2-9729-BE30-CEBE-A0F107FF885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2725000" y="15510609"/>
              <a:ext cx="1478160" cy="7642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560609</xdr:colOff>
      <xdr:row>39</xdr:row>
      <xdr:rowOff>34783</xdr:rowOff>
    </xdr:from>
    <xdr:to>
      <xdr:col>18</xdr:col>
      <xdr:colOff>618529</xdr:colOff>
      <xdr:row>39</xdr:row>
      <xdr:rowOff>375703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13F7206-A93B-5B83-2325-DF6F24D67036}"/>
                </a:ext>
              </a:extLst>
            </xdr14:cNvPr>
            <xdr14:cNvContentPartPr/>
          </xdr14:nvContentPartPr>
          <xdr14:nvPr macro=""/>
          <xdr14:xfrm>
            <a:off x="17968680" y="18431640"/>
            <a:ext cx="1708920" cy="34092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13F7206-A93B-5B83-2325-DF6F24D6703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7950684" y="18414000"/>
              <a:ext cx="1744552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38489</xdr:colOff>
      <xdr:row>35</xdr:row>
      <xdr:rowOff>161600</xdr:rowOff>
    </xdr:from>
    <xdr:to>
      <xdr:col>22</xdr:col>
      <xdr:colOff>435929</xdr:colOff>
      <xdr:row>35</xdr:row>
      <xdr:rowOff>417200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9C569C80-D881-4045-B9B8-57199BAFBAF5}"/>
                </a:ext>
              </a:extLst>
            </xdr14:cNvPr>
            <xdr14:cNvContentPartPr/>
          </xdr14:nvContentPartPr>
          <xdr14:nvPr macro=""/>
          <xdr14:xfrm>
            <a:off x="22399560" y="16671600"/>
            <a:ext cx="397440" cy="25560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9C569C80-D881-4045-B9B8-57199BAFBAF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381920" y="16563600"/>
              <a:ext cx="433080" cy="47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19049</xdr:colOff>
      <xdr:row>35</xdr:row>
      <xdr:rowOff>60080</xdr:rowOff>
    </xdr:from>
    <xdr:to>
      <xdr:col>22</xdr:col>
      <xdr:colOff>354929</xdr:colOff>
      <xdr:row>35</xdr:row>
      <xdr:rowOff>407840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698DC028-7E89-31FB-0A82-F80BC59D0668}"/>
                </a:ext>
              </a:extLst>
            </xdr14:cNvPr>
            <xdr14:cNvContentPartPr/>
          </xdr14:nvContentPartPr>
          <xdr14:nvPr macro=""/>
          <xdr14:xfrm>
            <a:off x="22380120" y="16570080"/>
            <a:ext cx="335880" cy="34776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698DC028-7E89-31FB-0A82-F80BC59D066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2362120" y="16552440"/>
              <a:ext cx="37152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770709</xdr:colOff>
      <xdr:row>37</xdr:row>
      <xdr:rowOff>432811</xdr:rowOff>
    </xdr:from>
    <xdr:to>
      <xdr:col>25</xdr:col>
      <xdr:colOff>145349</xdr:colOff>
      <xdr:row>38</xdr:row>
      <xdr:rowOff>410017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7E7A825-7C6F-0D4C-C250-342166BAF889}"/>
                </a:ext>
              </a:extLst>
            </xdr14:cNvPr>
            <xdr14:cNvContentPartPr/>
          </xdr14:nvContentPartPr>
          <xdr14:nvPr macro=""/>
          <xdr14:xfrm>
            <a:off x="23957280" y="17886240"/>
            <a:ext cx="1025640" cy="44892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37E7A825-7C6F-0D4C-C250-342166BAF88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3939280" y="17868600"/>
              <a:ext cx="1061280" cy="48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715989</xdr:colOff>
      <xdr:row>42</xdr:row>
      <xdr:rowOff>16080</xdr:rowOff>
    </xdr:from>
    <xdr:to>
      <xdr:col>24</xdr:col>
      <xdr:colOff>691849</xdr:colOff>
      <xdr:row>43</xdr:row>
      <xdr:rowOff>75366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071A1FCC-9F9B-BE29-68F5-D2DB567543D1}"/>
                </a:ext>
              </a:extLst>
            </xdr14:cNvPr>
            <xdr14:cNvContentPartPr/>
          </xdr14:nvContentPartPr>
          <xdr14:nvPr macro=""/>
          <xdr14:xfrm>
            <a:off x="23902560" y="19828080"/>
            <a:ext cx="801360" cy="53100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071A1FCC-9F9B-BE29-68F5-D2DB567543D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3884560" y="19810080"/>
              <a:ext cx="837000" cy="56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138723</xdr:colOff>
      <xdr:row>0</xdr:row>
      <xdr:rowOff>0</xdr:rowOff>
    </xdr:from>
    <xdr:to>
      <xdr:col>5</xdr:col>
      <xdr:colOff>264963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23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484011</xdr:colOff>
      <xdr:row>18</xdr:row>
      <xdr:rowOff>23294</xdr:rowOff>
    </xdr:from>
    <xdr:to>
      <xdr:col>10</xdr:col>
      <xdr:colOff>699911</xdr:colOff>
      <xdr:row>25</xdr:row>
      <xdr:rowOff>52266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2511" y="3706294"/>
          <a:ext cx="2692400" cy="146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46841</xdr:colOff>
      <xdr:row>0</xdr:row>
      <xdr:rowOff>50799</xdr:rowOff>
    </xdr:from>
    <xdr:to>
      <xdr:col>19</xdr:col>
      <xdr:colOff>389467</xdr:colOff>
      <xdr:row>22</xdr:row>
      <xdr:rowOff>217169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38C78-B197-BE46-9311-32B8559B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05308" y="50799"/>
          <a:ext cx="6718026" cy="7498503"/>
        </a:xfrm>
        <a:prstGeom prst="rect">
          <a:avLst/>
        </a:prstGeom>
      </xdr:spPr>
    </xdr:pic>
    <xdr:clientData/>
  </xdr:twoCellAnchor>
  <xdr:twoCellAnchor editAs="oneCell">
    <xdr:from>
      <xdr:col>11</xdr:col>
      <xdr:colOff>745067</xdr:colOff>
      <xdr:row>17</xdr:row>
      <xdr:rowOff>101600</xdr:rowOff>
    </xdr:from>
    <xdr:to>
      <xdr:col>16</xdr:col>
      <xdr:colOff>1574800</xdr:colOff>
      <xdr:row>25</xdr:row>
      <xdr:rowOff>24794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158C6A-53E2-A358-81EE-84D2E020F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77067" y="5782733"/>
          <a:ext cx="7772400" cy="256479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3:02.198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0 134 24575,'27'0'0,"34"0"0,-3 0 0,8 0 0,22 0 0,8 0-839,-14 0 0,4 0 1,3 0 838,8 0 0,2 0 0,-1 0 0,-4 0 0,0 0 0,-3 0 189,-6 0 1,-3 0-1,-5 0-189,14 0 0,-9 0 234,-24 0 1,-7 0-235,19 0 0,-38 2 0,-25-1 1287,-42 1-1287,-5-1 192,-39-5-192,-13-6 0,34 3 0,-3-2 0,-6 1 0,-2 0 0,0 1 0,1 0 0,8 3 0,3 0 0,-33 0 0,28-1 0,25 1 0,18 1 0,15 0 0,31 0 0,40-1 0,-18 1 0,3 1 0,10 1 0,1-1 0,-1 1 0,-1 1 0,-5 0 0,-2 0 0,38 0 0,-26 0 0,-23 0 0,-22 0 0,-19 0 0,-19 0 0,-18-2 0,-19-1 0,-22-6 0,26 4 0,-4 0 0,-10 0 0,-3 2 0,-5 0 0,-2 1 0,2 3 0,2 3 0,10 0 0,5 1 0,-23 7 0,40-2 0,45-5 0,42-4 0,38-1 0,-31 0 0,2 0 0,-1 0 0,-1 0 0,37 0 0,-26 0 0,-28 0 0,-14 0 0,-11-1 0,-7-1 0,-13-2 0,4 2 0,-7 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6:54.215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267 1 24575,'-24'0'0,"-8"0"0,-8 0 0,0 3 0,1 7 0,9 8 0,7 6 0,3 4 0,9 0 0,6 0 0,2 2 0,3 0 0,0-1 0,1-3 0,3-2 0,4-5 0,3-2 0,1-3 0,3 0 0,4 0 0,7 1 0,9-2 0,5-1 0,3-4 0,-1-2 0,-3-1 0,-3 1 0,-2 3 0,1 2 0,-2 1 0,0 3 0,-3 3 0,-6 1 0,-4 1 0,-4-1 0,-2 2 0,0 1 0,0 3 0,-4 2 0,-4-1 0,-4 3 0,-6-3 0,-5-4 0,-9-2 0,-9-6 0,-7-5 0,-7-4 0,-4-4 0,-1-1 0,3 0 0,7 0 0,5 0 0,4 0 0,3-2 0,2-3 0,2-4 0,4-1 0,2 1 0,5 2 0,2 1 0,1 3 0,1 0 0,0 1 0,2-2 0,1-1 0,7-3-1696,10-3 0,-4 4 0,3 1 0</inkml:trace>
  <inkml:trace contextRef="#ctx0" brushRef="#br0" timeOffset="1251">823 253 24575,'32'3'0,"42"0"0,-14-3 0,6 0 0,10 0 0,3 0 0,5 0 0,-1 0 0,-10 0 0,-4 0 0,-14 0 0,-4 0 0,25 0 0,-39 0 0,-22 0 0,-16 0 0,-6 0 0</inkml:trace>
  <inkml:trace contextRef="#ctx0" brushRef="#br0" timeOffset="2166">1143 572 24575,'46'0'0,"5"0"0,8 0 0,22 0 0,8 0 0,-15 0 0,3 0 0,1 0 0,0 0 0,-1 0 0,-3 0 0,21 0 0,-7 0 0,-18 0 0,-8 0 0,0 0 0,-40 0 0,-26 0 0,-10 0 0</inkml:trace>
  <inkml:trace contextRef="#ctx0" brushRef="#br0" timeOffset="4682">2725 291 24575,'0'26'0,"0"13"0,0 22 0,1 13 0,6 6 0,9-5 0,11-10 0,11-13 0,7-13 0,3-10 0,5-8 0,3-8 0,6-5 0,6-5 0,1-2 0,-5-4 0,-9-8 0,-12-10 0,-9-13 0,-8-9 0,-4-5 0,-8-3 0,-4-3 0,-5-3 0,-3-5 0,-1-5 0,-4 0 0,-8 0 0,-6 8 0,-5 10 0,-2 10 0,0 10 0,-2 7 0,-1 4 0,-1 4 0,-1 3 0,-1 1 0,-1 4 0,1 2 0,-5 3 0,-6 0 0,-4 2 0,-3 2 0,3 3 0,4 2 0,8 1 0,5 0 0,8 1 0,5-1 0,2 1 0,4 1 0,2 0 0,3-1 0,2 0 0,2 2 0,0 0 0,-1 2 0,1-1 0,0-1 0,0 0 0,0-1 0,0 0 0,0 0 0,0 0 0,0-3 0,0 0 0,0-5 0,0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7:03.865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4100 320 24575,'-8'4'0,"-1"-3"0,-3-6 0,-4-2 0,-4-1 0,-3-1 0,-8 0 0,-12-4 0,-18-7 0,-19-5 0,-14-6 0,43 15 0,-1 0 0,-1 1 0,-1 0 0,-1 0 0,0 1 0,-4 0 0,-1 1 0,-3 0 0,0 0 0,-5 1 0,0 1 0,-2 2 0,0 2 0,2 1 0,1 2 0,2 1 0,2 2 0,5 1 0,1 0 0,4 0 0,0 0 0,1 1 0,0 0 0,-2 4 0,-2 2 0,-6 4 0,0 2 0,-4 3 0,0 2 0,1 2 0,0 2 0,4 0 0,2 0 0,7-1 0,2 2 0,-38 23 0,10 2 0,-2 6 0,34-24 0,0 2 0,-2 2 0,0 1 0,-1 3 0,0 1 0,2 0 0,2 2 0,4 0 0,2 2 0,1 3 0,2 3 0,3 1 0,3 2 0,2 4 0,2 2 0,3 2 0,2 1 0,3-2 0,1 0 0,2-1 0,2-1 0,3-6 0,0-1 0,-3 38 0,4-8 0,5-4 0,1 6 0,2 5 0,1 4 0,0 4 0,0-1 0,0 3 0,0 1 0,0-46 0,0 0 0,0-1 0,0 0 0,0 44 0,0-12 0,0-21 0,0-15 0,0-14 0,0-12 0,0-4 0,0-5 0,0-1 0,0-3 0,0-1 0,0 1 0,0-1 0,0-1 0,0 1 0,1-2 0,3-2 0,6-1 0,9-3 0,10-6 0,9-7 0,4-4 0,3 2 0,12 6 0,12 6 0,8 4 0,1 0 0,-18 0 0,-17 0 0,-17 0 0,-16 0 0,-16 0 0,-9 0 0,-23 0 0,-20 0 0,-16-2 0,-10-1 0,9 1 0,9 0 0,-1 2 0,-5 0 0,-8 0 0,-5 0 0,7 0 0,12 0 0,14 0 0,15 1 0,9 0 0,6 1 0,6 0 0,3-2 0,1 0 0,0 0 0,-2 0 0,2 0 0,1 0 0,1 0 0,4 0 0,4 1 0,7 2 0,5 7 0,3 5 0,2 6 0,5 4 0,3 3 0,1 2 0,1 1 0,-3-1 0,1 2 0,-1 2 0,0 4 0,2 7 0,0 7 0,1 5 0,2 3 0,-3-3 0,-3-7 0,-3-7 0,-4-12 0,-3-7 0,-3-5 0,-2-4 0,-2-3 0,-1-2 0,-1-3 0,1-2 0,0-3 0,2-2 0,3-1 0,3-5 0,3-7 0,4-12 0,4-12 0,4-12 0,3-7 0,0-3 0,-2 5 0,-1 6 0,-2 6 0,0 1 0,1 1 0,7-7 0,7-9 0,5-5 0,0 1 0,-6 9 0,-10 12 0,-9 14 0,-7 9 0,-8 8 0,-5 4 0,-3 2 0,-5 2 0,4 0 0,-1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7:10.113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3532 962 24575,'-6'-16'0,"-11"-10"0,-29-25 0,-19-15 0,26 27 0,-2 0 0,0 0 0,-1 1 0,-32-25 0,-2 3 0,-3 2 0,37 29 0,-1 0 0,-3-2 0,0 0 0,-2 0 0,0-1 0,0 2 0,0 0 0,-1 1 0,0 2 0,0 2 0,0 2 0,1 2 0,1 2 0,-48-11 0,4 7 0,3 8 0,3 7 0,10 4 0,7 4 0,6 0 0,-8 2 0,-12 7 0,-11 11 0,41-4 0,0 2 0,-1 3 0,1 1 0,2 1 0,2 1 0,-39 21 0,17-4 0,11-2 0,4-1 0,1 2 0,-1 2 0,3-1 0,8-3 0,7-3 0,9-2 0,5 2 0,1 6 0,0 4 0,0 3 0,1 2 0,4-1 0,1 1 0,3 2 0,2 3 0,-1 5 0,0 10 0,0 8 0,1 8 0,0 1 0,0-1 0,0-2 0,0 0 0,2-2 0,3-2 0,1-1 0,3-3 0,2-2 0,0-8 0,0-6 0,0-4 0,0-4 0,0 5 0,0 6 0,0 3 0,0 5 0,0-1 0,0-3 0,0-3 0,0-6 0,0-5 0,0-4 0,0 0 0,0 1 0,2 4 0,2 4 0,2 0 0,3 0 0,0-3 0,-1-6 0,-2-6 0,-1-4 0,-2-5 0,-1-1 0,-1-2 0,-1-1 0,0-1 0,0-1 0,0 0 0,0 2 0,0 5 0,0 4 0,0 2 0,2 1 0,1-2 0,1-6 0,0-8 0,-1-6 0,-1-4 0,0-3 0,0-1 0,-2-2 0,0-1 0,1-3 0,1-2 0,3-2 0,0-2 0,2 0 0,5-1 0,7-4 0,7-5 0,5-3 0,-1-2 0,0 1 0,2 3 0,1 3 0,-2 1 0,-2 1 0,-6 1 0,-5 0 0,-2 2 0,-4 0 0,0 0 0,-1 0 0,-5-1 0,-6 2 0,-12 1 0,-14 1 0,-10 0 0,-10 0 0,-3 0 0,-1 0 0,1 0 0,2 0 0,2 0 0,2 0 0,1 0 0,-1 0 0,-4 0 0,-4 0 0,-2 2 0,5 2 0,7 0 0,8-1 0,7-1 0,6-2 0,4 0 0,3 1 0,3 1 0,0 0 0,-1-1 0,4 0 0,5 2 0,6 3 0,7 3 0,5 2 0,4 3 0,2 4 0,0 1 0,1 1 0,-3 0 0,-1 1 0,-1 2 0,-1 1 0,2 3 0,1 1 0,0 2 0,2-1 0,-2-2 0,-2 0 0,-2-5 0,-1-2 0,-2-5 0,-2-4 0,-2-3 0,-3-4 0,0-3 0,0 0 0,1-1 0,-2 0 0,1-1 0,1-4 0,-1-5 0,3-5 0,1-3 0,2 0 0,4-3 0,6-2 0,6-4 0,3-2 0,-1 1 0,-4 1 0,-6 4 0,-3 5 0,-3 3 0,-2 5 0,-1 2 0,-1 0 0,-1 1 0,1 1 0,-4 2 0,-3 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7:14.981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1988 44 24575,'-18'69'0,"-5"-16"0,-5 6 0,-13 18 0,-5 3 0,10-21 0,-2 1 0,-2 0 0,-2 2 0,-1 0 0,-1-2 0,-17 20 0,0-2 0,19-26 0,-1-1 0,0 0 0,-20 25 0,0-1 0,5-6 0,2-2 0,4-4 0,2-2 0,8-10 0,2-2 0,5-6 0,1-1 0,-27 33 0,5-8 0,6-7 0,1-7 0,8-8 0,10-13 0,9-11 0,9-8 0,5-8 0,5-8 0,4-6 0,1 2 0,1-1 0</inkml:trace>
  <inkml:trace contextRef="#ctx0" brushRef="#br0" timeOffset="2017">540 491 24575,'-12'-4'0,"-5"1"0,-13 3 0,-15 0 0,-11 0 0,-1 0 0,7 0 0,10 4 0,9 5 0,6 9 0,8 7 0,6 3 0,5 5 0,4 2 0,0 3 0,2 1 0,0-1 0,0-6 0,2-5 0,2-7 0,4-3 0,3-3 0,3 0 0,3-2 0,8 0 0,9-3 0,11-3 0,5-3 0,-1-3 0,-5 0 0,-10 0 0,-8 0 0,-6 1 0,-5 4 0,-5 4 0,-2 3 0,-3 1 0,-2 1 0,-2 2 0,-2 4 0,-2 3 0,-4 4 0,-4 1 0,-1 2 0,-3 1 0,0 2 0,-3 0 0,-3 0 0,-1-6 0,-1-5 0,0-8 0,-2-6 0,-4-5 0,-6-4 0,-7-7 0,-6-5 0,1-4 0,5 0 0,9 5 0,8 2 0,7 1 0,6 3 0,2-2 0,3 0 0,1-2 0,1 0 0,1-2 0,1-2 0,2 2 0,1 2 0,0 5 0,2 3 0</inkml:trace>
  <inkml:trace contextRef="#ctx0" brushRef="#br0" timeOffset="3684">2109 0 24575,'4'25'0,"10"19"0,17 35 0,-4-24 0,5 4 0,10 9 0,5 1 0,7 7 0,4-1 0,1-4 0,1-4 0,-2-2 0,1-4 0,-3-4 0,-1-2 0,-6-8 0,-1-1 0,-2-2 0,0-1 0,-4-5 0,0-2 0,-2-3 0,0 0 0,37 29 0,-4-2 0,-6-1 0,-7-7 0,-11-9 0,-12-8 0,-11-9 0,-8-4 0,-5-9 0,-6-5 0,-4-6 0</inkml:trace>
  <inkml:trace contextRef="#ctx0" brushRef="#br0" timeOffset="5689">3357 917 24575,'0'-43'0,"0"-17"0,0-15 0,0-14 0,0 4 0,0 7 0,0 14 0,0 20 0,0 15 0,1 13 0,2 7 0,4 5 0,3 4 0,9 4 0,9 7 0,9 8 0,9 12 0,6 10 0,3 7 0,1 5 0,-2-3 0,-6-7 0,-7-9 0,-7-10 0,-7-8 0,-6-5 0,-3-2 0,-3-3 0,-1-2 0,-1-2 0,-2-1 0,-1-1 0,-3-1 0,-4-1 0,1-1 0,-1 0 0,0 0 0,0-1 0,0-3 0,-1-7 0,0-17 0,-2-20 0,-6-21 0,-5-15 0,-5-3 0,-1 5 0,4 13 0,7 17 0,2 18 0,2 14 0,0 12 0,1 5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7:29.831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743 191 24575,'-37'0'0,"-6"0"0,-42 0 0,32 0 0,-4 0 0,-3 1 0,0 2 0,-1 1 0,3 3 0,-25 12 0,23 9 0,20 4 0,15 2 0,12 3 0,7 1 0,4 1 0,2 1 0,0-2 0,2-1 0,2-3 0,5-6 0,5-3 0,6-4 0,7-3 0,7-2 0,4-4 0,3-2 0,1-2 0,3-3 0,5-2 0,4-2 0,4-1 0,7 0 0,9 0 0,7 0 0,3 0 0,-6 0 0,-13 0 0,-16 0 0,-17 0 0,-12 0 0,-11 0 0,-4 0 0</inkml:trace>
  <inkml:trace contextRef="#ctx0" brushRef="#br0" timeOffset="1973">1406 323 24575,'-3'23'0,"0"12"0,3 16 0,0 10 0,0-2 0,-2-8 0,-3-11 0,-3-10 0,-6-2 0,-1 0 0,-1 1 0,-1 0 0,4-5 0,4-5 0,3-5 0,3-5 0,2-2 0,-1-5 0,4-15 0,6-12 0,5-19 0,4-9 0,2-1 0,-1 6 0,-1 8 0,-1 11 0,-2 6 0,-1 5 0,-1 3 0,-1 3 0,0-1 0,2-4 0,4-8 0,5-10 0,4-6 0,-1-1 0,-5 7 0,-4 12 0,-6 11 0,-2 8 0,-2 3 0,-1 3 0,2 3 0,1 6 0,1 5 0,3 3 0,0 4 0,1 2 0,1 4 0,2 11 0,10 18 0,15 19 0,-14-31 0,3 0 0,1-1 0,1-1 0,25 29 0,-16-18 0,-18-22 0,-10-13 0,-8-11 0,-3-5 0</inkml:trace>
  <inkml:trace contextRef="#ctx0" brushRef="#br0" timeOffset="3016">1871 791 24575,'-77'0'0,"-3"0"0,-13 0 0,6 0 0,18 0 0,20 0 0,28 0 0,11 0 0</inkml:trace>
  <inkml:trace contextRef="#ctx0" brushRef="#br0" timeOffset="5034">2305 275 24575,'-21'-3'0,"-5"0"0,-6 3 0,-2 0 0,5 0 0,8 1 0,9 3 0,3 3 0,7 5 0,0 5 0,2 4 0,0 2 0,0 1 0,0-1 0,0-1 0,2-2 0,1-2 0,3-3 0,2-3 0,3-2 0,5-1 0,9 0 0,8-1 0,11 0 0,3 2 0,-4 0 0,-7 2 0,-8 2 0,-4 4 0,-5 2 0,-4 2 0,-6-1 0,-5-1 0,-2 2 0,-2 0 0,-2 1 0,-4 1 0,-5 0 0,-8-1 0,-7-1 0,-8 0 0,-6 0 0,-5-2 0,2-4 0,4-3 0,10-5 0,11-4 0,4-3 0,3-1 0,-1 0 0,1-1 0,3-4 0,5 3 0,2-2 0</inkml:trace>
  <inkml:trace contextRef="#ctx0" brushRef="#br0" timeOffset="7320">2709 376 24575,'0'33'0,"0"5"0,0 23 0,0 5 0,0 1 0,0-5 0,0-13 0,0-6 0,0-8 0,-2-3 0,-2-6 0,-2-4 0,0-4 0,2-5 0,1-8 0,4-19 0,7-23 0,7-23 0,6-13 0,2-6 0,-1-1 0,-1-1 0,2 0 0,0 4 0,-3 9 0,-1 13 0,-6 15 0,-1 17 0,-3 12 0,-2 7 0,0 4 0,1-1 0,0 1 0,0 1 0,-1 2 0,-1 5 0,1 11 0,3 13 0,1 12 0,0 10 0,-1 4 0,1 2 0,4 2 0,3-5 0,0-9 0,0-9 0,-3-9 0,0-5 0,-1-1 0,-1-1 0,-1 1 0,-2-3 0,-2-4 0,-1-6 0,-2-7 0,-2-2 0,-2-4 0</inkml:trace>
  <inkml:trace contextRef="#ctx0" brushRef="#br0" timeOffset="8685">2798 724 24575,'16'0'0,"6"0"0,6 0 0,2 0 0,-1 0 0,0 0 0,-4 0 0,-2 0 0,-4 0 0,-4 0 0,-4 0 0,-3-2 0,-4 1 0,-3-1 0</inkml:trace>
  <inkml:trace contextRef="#ctx0" brushRef="#br0" timeOffset="11134">3322 193 24575,'3'12'0,"0"8"0,-3 16 0,0 19 0,0 13 0,0 0 0,0-9 0,0-15 0,0-14 0,0-14 0,0-7 0,0-2 0,0 3 0,0 0 0,2 2 0,-1-2 0,1-5 0,0-19 0,-4-9 0,-1-23 0,-2-15 0,-2-7 0,0-2 0,-1 6 0,-1 14 0,2 12 0,2 10 0,2 9 0,2 5 0,1 2 0,0 4 0,2 1 0,2 2 0,4 2 0,2 0 0,2-2 0,3 1 0,3-1 0,6 2 0,7 1 0,7 0 0,8 5 0,11 11 0,10 12 0,9 15 0,2 8 0,-10-2 0,-17-6 0,-17-6 0,-14-4 0,-10 0 0,-5 0 0,-5-3 0,-6-2 0,-6-3 0,-3-2 0,-4 0 0,1-1 0,0 0 0,-4-1 0,-4-3 0,-9 0 0,-9 0 0,-14 1 0,-13-1 0,-13 0 0,-7-2 0,8-3 0,14-1 0,21-5 0,22-3 0,16-1 0,8-1 0,5 0 0</inkml:trace>
  <inkml:trace contextRef="#ctx0" brushRef="#br0" timeOffset="13383">4100 324 24575,'0'20'0,"0"8"0,0 15 0,0 10 0,1 0 0,7-2 0,7-10 0,7-9 0,4-9 0,0-6 0,-1-4 0,0-5 0,-1-4 0,1-3 0,3-1 0,4 0 0,4 0 0,4-2 0,8-8 0,5-10 0,4-13 0,-5-9 0,-9-3 0,-11-3 0,-14 1 0,-8-2 0,-9 1 0,-14 4 0,-13 2 0,-16 1 0,-16-1 0,-7-2 0,-3 0 0,3 5 0,10 8 0,7 10 0,9 10 0,2 6 0,3 3 0,4 2 0,4 0 0,5 2 0,4 5 0,1 3 0,4 5 0,-1 2 0,3 1 0,2 1 0,1 0 0,4 1 0,1 1 0,2 0 0,0 2 0,0-1 0,0 0 0,2 0 0,0 2 0,2 0 0,1 1 0,0-1 0,1-2 0,0-2 0,1-2 0,-1-2 0,0-3 0,-1-3 0,1-2 0,-1-1 0,2 1 0,0 0 0,1-2 0,-1-2 0,-1-3 0,-2-1 0,-2-1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9:03.654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16383,'77'57'0,"-1"-1"0,1 0 0,0 0 0,0 0 0,-1 0 0,1 1 0,6 5 0,9 9 0,-2-1 0,-11-11 0,-21-18 0,-30-29 0,-28-25 0,0 3 0,0-6 0,0-12 0,0-30 0,5-18 0,15-12 0,26 9 0,-18 37 0,9 17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9:11.450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0 1 24575,'0'17'0,"0"17"0,0 26 0,0 28 0,2-32 0,2 4 0,4 16 0,3 4 0,3-2 0,1 0 0,3-4 0,1-3 0,-2-13 0,1-7 0,8 4 0,-2-26 0,-5-29 0,4-28 0,3-20 0,13-19 0,-5 11 0,10-2 0,-3 10 0,0-2 0,-7 3 0,-10 9 0,-9 10 0,-1 5 0,1 2 0,-1 1 0,1 3 0,1 3 0,0 3 0,-1 4 0,-2 4 0,-3 1 0,-1 1 0,0 0 0,0-3 0,-1 0 0,-1-1 0,-1-1 0,-1-2 0,0-1 0,3-2 0,2 1 0,2-1 0,2 0 0,-1-2 0,1-4 0,1-7 0,0-5 0,0-5 0,0 1 0,0 3 0,0 4 0,-2 6 0,-1 3 0,0 4 0,-3 3 0,0 3 0,-2 7 0,-2 0 0,-3 3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9:13.465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0 39 24575,'0'32'0,"0"33"0,0-14 0,0 6 0,0 18 0,0 5 0,0 3 0,0 0 0,0-3 0,0-3 0,0-10 0,0-4 0,0 33 0,0-19 0,0-21 0,0-13 0,0-8 0,0-8 0,0-5 0,0-5 0,1-6 0,1-4 0,3-3 0,5-5 0,13-11 0,19-14 0,26-21 0,-21 14 0,5 0 0,15-7 0,9 1 0,-8 8 0,6 0 0,4 1-488,-9 5 1,3 1 0,1-1-1,3 1 488,9-3 0,2-1 0,2 1 0,0-2 0,5 0 0,2-1 0,-1 0 0,-2-1 0,-7 1 0,-1 0 0,-2 0 0,-2-1 0,-6 1 0,-2 0 0,-2-1 0,-3 1-51,9-7 0,-3 0 0,-6 1 51,10-9 0,-8 3 0,-14 7 0,-6 3 0,9-8 0,-25 22 0,-17 9 1933,-9 4-1933,-5-2 0,-2 3 0,-1-1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9:21.99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248 1160 24575,'49'0'0,"12"0"0,12 0 0,-2 0 0,6 0 0,3 0-739,12 0 1,3 0 0,0 0 738,-2 0 0,0 0 0,-4 0 0,-17 0 0,-3 0 0,-3 0 355,13 0 1,-4 0-356,-13 0 0,-2 0 182,-8 0 1,-2 0-183,32 0 0,-21 0 0,-13-1 1139,-11-4-1139,-5-2 0,-5 0 0,-2 0 0,-4 2 0,-3-1 0,-2 0 0,-5-1 0,-2 2 0,-3 0 0,-3 0 0,-2 0 0,0-2 0,-1 1 0,0-1 0,0-2 0,-1 1 0,3-1 0,0 2 0,-1-1 0,2-2 0,0-5 0,1-7 0,2-11 0,-3-17 0,0-21 0,-3-28 0,-4 37 0,-2-2 0,-2-4 0,-3-2 0,-1 1 0,-2 2 0,0 6 0,0 3 0,-7-32 0,7 28 0,6 27 0,4 20 0,0 10 0,-2 4 0,-3 1 0,-1-1 0,-2 1 0,-1 0 0,-1 0 0,-4 0 0,-5 0 0,-11 0 0,-19 2 0,-18 3 0,-24 2 0,40-3 0,-1 1 0,-1 0 0,0 0 0,3-1 0,2-1 0,-34 4 0,23-3 0,18 0 0,11 0 0,4-1 0,-3 1 0,-5 0 0,-3 1 0,-1-1 0,0 0 0,-2 0 0,1 0 0,-1 1 0,-4 2 0,-5-1 0,-9 0 0,-5-1 0,-6-1 0,-2 2 0,4-1 0,6 0 0,12-1 0,8-2 0,7 0 0,5-2 0,1 0 0,5 0 0,6 0 0,7 1 0,5 1 0,4 1 0,3 3 0,4 7 0,5 15 0,1 21 0,-2 28 0,-4-25 0,-1 5 0,-1 12 0,0 2 0,-1 5 0,-1 1 0,-2 1 0,-1 1 0,-1-6 0,0-1 0,0-11 0,-1-2 0,-2 37 0,6-29 0,2-23 0,1-14 0,0-9 0,0-5 0,0-4 0,0-2 0,0-2 0,0-1 0,1-1 0,3-3 0,5 0 0,9-3 0,11 0 0,10-4 0,8-7 0,9-9 0,18-6 0,-24 11 0,5 0 0,9 0 0,4-1 0,6 1 0,3-1 0,-2 0 0,-1-1 0,-8 1 0,-3 0 0,-11 1 0,-3 0 0,15-7 0,-26 7 0,-21 7 0,-10 4 0,-5 0 0,-4 2 0,-4-2 0,3 3 0,-2-1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3:05.629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1 24575,'0'33'0,"0"34"0,0 26 0,0-40 0,0 1 0,0 0 0,0-2 0,0 26 0,0-16 0,0-17 0,0-17 0,0-8 0,0-6 0,0-7 0,0-2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5:28.165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0 413 24575,'63'0'0,"30"0"0,-14 7 0,7 5 0,10 3 0,1 3 0,-2 5 0,-3 3 0,-15-1 0,-8 2 0,7 10 0,-32-9 0,-24-10 0,-12-5 0,-6-3 0,-3-3 0,-3-3 0,-7-1 0,-6-2 0,-10-1 0,-7 0 0,-8 4 0,-7 10 0,-8 18 0,-8 20 0,-6 13 0,34-30 0,0 1 0,-35 31 0,6-7 0,5-7 0,10-10 0,6-8 0,6-5 0,7-6 0,5-4 0,5-4 0,2-3 0,4-3 0,1-3 0,8-3 0,2-3 0</inkml:trace>
  <inkml:trace contextRef="#ctx0" brushRef="#br0" timeOffset="2433">1262 89 24575,'0'24'0,"0"14"0,0 25 0,0 29 0,0-40 0,0 0 0,0-2 0,0 0 0,0 36 0,1-24 0,2-14 0,1-14 0,-1-13 0,0-7 0,0-6 0,2-3 0,1-2 0,0-1 0,3 0 0,12-1 0,16-5 0,15-7 0,8-9 0,-3-6 0,-5 1 0,-9 6 0,-12 8 0,-8 6 0,-11 3 0,-9-4 0,-8-12 0,-7-14 0,-2-17 0,0-12 0,5-11 0,4-9 0,3-1 0,2 3 0,0 13 0,0 20 0,0 17 0,-1 14 0,-1 11 0,0 23 0,1 10 0,1 27 0,0 6 0,2 9 0,2 11 0,3 7 0,-2-39 0,1 0 0,-2 4 0,1 0 0,0 0 0,-1-1 0,0-2 0,-1 0 0,0 38 0,-1-19 0,-2-19 0,0-17 0,0-12 0,0-8 0,0-9 0,-7-21 0,6 10 0,-6-12 0</inkml:trace>
  <inkml:trace contextRef="#ctx0" brushRef="#br0" timeOffset="4599">1945 177 24575,'15'0'0,"8"0"0,11-5 0,19-7 0,7-1 0,-1 1 0,-10 7 0,-16 5 0,-9 5 0,-5 9 0,-7 11 0,-5 10 0,-6 4 0,-6 4 0,-5 6 0,-5 10 0,-1 8 0,3 4 0,0-6 0,0-11 0,-3-10 0,-3-11 0,-1-3 0,0-3 0,0-3 0,2-1 0,3-3 0,1-2 0,5-3 0,2-3 0,2-2 0,4-1 0,0-2 0,0 2 0,4 0 0,6 1 0,14 1 0,15-3 0,16-3 0,14-3 0,6-5 0,5-4 0,1-5 0,-2-2 0,-5 0 0,-12 3 0,-18 2 0,-16 3 0,-14 1 0,-18 0 0,3 2 0,-10 0 0</inkml:trace>
  <inkml:trace contextRef="#ctx0" brushRef="#br0" timeOffset="6883">3217 0 24575,'-50'0'0,"-5"0"0,-9 0 0,1 0 0,7 0 0,17 0 0,15 0 0,8 0 0,4 0 0,1 2 0,3 0 0,-3 2 0,1 1 0,0-1 0,1-1 0,2 2 0,3-1 0,1 2 0,2 0 0,4 1 0,4 4 0,3 3 0,4 6 0,1 4 0,0 5 0,0 1 0,0 0 0,-2 0 0,-1-3 0,-3-5 0,-2-6 0,2-5 0,3-3 0,8-3 0,10-2 0,9-1 0,6-5 0,0-3 0,-6-1 0,-9 2 0,-8 2 0,-6 5 0,-3 8 0,-1 11 0,2 14 0,6 16 0,8 10 0,5 7 0,0 2 0,-3-1 0,-10-4 0,-9-7 0,-6-7 0,-5-9 0,-3-8 0,-5-9 0,-9-10 0,-9-8 0,-8-5 0,0-3 0,-3-4 0,2-7 0,1-5 0,0-5 0,2-2 0,2-1 0,3 1 0,6 3 0,7 4 0,5 4 0,4 3 0,2 4 0,2 2 0</inkml:trace>
  <inkml:trace contextRef="#ctx0" brushRef="#br0" timeOffset="8967">3546 68 24575,'0'38'0,"0"12"0,0 15 0,3 8 0,5 2 0,9-5 0,9-3 0,5-9 0,4-8 0,1-7 0,-4-9 0,-1-7 0,-4-7 0,-3-4 0,-1-1 0,-2-2 0,-2-2 0,-2-2 0,-2-1 0,-1-1 0,2-2 0,1-2 0,3-1 0,2-5 0,-1-9 0,0-13 0,-1-18 0,-3-13 0,-2-7 0,-6-4 0,-4 1 0,-3 5 0,-2 2 0,-1 8 0,-4 4 0,-5 6 0,-6 7 0,-3 9 0,0 6 0,1 6 0,1 2 0,-3 2 0,0 2 0,-1 2 0,-1 0 0,0 2 0,-3 0 0,-6-1 0,-7-5 0,-4-3 0,-1-1 0,6 1 0,8 6 0,7 2 0,5 3 0,5 1 0,1 0 0,0 0 0,2 1 0,2 3 0,3 1 0,2 2 0,2 1 0,0-1 0,0-2 0,0-2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5:39.434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668 252 24575,'-37'0'0,"-3"2"0,-8 7 0,-3 9 0,4 8 0,4 5 0,11 3 0,5-2 0,7-2 0,6-5 0,4-6 0,4-4 0,3-5 0,2-3 0,2-2 0,2 0 0,4 1 0,6 2 0,6 4 0,9 2 0,8 1 0,10 3 0,5 1 0,1 0 0,-2-1 0,-3-1 0,1-1 0,3 2 0,2 4 0,-3 1 0,-5 0 0,-11-6 0,-9-5 0,-11-6 0,-10-6 0,-1 0 0,-6-3 0</inkml:trace>
  <inkml:trace contextRef="#ctx0" brushRef="#br0" timeOffset="1816">777 1105 24575,'-64'-4'0,"-26"2"0,30 1 0,-3 2 0,-4-1 0,1 0 0,7 0 0,2 0 0,-35 0 0,29 0 0,20-2 0,15 1 0,12-4 0,8 0 0,8 2 0,1 0 0,3 3 0</inkml:trace>
  <inkml:trace contextRef="#ctx0" brushRef="#br0" timeOffset="3796">1254 170 24575,'0'26'0,"0"6"0,0 3 0,0 6 0,0-2 0,0 4 0,2-1 0,2-4 0,2-4 0,1-7 0,-1-4 0,0-5 0,-2-2 0,0-3 0,-1-2 0,1-3 0,1-3 0,3-3 0,3-2 0,5 1 0,7-1 0,5-2 0,4-3 0,-1-4 0,-5-2 0,-4 1 0,-5 2 0,-3 4 0,-5 0 0,-3-1 0,-3-1 0,-2-3 0,-1-6 0,0-10 0,-3-10 0,-5-5 0,-5-5 0,-4 3 0,1 7 0,4 6 0,5 11 0,5 6 0,4 7 0,5 14 0,1 15 0,-1 21 0,-2 20 0,-1 25 0,-2-39 0,1 2 0,0 3 0,2 0 0,0-1 0,0-2 0,5 37 0,0-19 0,0-23 0,-2-18 0,-1-14 0,0-8 0,-3-7 0,-1-1 0,-2-3 0</inkml:trace>
  <inkml:trace contextRef="#ctx0" brushRef="#br0" timeOffset="5614">1752 377 24575,'0'-13'0,"0"-1"0,1 0 0,3 0 0,3 2 0,4 0 0,1 1 0,0 2 0,-2-1 0,1 1 0,-1 1 0,-2 1 0,2 0 0,-2 2 0,0 2 0,2 1 0,1 2 0,2 0 0,0 2 0,1 8 0,0 7 0,-3 7 0,-4 5 0,-4 0 0,-3 5 0,-1 2 0,-6 2 0,-4 0 0,-6-4 0,-3-4 0,1-5 0,-1-4 0,3-1 0,4-1 0,1-2 0,5 1 0,1-3 0,2 0 0,3-2 0,0-1 0,1-1 0,0-3 0,1-1 0,4 0 0,10-1 0,17-2 0,19-1 0,12-4 0,0-6 0,-9-7 0,-13-2 0,-12 1 0,-10 5 0,-4 4 0,-5 2 0,-3 1 0,-3-1 0,-3-2 0,-5-3 0,3 4 0,-4 1 0</inkml:trace>
  <inkml:trace contextRef="#ctx0" brushRef="#br0" timeOffset="7597">2547 137 24575,'-10'0'0,"0"0"0,-2 0 0,-9 0 0,-10 0 0,-8 0 0,-1 0 0,6 0 0,8 0 0,8 0 0,7 1 0,6 2 0,5 4 0,4 4 0,3 2 0,2 4 0,2 4 0,2 7 0,-2 2 0,1 4 0,-3-1 0,-3-4 0,0-5 0,0-7 0,0-5 0,2-4 0,2-4 0,6-2 0,9-2 0,8 0 0,5 0 0,-4 0 0,-8 0 0,-10 0 0,-7 4 0,-5 7 0,-2 8 0,-1 5 0,-1 3 0,0 1 0,0 3 0,0 7 0,0 8 0,0 7 0,0 2 0,-2-9 0,-9-15 0,-12-13 0,-14-15 0,-9-11 0,-2-8 0,7-6 0,9 1 0,10 3 0,9 4 0,5 3 0,6 6 0,1 2 0</inkml:trace>
  <inkml:trace contextRef="#ctx0" brushRef="#br0" timeOffset="9412">2884 18 24575,'0'10'0,"0"5"0,0 6 0,0 10 0,0 11 0,0 6 0,0 11 0,0 5 0,0 6 0,0-2 0,0-5 0,2-9 0,2-9 0,3-9 0,2-9 0,2-7 0,0-4 0,4-3 0,3-1 0,5-4 0,4-3 0,2-4 0,4-1 0,0-2 0,-2-4 0,-1-9 0,-4-10 0,-3-9 0,-5-9 0,-7-8 0,-6-5 0,-4 0 0,-2 5 0,-4 8 0,-5 6 0,-3 5 0,-5-1 0,-1-2 0,-6-2 0,-1-2 0,0 1 0,0 5 0,3 6 0,1 7 0,0 7 0,0 4 0,1 3 0,2 3 0,3 2 0,2 1 0,1 0 0,3 3 0,-1 3 0,3 3 0,2 1 0,3 2 0,1-2 0,1 0 0,1-1 0,1-4 0,-1-1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5:51.282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4 24575,'57'0'0,"1"0"0,13 0 0,12 0 0,12 0 0,5 0-1498,-9 0 0,5 0 0,2 0 0,2 0 1498,-12 0 0,2 0 0,0 0 0,1 0 0,0 0 0,0 0 0,0 0 0,1 0 0,-3 0 0,-2 0 21,5 0 0,-3 0 0,-2 0 0,-4 0-21,14 0 0,-5 0 0,-6 0 647,12 0 0,-11 0-647,-30 0 0,-7 0 0,19 0 0,-33 0 2998,-18 0-2998,-11 0 1616,-8 0-1616,-12-1 0,5 0 0,-4-1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5:53.997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66 24575,'21'-3'0,"22"0"0,33 3 0,-19 0 0,6 0 0,11 0 0,4 0 0,9 0 0,2 0 0,5 0 0,2 0 0,-2 0 0,-1 0 0,-3 0 0,-1 0 0,-3 0 0,-1 0 0,-7-1 0,-3-1 0,-5-1 0,-3-1 0,-8 0 0,-4-2 0,29-7 0,-26 2 0,-22 3 0,-18 3 0,-13 3 0,-7 2 0,-5 0 0,-1 0 0,-5 0 0,6 0 0,-2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6:06.066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0 16 24575,'26'0'0,"17"0"0,49 0 0,-22 0 0,8 0 0,-12 0 0,4 0 0,2 0-326,9 0 1,3 0 0,-1 0 325,-1 0 0,-2 0 0,-1 0 0,-5 0 0,-1 0 0,-4 0 119,16 0 1,-7 0-120,-18 0 0,-5 0 0,21 0 0,-32 0 0,-17 0 0,-12 0 737,-7-2-737,-3-1 0,-4-1 0,0 0 0,-1 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6:17.950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1 1 24575,'19'0'0,"18"0"0,63 0 0,-28 0 0,5 0 0,16 0 0,5 0 0,-30 0 0,1 0 0,-1 0 0,25 0 0,-3 0 0,-6 0 0,-3 0 0,-9 0 0,-4 0 0,-11 0 0,-4 0 0,25 0 0,-20 0 0,-21 0 0,-17 0 0,-10 0 0,-7 0 0,-6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5T23:56:45.150"/>
    </inkml:context>
    <inkml:brush xml:id="br0">
      <inkml:brushProperty name="width" value="0.1" units="cm"/>
      <inkml:brushProperty name="height" value="0.1" units="cm"/>
      <inkml:brushProperty name="color" value="#FF0066"/>
    </inkml:brush>
  </inkml:definitions>
  <inkml:trace contextRef="#ctx0" brushRef="#br0">438 94 24575,'-10'-7'0,"-7"1"0,-10 6 0,-10 0 0,-8 0 0,-2 0 0,0 0 0,3 0 0,8 0 0,10 2 0,9 5 0,6 2 0,5 5 0,4 1 0,2 3 0,0 4 0,0 1 0,2 1 0,4-1 0,6-4 0,3 1 0,4-2 0,3-2 0,4 1 0,9-2 0,9-1 0,5-3 0,-2-4 0,-7-1 0,-9 0 0,-7 3 0,-9 3 0,-6 1 0,-5 1 0,-4-1 0,0 1 0,-1 1 0,-3 1 0,-6 0 0,-3 0 0,-5-2 0,0 0 0,-2-2 0,-3-1 0,-3-4 0,-7-3 0,-8-3 0,-5-3 0,-3-6 0,2-5 0,7-4 0,9 0 0,11 3 0,6 3 0,7 1 0,4 5 0,1 0 0</inkml:trace>
  <inkml:trace contextRef="#ctx0" brushRef="#br0" timeOffset="1383">625 326 24575,'21'0'0,"29"0"0,26 0 0,23 0 0,-46 0 0,-1 0 0,36 1 0,-11 1 0,-21 1 0,-17 1 0,-16 0 0,-16-1 0,-4-1 0,-5-1 0</inkml:trace>
  <inkml:trace contextRef="#ctx0" brushRef="#br0" timeOffset="2551">819 631 24575,'78'0'0,"13"0"0,-35 0 0,0 0 0,-3 0 0,-2 0 0,27 0 0,-26 0 0,-21 0 0,-14 0 0,-9 0 0,-1 0 0,2 0 0,-1 0 0,0-3 0,-4 2 0,-2-1 0</inkml:trace>
  <inkml:trace contextRef="#ctx0" brushRef="#br0" timeOffset="4584">1892 338 24575,'0'-50'0,"0"-3"0,0-14 0,0 1 0,0 12 0,0 16 0,0 29 0,0 21 0,0 14 0,0 12 0,0 7 0,0 6 0,0 5 0,0 3 0,0 8 0,0 4 0,0 1 0,0-4 0,0-11 0,0-10 0,0-13 0,0-10 0,1-8 0,1-7 0,1-2 0,3-2 0,0-2 0,3 1 0,7-2 0,9 0 0,11-2 0,12-3 0,5-8 0,-4-5 0,-5-4 0,-12 3 0,-8 7 0,-9 5 0,-9 4 0,-6 1 0,-12 0 0,-15 0 0,-14 0 0,-16 0 0,-10 0 0,-13 0 0,-10 0 0,-6 0 0,-1 0 0,13 1 0,14 2 0,21 0 0,16 1 0,12-2 0,8-2 0,9-2 0,1 0 0,4 1 0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J5:N26"/>
  <sheetViews>
    <sheetView zoomScale="120" zoomScaleNormal="120" workbookViewId="0">
      <selection activeCell="J27" sqref="J27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1"/>
      <c r="M5" s="21"/>
    </row>
    <row r="6" spans="12:14" ht="31" x14ac:dyDescent="0.35">
      <c r="L6" s="21"/>
      <c r="M6" s="21"/>
    </row>
    <row r="8" spans="12:14" ht="31" x14ac:dyDescent="0.35">
      <c r="L8" s="21"/>
      <c r="M8" s="21"/>
    </row>
    <row r="12" spans="12:14" ht="34" x14ac:dyDescent="0.4">
      <c r="L12" s="22"/>
    </row>
    <row r="13" spans="12:14" ht="29" x14ac:dyDescent="0.35">
      <c r="L13" s="8"/>
      <c r="M13" s="8"/>
      <c r="N13" s="23"/>
    </row>
    <row r="14" spans="12:14" ht="31" x14ac:dyDescent="0.35">
      <c r="L14" s="8"/>
      <c r="M14" s="23"/>
      <c r="N14" s="21"/>
    </row>
    <row r="15" spans="12:14" ht="31" x14ac:dyDescent="0.35">
      <c r="L15" s="8"/>
      <c r="M15" s="21"/>
      <c r="N15" s="21"/>
    </row>
    <row r="17" spans="10:14" ht="31" x14ac:dyDescent="0.35">
      <c r="M17" s="23"/>
      <c r="N17" s="21"/>
    </row>
    <row r="26" spans="10:14" x14ac:dyDescent="0.2">
      <c r="J26">
        <f>1 - (0.8^2 + 0.2^2)</f>
        <v>0.31999999999999984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22"/>
  <sheetViews>
    <sheetView workbookViewId="0">
      <selection activeCell="D17" sqref="D4:D17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4" t="s">
        <v>19</v>
      </c>
      <c r="C2" s="14" t="s">
        <v>20</v>
      </c>
      <c r="D2" s="14">
        <v>10</v>
      </c>
      <c r="E2" s="14">
        <v>12.5</v>
      </c>
      <c r="F2" s="14">
        <v>15</v>
      </c>
      <c r="G2" s="14">
        <v>17.5</v>
      </c>
      <c r="H2" s="14">
        <v>20</v>
      </c>
    </row>
    <row r="3" spans="2:8" ht="25" x14ac:dyDescent="0.25">
      <c r="B3" s="15">
        <v>350</v>
      </c>
      <c r="C3" s="15">
        <v>10</v>
      </c>
      <c r="D3" s="15">
        <f>B3</f>
        <v>350</v>
      </c>
      <c r="E3" s="15">
        <v>365</v>
      </c>
      <c r="F3" s="15">
        <v>340</v>
      </c>
      <c r="G3" s="15">
        <v>350</v>
      </c>
      <c r="H3" s="15">
        <v>370</v>
      </c>
    </row>
    <row r="4" spans="2:8" ht="25" x14ac:dyDescent="0.25">
      <c r="B4" s="15">
        <v>400</v>
      </c>
      <c r="C4" s="15">
        <v>20</v>
      </c>
      <c r="D4" s="15">
        <v>479.29</v>
      </c>
      <c r="E4" s="15">
        <v>486.92</v>
      </c>
      <c r="F4" s="15">
        <v>503.33</v>
      </c>
      <c r="G4" s="15">
        <v>514.54999999999995</v>
      </c>
      <c r="H4" s="15">
        <v>370</v>
      </c>
    </row>
    <row r="5" spans="2:8" ht="25" x14ac:dyDescent="0.25">
      <c r="B5" s="15">
        <v>470</v>
      </c>
      <c r="C5" s="15">
        <v>30</v>
      </c>
      <c r="D5" s="15">
        <v>479.29</v>
      </c>
      <c r="E5" s="15">
        <v>486.92</v>
      </c>
      <c r="F5" s="15">
        <v>503.33</v>
      </c>
      <c r="G5" s="15">
        <v>514.54999999999995</v>
      </c>
      <c r="H5" s="15">
        <v>537.78</v>
      </c>
    </row>
    <row r="6" spans="2:8" ht="25" x14ac:dyDescent="0.25">
      <c r="B6" s="15">
        <v>550</v>
      </c>
      <c r="C6" s="15">
        <v>25</v>
      </c>
      <c r="D6" s="15">
        <v>479.29</v>
      </c>
      <c r="E6" s="15">
        <v>486.92</v>
      </c>
      <c r="F6" s="15">
        <v>503.33</v>
      </c>
      <c r="G6" s="15">
        <v>514.54999999999995</v>
      </c>
      <c r="H6" s="15">
        <v>537.78</v>
      </c>
    </row>
    <row r="7" spans="2:8" ht="25" x14ac:dyDescent="0.25">
      <c r="B7" s="15">
        <v>620</v>
      </c>
      <c r="C7" s="15">
        <v>37.5</v>
      </c>
      <c r="D7" s="15">
        <v>479.29</v>
      </c>
      <c r="E7" s="15">
        <v>486.92</v>
      </c>
      <c r="F7" s="15">
        <v>503.33</v>
      </c>
      <c r="G7" s="15">
        <v>514.54999999999995</v>
      </c>
      <c r="H7" s="15">
        <v>537.78</v>
      </c>
    </row>
    <row r="8" spans="2:8" ht="25" x14ac:dyDescent="0.25">
      <c r="B8" s="15">
        <v>380</v>
      </c>
      <c r="C8" s="15">
        <v>17.5</v>
      </c>
      <c r="D8" s="15">
        <v>479.29</v>
      </c>
      <c r="E8" s="15">
        <v>486.92</v>
      </c>
      <c r="F8" s="15">
        <v>503.33</v>
      </c>
      <c r="G8" s="15">
        <v>350</v>
      </c>
      <c r="H8" s="15">
        <v>370</v>
      </c>
    </row>
    <row r="9" spans="2:8" ht="25" x14ac:dyDescent="0.25">
      <c r="B9" s="15">
        <v>290</v>
      </c>
      <c r="C9" s="15">
        <v>15</v>
      </c>
      <c r="D9" s="15">
        <v>479.29</v>
      </c>
      <c r="E9" s="15">
        <v>486.92</v>
      </c>
      <c r="F9" s="15">
        <v>340</v>
      </c>
      <c r="G9" s="15">
        <v>350</v>
      </c>
      <c r="H9" s="15">
        <v>370</v>
      </c>
    </row>
    <row r="10" spans="2:8" ht="25" x14ac:dyDescent="0.25">
      <c r="B10" s="15">
        <v>490</v>
      </c>
      <c r="C10" s="15">
        <v>25</v>
      </c>
      <c r="D10" s="15">
        <v>479.29</v>
      </c>
      <c r="E10" s="15">
        <v>486.92</v>
      </c>
      <c r="F10" s="15">
        <v>503.33</v>
      </c>
      <c r="G10" s="15">
        <v>514.54999999999995</v>
      </c>
      <c r="H10" s="15">
        <v>537.78</v>
      </c>
    </row>
    <row r="11" spans="2:8" ht="25" x14ac:dyDescent="0.25">
      <c r="B11" s="15">
        <v>580</v>
      </c>
      <c r="C11" s="15">
        <v>27.5</v>
      </c>
      <c r="D11" s="15">
        <v>479.29</v>
      </c>
      <c r="E11" s="15">
        <v>486.92</v>
      </c>
      <c r="F11" s="15">
        <v>503.33</v>
      </c>
      <c r="G11" s="15">
        <v>514.54999999999995</v>
      </c>
      <c r="H11" s="15">
        <v>537.78</v>
      </c>
    </row>
    <row r="12" spans="2:8" ht="25" x14ac:dyDescent="0.25">
      <c r="B12" s="15">
        <v>610</v>
      </c>
      <c r="C12" s="15">
        <v>32.5</v>
      </c>
      <c r="D12" s="15">
        <v>479.29</v>
      </c>
      <c r="E12" s="15">
        <v>486.92</v>
      </c>
      <c r="F12" s="15">
        <v>503.33</v>
      </c>
      <c r="G12" s="15">
        <v>514.54999999999995</v>
      </c>
      <c r="H12" s="15">
        <v>537.78</v>
      </c>
    </row>
    <row r="13" spans="2:8" ht="25" x14ac:dyDescent="0.25">
      <c r="B13" s="15">
        <v>560</v>
      </c>
      <c r="C13" s="15">
        <v>30</v>
      </c>
      <c r="D13" s="15">
        <v>479.29</v>
      </c>
      <c r="E13" s="15">
        <v>486.92</v>
      </c>
      <c r="F13" s="15">
        <v>503.33</v>
      </c>
      <c r="G13" s="15">
        <v>514.54999999999995</v>
      </c>
      <c r="H13" s="15">
        <v>537.78</v>
      </c>
    </row>
    <row r="14" spans="2:8" ht="25" x14ac:dyDescent="0.25">
      <c r="B14" s="15">
        <v>420</v>
      </c>
      <c r="C14" s="15">
        <v>20</v>
      </c>
      <c r="D14" s="15">
        <v>479.29</v>
      </c>
      <c r="E14" s="15">
        <v>486.92</v>
      </c>
      <c r="F14" s="15">
        <v>503.33</v>
      </c>
      <c r="G14" s="15">
        <v>514.54999999999995</v>
      </c>
      <c r="H14" s="15">
        <v>370</v>
      </c>
    </row>
    <row r="15" spans="2:8" ht="25" x14ac:dyDescent="0.25">
      <c r="B15" s="15">
        <v>450</v>
      </c>
      <c r="C15" s="15">
        <v>27.5</v>
      </c>
      <c r="D15" s="15">
        <v>479.29</v>
      </c>
      <c r="E15" s="15">
        <v>486.92</v>
      </c>
      <c r="F15" s="15">
        <v>503.33</v>
      </c>
      <c r="G15" s="15">
        <v>514.54999999999995</v>
      </c>
      <c r="H15" s="15">
        <v>537.78</v>
      </c>
    </row>
    <row r="16" spans="2:8" ht="25" x14ac:dyDescent="0.25">
      <c r="B16" s="15">
        <v>510</v>
      </c>
      <c r="C16" s="15">
        <v>30</v>
      </c>
      <c r="D16" s="15">
        <v>479.29</v>
      </c>
      <c r="E16" s="15">
        <v>486.92</v>
      </c>
      <c r="F16" s="15">
        <v>503.33</v>
      </c>
      <c r="G16" s="15">
        <v>514.54999999999995</v>
      </c>
      <c r="H16" s="15">
        <v>537.78</v>
      </c>
    </row>
    <row r="17" spans="2:8" ht="25" x14ac:dyDescent="0.25">
      <c r="B17" s="17">
        <v>380</v>
      </c>
      <c r="C17" s="17">
        <v>12.5</v>
      </c>
      <c r="D17" s="17">
        <v>479.29</v>
      </c>
      <c r="E17" s="17">
        <v>365</v>
      </c>
      <c r="F17" s="17">
        <v>340</v>
      </c>
      <c r="G17" s="17">
        <v>350</v>
      </c>
      <c r="H17" s="17">
        <v>370</v>
      </c>
    </row>
    <row r="18" spans="2:8" ht="26" x14ac:dyDescent="0.25">
      <c r="B18" s="18"/>
      <c r="C18" s="19" t="s">
        <v>21</v>
      </c>
      <c r="D18" s="20">
        <f>SQRT(SUMXMY2(D3:D17,B3:B17))</f>
        <v>354.81383484864284</v>
      </c>
      <c r="E18" s="20">
        <f>SQRT(SUMXMY2(E3:E17,$B$3:$B$17))</f>
        <v>340.18660055916371</v>
      </c>
      <c r="F18" s="20">
        <f>SQRT(SUMXMY2(F3:F17,$B$3:$B$17))</f>
        <v>278.3283435081666</v>
      </c>
      <c r="G18" s="20">
        <f>SQRT(SUMXMY2(G3:G17,$B$3:$B$17))</f>
        <v>249.14398949202047</v>
      </c>
      <c r="H18" s="20">
        <f>SQRT(SUMXMY2(H3:H17,$B$3:$B$17))</f>
        <v>200.38851164675086</v>
      </c>
    </row>
    <row r="19" spans="2:8" ht="25" x14ac:dyDescent="0.25">
      <c r="D19" s="16"/>
    </row>
    <row r="22" spans="2:8" x14ac:dyDescent="0.2">
      <c r="D22">
        <f>(B17+B3)/2</f>
        <v>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1D4-ABF0-6346-AF53-5B907184A795}">
  <dimension ref="A1:Z23"/>
  <sheetViews>
    <sheetView zoomScale="210" zoomScaleNormal="210" workbookViewId="0">
      <selection activeCell="A17" sqref="A17"/>
    </sheetView>
  </sheetViews>
  <sheetFormatPr baseColWidth="10" defaultRowHeight="16" x14ac:dyDescent="0.2"/>
  <cols>
    <col min="1" max="1" width="16.83203125" bestFit="1" customWidth="1"/>
  </cols>
  <sheetData>
    <row r="1" spans="1:26" x14ac:dyDescent="0.2">
      <c r="A1" t="s">
        <v>76</v>
      </c>
      <c r="E1">
        <v>1</v>
      </c>
      <c r="F1" t="s">
        <v>78</v>
      </c>
    </row>
    <row r="2" spans="1:26" x14ac:dyDescent="0.2">
      <c r="C2">
        <f>50%*E4+50%*E6</f>
        <v>0.5</v>
      </c>
      <c r="D2" t="s">
        <v>105</v>
      </c>
      <c r="E2">
        <v>0</v>
      </c>
      <c r="F2" t="s">
        <v>79</v>
      </c>
      <c r="I2" t="s">
        <v>89</v>
      </c>
    </row>
    <row r="3" spans="1:26" x14ac:dyDescent="0.2">
      <c r="C3" t="s">
        <v>80</v>
      </c>
      <c r="D3" s="3" t="s">
        <v>77</v>
      </c>
      <c r="I3" t="s">
        <v>91</v>
      </c>
      <c r="M3" t="s">
        <v>80</v>
      </c>
      <c r="N3" s="3" t="s">
        <v>77</v>
      </c>
      <c r="P3">
        <v>1</v>
      </c>
      <c r="Q3" t="s">
        <v>78</v>
      </c>
      <c r="W3" t="s">
        <v>80</v>
      </c>
      <c r="X3" s="3" t="s">
        <v>77</v>
      </c>
    </row>
    <row r="4" spans="1:26" x14ac:dyDescent="0.2">
      <c r="C4" s="38" t="s">
        <v>82</v>
      </c>
      <c r="D4" s="39" t="s">
        <v>106</v>
      </c>
      <c r="E4">
        <v>0.5</v>
      </c>
      <c r="M4" s="38" t="s">
        <v>82</v>
      </c>
      <c r="N4" s="39">
        <v>0</v>
      </c>
      <c r="P4">
        <v>0</v>
      </c>
      <c r="Q4" t="s">
        <v>79</v>
      </c>
      <c r="W4" s="44" t="s">
        <v>82</v>
      </c>
      <c r="X4" s="44" t="s">
        <v>106</v>
      </c>
      <c r="Z4" t="s">
        <v>47</v>
      </c>
    </row>
    <row r="5" spans="1:26" x14ac:dyDescent="0.2">
      <c r="C5" s="38" t="s">
        <v>83</v>
      </c>
      <c r="D5" s="39" t="s">
        <v>106</v>
      </c>
      <c r="M5" s="38" t="s">
        <v>82</v>
      </c>
      <c r="N5" s="39">
        <v>0</v>
      </c>
      <c r="W5" s="44" t="s">
        <v>82</v>
      </c>
      <c r="X5" s="44" t="s">
        <v>106</v>
      </c>
      <c r="Z5" t="s">
        <v>100</v>
      </c>
    </row>
    <row r="6" spans="1:26" x14ac:dyDescent="0.2">
      <c r="C6" s="40" t="s">
        <v>82</v>
      </c>
      <c r="D6" s="41" t="s">
        <v>107</v>
      </c>
      <c r="E6">
        <v>0.5</v>
      </c>
      <c r="M6" s="40" t="s">
        <v>83</v>
      </c>
      <c r="N6" s="41">
        <v>1</v>
      </c>
      <c r="W6" s="44" t="s">
        <v>83</v>
      </c>
      <c r="X6" s="44" t="s">
        <v>106</v>
      </c>
    </row>
    <row r="7" spans="1:26" x14ac:dyDescent="0.2">
      <c r="C7" s="40" t="s">
        <v>83</v>
      </c>
      <c r="D7" s="41" t="s">
        <v>107</v>
      </c>
      <c r="G7" t="s">
        <v>81</v>
      </c>
      <c r="M7" s="40" t="s">
        <v>83</v>
      </c>
      <c r="N7" s="41">
        <v>1</v>
      </c>
      <c r="Q7" t="s">
        <v>81</v>
      </c>
      <c r="W7" s="45" t="s">
        <v>83</v>
      </c>
      <c r="X7" s="45" t="s">
        <v>107</v>
      </c>
    </row>
    <row r="8" spans="1:26" x14ac:dyDescent="0.2">
      <c r="G8" t="s">
        <v>82</v>
      </c>
      <c r="Q8" t="s">
        <v>82</v>
      </c>
      <c r="W8" s="45" t="s">
        <v>83</v>
      </c>
      <c r="X8" s="45" t="s">
        <v>107</v>
      </c>
    </row>
    <row r="9" spans="1:26" x14ac:dyDescent="0.2">
      <c r="C9" t="s">
        <v>88</v>
      </c>
      <c r="G9" t="s">
        <v>83</v>
      </c>
      <c r="M9" t="s">
        <v>92</v>
      </c>
      <c r="Q9" t="s">
        <v>83</v>
      </c>
      <c r="W9" s="45" t="s">
        <v>82</v>
      </c>
      <c r="X9" s="45" t="s">
        <v>107</v>
      </c>
    </row>
    <row r="10" spans="1:26" x14ac:dyDescent="0.2">
      <c r="C10" t="s">
        <v>79</v>
      </c>
      <c r="F10" s="3" t="s">
        <v>96</v>
      </c>
      <c r="M10" t="s">
        <v>79</v>
      </c>
      <c r="P10" t="s">
        <v>96</v>
      </c>
      <c r="Z10" t="s">
        <v>101</v>
      </c>
    </row>
    <row r="11" spans="1:26" x14ac:dyDescent="0.2">
      <c r="C11" s="38" t="s">
        <v>84</v>
      </c>
      <c r="D11" t="s">
        <v>85</v>
      </c>
      <c r="E11" t="s">
        <v>26</v>
      </c>
      <c r="F11" s="3" t="s">
        <v>8</v>
      </c>
      <c r="G11" t="s">
        <v>108</v>
      </c>
      <c r="M11" s="38" t="s">
        <v>84</v>
      </c>
      <c r="N11" t="s">
        <v>85</v>
      </c>
      <c r="O11" t="s">
        <v>26</v>
      </c>
      <c r="P11" s="3" t="s">
        <v>8</v>
      </c>
      <c r="W11" s="46" t="s">
        <v>98</v>
      </c>
      <c r="X11" s="18" t="s">
        <v>99</v>
      </c>
      <c r="Y11" s="18" t="s">
        <v>26</v>
      </c>
      <c r="Z11" s="18" t="s">
        <v>8</v>
      </c>
    </row>
    <row r="12" spans="1:26" x14ac:dyDescent="0.2">
      <c r="C12" t="s">
        <v>82</v>
      </c>
      <c r="D12">
        <v>1</v>
      </c>
      <c r="E12" s="37">
        <f>D12/D14</f>
        <v>0.5</v>
      </c>
      <c r="F12" s="3">
        <f>1-E12^2-E13^2</f>
        <v>0.5</v>
      </c>
      <c r="G12" t="s">
        <v>90</v>
      </c>
      <c r="M12" t="s">
        <v>82</v>
      </c>
      <c r="N12">
        <v>2</v>
      </c>
      <c r="O12" s="37">
        <f>N12/N14</f>
        <v>1</v>
      </c>
      <c r="P12" s="3">
        <f>1-1^2 - 0</f>
        <v>0</v>
      </c>
      <c r="Q12" t="s">
        <v>93</v>
      </c>
      <c r="W12" s="47" t="s">
        <v>87</v>
      </c>
      <c r="X12" s="47">
        <v>2</v>
      </c>
      <c r="Y12" s="18">
        <f>X12/3</f>
        <v>0.66666666666666663</v>
      </c>
      <c r="Z12" s="18">
        <f>1-Y12^2 - Y13^2</f>
        <v>0.44444444444444442</v>
      </c>
    </row>
    <row r="13" spans="1:26" x14ac:dyDescent="0.2">
      <c r="C13" t="s">
        <v>83</v>
      </c>
      <c r="D13">
        <v>1</v>
      </c>
      <c r="E13" s="37">
        <f>1-E12</f>
        <v>0.5</v>
      </c>
      <c r="F13" t="s">
        <v>109</v>
      </c>
      <c r="M13" t="s">
        <v>83</v>
      </c>
      <c r="N13">
        <v>0</v>
      </c>
      <c r="O13" s="37">
        <f>1-O12</f>
        <v>0</v>
      </c>
      <c r="Q13" t="s">
        <v>94</v>
      </c>
      <c r="W13" s="47" t="s">
        <v>83</v>
      </c>
      <c r="X13" s="47">
        <v>1</v>
      </c>
      <c r="Y13" s="18">
        <f>1-Y12</f>
        <v>0.33333333333333337</v>
      </c>
      <c r="Z13" s="18"/>
    </row>
    <row r="14" spans="1:26" x14ac:dyDescent="0.2">
      <c r="C14" t="s">
        <v>62</v>
      </c>
      <c r="D14">
        <v>2</v>
      </c>
      <c r="M14" t="s">
        <v>62</v>
      </c>
      <c r="N14">
        <v>2</v>
      </c>
    </row>
    <row r="15" spans="1:26" x14ac:dyDescent="0.2">
      <c r="Z15" t="s">
        <v>102</v>
      </c>
    </row>
    <row r="16" spans="1:26" x14ac:dyDescent="0.2">
      <c r="C16" t="s">
        <v>78</v>
      </c>
      <c r="F16" s="3" t="s">
        <v>96</v>
      </c>
      <c r="M16" t="s">
        <v>78</v>
      </c>
      <c r="P16" t="s">
        <v>96</v>
      </c>
      <c r="W16" s="45" t="s">
        <v>86</v>
      </c>
      <c r="X16" s="3" t="s">
        <v>99</v>
      </c>
      <c r="Y16" s="3" t="s">
        <v>26</v>
      </c>
      <c r="Z16" s="3" t="s">
        <v>8</v>
      </c>
    </row>
    <row r="17" spans="3:26" x14ac:dyDescent="0.2">
      <c r="C17" s="40" t="s">
        <v>86</v>
      </c>
      <c r="D17" t="s">
        <v>85</v>
      </c>
      <c r="E17" t="s">
        <v>26</v>
      </c>
      <c r="F17" s="3" t="s">
        <v>8</v>
      </c>
      <c r="M17" s="40" t="s">
        <v>86</v>
      </c>
      <c r="N17" t="s">
        <v>85</v>
      </c>
      <c r="O17" t="s">
        <v>26</v>
      </c>
      <c r="P17" s="3" t="s">
        <v>8</v>
      </c>
      <c r="W17" s="3" t="s">
        <v>87</v>
      </c>
      <c r="X17" s="3">
        <v>1</v>
      </c>
      <c r="Y17">
        <f>1-Y18</f>
        <v>0.33333333333333337</v>
      </c>
      <c r="Z17">
        <f>Z12</f>
        <v>0.44444444444444442</v>
      </c>
    </row>
    <row r="18" spans="3:26" x14ac:dyDescent="0.2">
      <c r="C18" t="s">
        <v>87</v>
      </c>
      <c r="D18">
        <v>1</v>
      </c>
      <c r="E18" s="42">
        <v>0.5</v>
      </c>
      <c r="F18" s="3">
        <v>0.5</v>
      </c>
      <c r="M18" t="s">
        <v>87</v>
      </c>
      <c r="N18">
        <v>0</v>
      </c>
      <c r="O18" s="42">
        <f>1-O19</f>
        <v>0</v>
      </c>
      <c r="P18" s="3">
        <f>1-O19^2-O18^2</f>
        <v>0</v>
      </c>
      <c r="W18" s="3" t="s">
        <v>83</v>
      </c>
      <c r="X18" s="3">
        <v>2</v>
      </c>
      <c r="Y18">
        <f>X18/3</f>
        <v>0.66666666666666663</v>
      </c>
    </row>
    <row r="19" spans="3:26" x14ac:dyDescent="0.2">
      <c r="C19" t="s">
        <v>83</v>
      </c>
      <c r="D19">
        <v>1</v>
      </c>
      <c r="E19" s="42">
        <v>0.5</v>
      </c>
      <c r="M19" t="s">
        <v>83</v>
      </c>
      <c r="N19">
        <v>2</v>
      </c>
      <c r="O19" s="42">
        <f>N19/N20</f>
        <v>1</v>
      </c>
    </row>
    <row r="20" spans="3:26" x14ac:dyDescent="0.2">
      <c r="D20">
        <v>2</v>
      </c>
      <c r="N20">
        <v>2</v>
      </c>
      <c r="W20" t="s">
        <v>97</v>
      </c>
    </row>
    <row r="21" spans="3:26" x14ac:dyDescent="0.2">
      <c r="W21" s="50">
        <v>0.44</v>
      </c>
      <c r="X21" t="s">
        <v>103</v>
      </c>
    </row>
    <row r="22" spans="3:26" x14ac:dyDescent="0.2">
      <c r="C22" t="s">
        <v>110</v>
      </c>
      <c r="F22" t="s">
        <v>8</v>
      </c>
      <c r="M22" s="3" t="s">
        <v>95</v>
      </c>
      <c r="N22" t="s">
        <v>80</v>
      </c>
    </row>
    <row r="23" spans="3:26" x14ac:dyDescent="0.2">
      <c r="C23" s="3">
        <f>50%*F12+50%*F18</f>
        <v>0.5</v>
      </c>
      <c r="F23" t="s">
        <v>111</v>
      </c>
      <c r="M23" s="43">
        <f>50%*P12+50%*P18</f>
        <v>0</v>
      </c>
      <c r="W23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EF5-7D04-6646-B906-7A99F4998DE2}">
  <dimension ref="K1:N30"/>
  <sheetViews>
    <sheetView zoomScale="170" zoomScaleNormal="170" workbookViewId="0">
      <selection activeCell="C19" sqref="C19"/>
    </sheetView>
  </sheetViews>
  <sheetFormatPr baseColWidth="10" defaultRowHeight="16" x14ac:dyDescent="0.2"/>
  <cols>
    <col min="11" max="11" width="14.1640625" bestFit="1" customWidth="1"/>
  </cols>
  <sheetData>
    <row r="1" spans="11:14" x14ac:dyDescent="0.2">
      <c r="K1" t="s">
        <v>112</v>
      </c>
    </row>
    <row r="2" spans="11:14" x14ac:dyDescent="0.2">
      <c r="K2" t="s">
        <v>98</v>
      </c>
      <c r="L2" t="s">
        <v>85</v>
      </c>
      <c r="M2" t="s">
        <v>26</v>
      </c>
      <c r="N2" s="3" t="s">
        <v>8</v>
      </c>
    </row>
    <row r="3" spans="11:14" x14ac:dyDescent="0.2">
      <c r="K3" t="s">
        <v>22</v>
      </c>
      <c r="L3">
        <v>4</v>
      </c>
      <c r="M3" s="7">
        <v>1</v>
      </c>
      <c r="N3" s="3">
        <f>1-M3^2-M4^2</f>
        <v>0</v>
      </c>
    </row>
    <row r="4" spans="11:14" x14ac:dyDescent="0.2">
      <c r="K4" t="s">
        <v>23</v>
      </c>
      <c r="L4">
        <v>0</v>
      </c>
      <c r="M4" s="7">
        <v>0</v>
      </c>
    </row>
    <row r="5" spans="11:14" x14ac:dyDescent="0.2">
      <c r="K5" s="51" t="s">
        <v>113</v>
      </c>
      <c r="L5">
        <v>4</v>
      </c>
    </row>
    <row r="7" spans="11:14" x14ac:dyDescent="0.2">
      <c r="K7" t="s">
        <v>112</v>
      </c>
    </row>
    <row r="8" spans="11:14" x14ac:dyDescent="0.2">
      <c r="K8" t="s">
        <v>86</v>
      </c>
      <c r="L8" t="s">
        <v>85</v>
      </c>
      <c r="M8" t="s">
        <v>26</v>
      </c>
      <c r="N8" s="3" t="s">
        <v>8</v>
      </c>
    </row>
    <row r="9" spans="11:14" x14ac:dyDescent="0.2">
      <c r="K9" t="s">
        <v>22</v>
      </c>
      <c r="L9">
        <v>0</v>
      </c>
      <c r="M9" s="7">
        <v>0</v>
      </c>
      <c r="N9" s="3">
        <v>0</v>
      </c>
    </row>
    <row r="10" spans="11:14" x14ac:dyDescent="0.2">
      <c r="K10" t="s">
        <v>23</v>
      </c>
      <c r="L10">
        <v>3</v>
      </c>
      <c r="M10" s="7">
        <v>1</v>
      </c>
    </row>
    <row r="11" spans="11:14" x14ac:dyDescent="0.2">
      <c r="K11" s="51" t="s">
        <v>113</v>
      </c>
      <c r="L11">
        <v>3</v>
      </c>
    </row>
    <row r="13" spans="11:14" x14ac:dyDescent="0.2">
      <c r="K13" s="3" t="s">
        <v>95</v>
      </c>
    </row>
    <row r="14" spans="11:14" x14ac:dyDescent="0.2">
      <c r="K14" s="3">
        <v>0</v>
      </c>
    </row>
    <row r="17" spans="11:14" x14ac:dyDescent="0.2">
      <c r="K17" t="s">
        <v>114</v>
      </c>
      <c r="L17" s="52">
        <f>L21/7</f>
        <v>0.5714285714285714</v>
      </c>
    </row>
    <row r="18" spans="11:14" x14ac:dyDescent="0.2">
      <c r="K18" t="s">
        <v>98</v>
      </c>
      <c r="L18" t="s">
        <v>85</v>
      </c>
      <c r="M18" t="s">
        <v>26</v>
      </c>
      <c r="N18" s="3" t="s">
        <v>8</v>
      </c>
    </row>
    <row r="19" spans="11:14" x14ac:dyDescent="0.2">
      <c r="K19" t="s">
        <v>115</v>
      </c>
      <c r="L19">
        <v>2</v>
      </c>
      <c r="M19" s="7">
        <v>0.5</v>
      </c>
      <c r="N19" s="3">
        <v>0.5</v>
      </c>
    </row>
    <row r="20" spans="11:14" x14ac:dyDescent="0.2">
      <c r="K20" t="s">
        <v>116</v>
      </c>
      <c r="L20">
        <v>2</v>
      </c>
      <c r="M20" s="7">
        <v>0.5</v>
      </c>
    </row>
    <row r="21" spans="11:14" x14ac:dyDescent="0.2">
      <c r="L21">
        <v>4</v>
      </c>
    </row>
    <row r="23" spans="11:14" x14ac:dyDescent="0.2">
      <c r="K23" t="s">
        <v>114</v>
      </c>
      <c r="L23" s="7">
        <f>1-L17</f>
        <v>0.4285714285714286</v>
      </c>
    </row>
    <row r="24" spans="11:14" x14ac:dyDescent="0.2">
      <c r="K24" t="s">
        <v>86</v>
      </c>
      <c r="L24" t="s">
        <v>85</v>
      </c>
      <c r="M24" t="s">
        <v>26</v>
      </c>
      <c r="N24" s="3" t="s">
        <v>8</v>
      </c>
    </row>
    <row r="25" spans="11:14" x14ac:dyDescent="0.2">
      <c r="K25" t="s">
        <v>115</v>
      </c>
      <c r="L25">
        <v>1</v>
      </c>
      <c r="M25" s="7">
        <f>1-M26</f>
        <v>0.33333333333333337</v>
      </c>
      <c r="N25" s="3">
        <f>1-M25^2-M26^2</f>
        <v>0.44444444444444442</v>
      </c>
    </row>
    <row r="26" spans="11:14" x14ac:dyDescent="0.2">
      <c r="K26" t="s">
        <v>116</v>
      </c>
      <c r="L26">
        <v>2</v>
      </c>
      <c r="M26" s="7">
        <f>L26/L27</f>
        <v>0.66666666666666663</v>
      </c>
    </row>
    <row r="27" spans="11:14" x14ac:dyDescent="0.2">
      <c r="L27">
        <v>3</v>
      </c>
    </row>
    <row r="29" spans="11:14" x14ac:dyDescent="0.2">
      <c r="K29" t="s">
        <v>117</v>
      </c>
    </row>
    <row r="30" spans="11:14" x14ac:dyDescent="0.2">
      <c r="K30" s="3">
        <f>L17*N19+L23*N25</f>
        <v>0.47619047619047616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28F9-7731-E24E-83FD-977899C917DC}">
  <dimension ref="C2:W33"/>
  <sheetViews>
    <sheetView topLeftCell="Q1" zoomScale="220" zoomScaleNormal="220" workbookViewId="0">
      <selection activeCell="V6" sqref="V6:W7"/>
    </sheetView>
  </sheetViews>
  <sheetFormatPr baseColWidth="10" defaultRowHeight="16" x14ac:dyDescent="0.2"/>
  <cols>
    <col min="12" max="12" width="12.6640625" customWidth="1"/>
    <col min="15" max="15" width="13.6640625" customWidth="1"/>
  </cols>
  <sheetData>
    <row r="2" spans="3:23" x14ac:dyDescent="0.2">
      <c r="D2" t="s">
        <v>8</v>
      </c>
      <c r="L2" t="s">
        <v>155</v>
      </c>
      <c r="V2" s="51"/>
    </row>
    <row r="3" spans="3:23" x14ac:dyDescent="0.2">
      <c r="R3" s="51" t="s">
        <v>27</v>
      </c>
      <c r="S3" t="s">
        <v>114</v>
      </c>
      <c r="T3" t="s">
        <v>145</v>
      </c>
      <c r="V3" s="3" t="s">
        <v>169</v>
      </c>
      <c r="W3" t="s">
        <v>145</v>
      </c>
    </row>
    <row r="4" spans="3:23" x14ac:dyDescent="0.2">
      <c r="K4" s="51" t="s">
        <v>27</v>
      </c>
      <c r="L4" t="s">
        <v>114</v>
      </c>
      <c r="M4" t="s">
        <v>145</v>
      </c>
      <c r="R4">
        <v>1</v>
      </c>
      <c r="S4" t="s">
        <v>141</v>
      </c>
      <c r="T4" t="s">
        <v>143</v>
      </c>
      <c r="V4" s="3" t="s">
        <v>170</v>
      </c>
      <c r="W4" t="s">
        <v>144</v>
      </c>
    </row>
    <row r="5" spans="3:23" x14ac:dyDescent="0.2">
      <c r="C5" s="51" t="s">
        <v>27</v>
      </c>
      <c r="D5" t="s">
        <v>114</v>
      </c>
      <c r="E5" t="s">
        <v>145</v>
      </c>
      <c r="K5">
        <v>1</v>
      </c>
      <c r="L5" t="s">
        <v>141</v>
      </c>
      <c r="M5" t="s">
        <v>143</v>
      </c>
      <c r="R5">
        <v>1</v>
      </c>
      <c r="S5" t="s">
        <v>141</v>
      </c>
      <c r="T5" t="s">
        <v>143</v>
      </c>
      <c r="V5" s="3" t="s">
        <v>170</v>
      </c>
      <c r="W5" t="s">
        <v>144</v>
      </c>
    </row>
    <row r="6" spans="3:23" x14ac:dyDescent="0.2">
      <c r="C6">
        <v>1</v>
      </c>
      <c r="D6" t="s">
        <v>141</v>
      </c>
      <c r="E6" t="s">
        <v>143</v>
      </c>
      <c r="K6">
        <v>1</v>
      </c>
      <c r="L6" t="s">
        <v>141</v>
      </c>
      <c r="M6" t="s">
        <v>144</v>
      </c>
      <c r="R6">
        <v>1</v>
      </c>
      <c r="S6" t="s">
        <v>142</v>
      </c>
      <c r="T6" t="s">
        <v>152</v>
      </c>
      <c r="V6" s="3" t="s">
        <v>171</v>
      </c>
      <c r="W6" t="s">
        <v>152</v>
      </c>
    </row>
    <row r="7" spans="3:23" x14ac:dyDescent="0.2">
      <c r="C7">
        <v>1</v>
      </c>
      <c r="D7" t="s">
        <v>142</v>
      </c>
      <c r="E7" t="s">
        <v>144</v>
      </c>
      <c r="K7">
        <v>1</v>
      </c>
      <c r="L7" t="s">
        <v>142</v>
      </c>
      <c r="M7" t="s">
        <v>152</v>
      </c>
      <c r="R7">
        <v>1</v>
      </c>
      <c r="S7" t="s">
        <v>142</v>
      </c>
      <c r="T7" t="s">
        <v>144</v>
      </c>
      <c r="V7" s="3" t="s">
        <v>171</v>
      </c>
      <c r="W7" t="s">
        <v>144</v>
      </c>
    </row>
    <row r="8" spans="3:23" x14ac:dyDescent="0.2">
      <c r="C8">
        <f>C6+C7</f>
        <v>2</v>
      </c>
      <c r="K8">
        <v>1</v>
      </c>
      <c r="L8" t="s">
        <v>142</v>
      </c>
      <c r="M8" t="s">
        <v>144</v>
      </c>
    </row>
    <row r="9" spans="3:23" x14ac:dyDescent="0.2">
      <c r="K9">
        <f>K8+K7+K6+K5</f>
        <v>4</v>
      </c>
    </row>
    <row r="10" spans="3:23" x14ac:dyDescent="0.2">
      <c r="D10" t="s">
        <v>146</v>
      </c>
      <c r="E10" s="3" t="s">
        <v>26</v>
      </c>
      <c r="R10" t="s">
        <v>114</v>
      </c>
      <c r="S10" t="s">
        <v>145</v>
      </c>
      <c r="T10" t="s">
        <v>157</v>
      </c>
    </row>
    <row r="11" spans="3:23" x14ac:dyDescent="0.2">
      <c r="D11" t="s">
        <v>143</v>
      </c>
      <c r="E11" s="42">
        <v>1</v>
      </c>
      <c r="L11" t="s">
        <v>146</v>
      </c>
      <c r="M11" s="3" t="s">
        <v>27</v>
      </c>
      <c r="N11" t="s">
        <v>157</v>
      </c>
      <c r="R11" t="s">
        <v>141</v>
      </c>
      <c r="S11" t="s">
        <v>143</v>
      </c>
      <c r="T11" s="42">
        <v>1</v>
      </c>
    </row>
    <row r="12" spans="3:23" x14ac:dyDescent="0.2">
      <c r="D12" t="s">
        <v>144</v>
      </c>
      <c r="E12" s="42">
        <v>0</v>
      </c>
      <c r="L12" t="s">
        <v>143</v>
      </c>
      <c r="M12" s="3">
        <v>1</v>
      </c>
      <c r="N12" s="3">
        <f>M12/M14</f>
        <v>0.5</v>
      </c>
      <c r="R12" t="s">
        <v>141</v>
      </c>
      <c r="S12" t="s">
        <v>144</v>
      </c>
      <c r="T12" s="42">
        <v>0</v>
      </c>
    </row>
    <row r="13" spans="3:23" x14ac:dyDescent="0.2">
      <c r="L13" t="s">
        <v>156</v>
      </c>
      <c r="M13" s="3">
        <v>1</v>
      </c>
      <c r="N13" s="3">
        <f>M13/M14</f>
        <v>0.5</v>
      </c>
    </row>
    <row r="14" spans="3:23" x14ac:dyDescent="0.2">
      <c r="D14" s="58" t="s">
        <v>147</v>
      </c>
      <c r="E14" s="59">
        <f>1-E11^2-E12^2</f>
        <v>0</v>
      </c>
      <c r="F14" t="s">
        <v>148</v>
      </c>
      <c r="L14" t="s">
        <v>62</v>
      </c>
      <c r="M14" s="3">
        <f>M12+M13</f>
        <v>2</v>
      </c>
      <c r="R14" t="s">
        <v>147</v>
      </c>
      <c r="S14" s="3">
        <f>1-T11^2-T12^2</f>
        <v>0</v>
      </c>
      <c r="T14" t="s">
        <v>168</v>
      </c>
    </row>
    <row r="15" spans="3:23" x14ac:dyDescent="0.2">
      <c r="F15" t="s">
        <v>149</v>
      </c>
    </row>
    <row r="16" spans="3:23" x14ac:dyDescent="0.2">
      <c r="D16" t="s">
        <v>150</v>
      </c>
      <c r="E16" s="3" t="s">
        <v>151</v>
      </c>
      <c r="L16" s="58" t="s">
        <v>147</v>
      </c>
      <c r="M16" s="59">
        <f>1-N12^2-N13^2</f>
        <v>0.5</v>
      </c>
      <c r="N16" t="s">
        <v>159</v>
      </c>
      <c r="R16" t="s">
        <v>114</v>
      </c>
      <c r="S16" t="s">
        <v>145</v>
      </c>
      <c r="T16" t="s">
        <v>157</v>
      </c>
    </row>
    <row r="17" spans="4:20" x14ac:dyDescent="0.2">
      <c r="D17" t="s">
        <v>152</v>
      </c>
      <c r="E17" s="42">
        <v>0</v>
      </c>
      <c r="L17" t="s">
        <v>158</v>
      </c>
      <c r="N17" t="s">
        <v>160</v>
      </c>
      <c r="R17" t="s">
        <v>142</v>
      </c>
      <c r="S17" t="s">
        <v>143</v>
      </c>
      <c r="T17" s="42">
        <v>0.5</v>
      </c>
    </row>
    <row r="18" spans="4:20" x14ac:dyDescent="0.2">
      <c r="D18" t="s">
        <v>144</v>
      </c>
      <c r="E18" s="42">
        <v>1</v>
      </c>
      <c r="N18" t="s">
        <v>161</v>
      </c>
      <c r="R18" t="s">
        <v>142</v>
      </c>
      <c r="S18" t="s">
        <v>144</v>
      </c>
      <c r="T18" s="42">
        <v>0.5</v>
      </c>
    </row>
    <row r="20" spans="4:20" x14ac:dyDescent="0.2">
      <c r="D20" s="58" t="s">
        <v>153</v>
      </c>
      <c r="E20" s="59">
        <f>1-E17^2-E18^2</f>
        <v>0</v>
      </c>
      <c r="F20" t="s">
        <v>154</v>
      </c>
      <c r="L20" t="s">
        <v>150</v>
      </c>
      <c r="M20" s="3" t="s">
        <v>27</v>
      </c>
      <c r="N20" t="s">
        <v>162</v>
      </c>
      <c r="R20" t="s">
        <v>153</v>
      </c>
      <c r="S20" s="3">
        <f>1-T17^2-T18^2</f>
        <v>0.5</v>
      </c>
    </row>
    <row r="21" spans="4:20" x14ac:dyDescent="0.2">
      <c r="F21" t="s">
        <v>149</v>
      </c>
      <c r="L21" t="s">
        <v>143</v>
      </c>
      <c r="M21" s="3">
        <v>1</v>
      </c>
      <c r="N21" s="3">
        <f>M21/M23</f>
        <v>0.5</v>
      </c>
    </row>
    <row r="22" spans="4:20" x14ac:dyDescent="0.2">
      <c r="L22" t="s">
        <v>144</v>
      </c>
      <c r="M22" s="3">
        <v>1</v>
      </c>
      <c r="N22" s="3">
        <f>M22/M23</f>
        <v>0.5</v>
      </c>
      <c r="R22" s="58" t="s">
        <v>117</v>
      </c>
      <c r="S22" s="59">
        <f>50%*S14+50%*S20</f>
        <v>0.25</v>
      </c>
    </row>
    <row r="23" spans="4:20" x14ac:dyDescent="0.2">
      <c r="L23" t="s">
        <v>62</v>
      </c>
      <c r="M23" s="3">
        <v>2</v>
      </c>
      <c r="R23" t="s">
        <v>167</v>
      </c>
    </row>
    <row r="25" spans="4:20" x14ac:dyDescent="0.2">
      <c r="L25" s="58" t="s">
        <v>153</v>
      </c>
      <c r="M25" s="59">
        <f>1-N21^2-N22^2</f>
        <v>0.5</v>
      </c>
      <c r="N25" t="s">
        <v>159</v>
      </c>
    </row>
    <row r="27" spans="4:20" x14ac:dyDescent="0.2">
      <c r="L27" t="s">
        <v>114</v>
      </c>
      <c r="M27" s="3" t="s">
        <v>27</v>
      </c>
      <c r="N27" s="3" t="s">
        <v>163</v>
      </c>
      <c r="O27" t="s">
        <v>164</v>
      </c>
    </row>
    <row r="28" spans="4:20" x14ac:dyDescent="0.2">
      <c r="L28" s="51" t="s">
        <v>141</v>
      </c>
      <c r="M28" s="3">
        <v>2</v>
      </c>
      <c r="N28" s="3">
        <f>M28/M30</f>
        <v>0.5</v>
      </c>
      <c r="O28" s="3">
        <f>M16</f>
        <v>0.5</v>
      </c>
    </row>
    <row r="29" spans="4:20" x14ac:dyDescent="0.2">
      <c r="L29" s="51" t="s">
        <v>142</v>
      </c>
      <c r="M29" s="3">
        <v>2</v>
      </c>
      <c r="N29" s="3">
        <f>M29/M30</f>
        <v>0.5</v>
      </c>
      <c r="O29" s="3">
        <f>M25</f>
        <v>0.5</v>
      </c>
    </row>
    <row r="30" spans="4:20" x14ac:dyDescent="0.2">
      <c r="M30" s="3">
        <f>M29+M28</f>
        <v>4</v>
      </c>
    </row>
    <row r="32" spans="4:20" x14ac:dyDescent="0.2">
      <c r="L32" s="58" t="s">
        <v>117</v>
      </c>
      <c r="M32" s="59">
        <f>O29*N29+O28*N28</f>
        <v>0.5</v>
      </c>
      <c r="N32" t="s">
        <v>166</v>
      </c>
    </row>
    <row r="33" spans="12:12" x14ac:dyDescent="0.2">
      <c r="L33" t="s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05EB-12D6-954C-AFB9-F71B165820F1}">
  <dimension ref="C14:O38"/>
  <sheetViews>
    <sheetView tabSelected="1" topLeftCell="L31" zoomScale="140" zoomScaleNormal="140" workbookViewId="0">
      <selection activeCell="M34" sqref="M34:N36"/>
    </sheetView>
  </sheetViews>
  <sheetFormatPr baseColWidth="10" defaultRowHeight="37" x14ac:dyDescent="0.45"/>
  <cols>
    <col min="1" max="2" width="10.83203125" style="32"/>
    <col min="3" max="3" width="26.83203125" style="32" customWidth="1"/>
    <col min="4" max="7" width="10.83203125" style="32"/>
    <col min="8" max="8" width="24.5" style="32" customWidth="1"/>
    <col min="9" max="9" width="10.83203125" style="32"/>
    <col min="10" max="10" width="12.1640625" style="32" bestFit="1" customWidth="1"/>
    <col min="11" max="12" width="10.83203125" style="32"/>
    <col min="13" max="13" width="29" style="32" customWidth="1"/>
    <col min="14" max="14" width="12.1640625" style="32" bestFit="1" customWidth="1"/>
    <col min="15" max="15" width="15.5" style="32" customWidth="1"/>
    <col min="16" max="16384" width="10.83203125" style="32"/>
  </cols>
  <sheetData>
    <row r="14" spans="3:14" x14ac:dyDescent="0.45">
      <c r="D14" s="60" t="s">
        <v>27</v>
      </c>
    </row>
    <row r="15" spans="3:14" x14ac:dyDescent="0.45">
      <c r="C15" s="32" t="s">
        <v>172</v>
      </c>
      <c r="D15" s="60">
        <v>3</v>
      </c>
      <c r="M15" s="32" t="s">
        <v>178</v>
      </c>
      <c r="N15" s="32" t="s">
        <v>27</v>
      </c>
    </row>
    <row r="16" spans="3:14" x14ac:dyDescent="0.45">
      <c r="C16" s="32" t="s">
        <v>173</v>
      </c>
      <c r="D16" s="60">
        <v>2</v>
      </c>
      <c r="M16" s="32" t="s">
        <v>152</v>
      </c>
      <c r="N16" s="62">
        <v>0</v>
      </c>
    </row>
    <row r="17" spans="3:15" x14ac:dyDescent="0.45">
      <c r="M17" s="32" t="s">
        <v>144</v>
      </c>
      <c r="N17" s="62">
        <v>1</v>
      </c>
    </row>
    <row r="18" spans="3:15" x14ac:dyDescent="0.45">
      <c r="C18" s="32" t="s">
        <v>172</v>
      </c>
      <c r="D18" s="32" t="s">
        <v>174</v>
      </c>
      <c r="E18" s="32" t="s">
        <v>63</v>
      </c>
      <c r="H18" s="32" t="s">
        <v>173</v>
      </c>
      <c r="I18" s="60" t="s">
        <v>174</v>
      </c>
      <c r="J18" s="32" t="s">
        <v>63</v>
      </c>
    </row>
    <row r="19" spans="3:15" x14ac:dyDescent="0.45">
      <c r="C19" s="32" t="s">
        <v>143</v>
      </c>
      <c r="D19" s="60">
        <v>1</v>
      </c>
      <c r="E19" s="32">
        <f>D19/D21</f>
        <v>0.33333333333333331</v>
      </c>
      <c r="H19" s="32" t="s">
        <v>143</v>
      </c>
      <c r="I19" s="60">
        <v>2</v>
      </c>
      <c r="J19" s="61">
        <f>I19/2</f>
        <v>1</v>
      </c>
      <c r="M19" s="32" t="s">
        <v>179</v>
      </c>
      <c r="O19" s="62">
        <v>0.2</v>
      </c>
    </row>
    <row r="20" spans="3:15" x14ac:dyDescent="0.45">
      <c r="C20" s="32" t="s">
        <v>144</v>
      </c>
      <c r="D20" s="60">
        <v>2</v>
      </c>
      <c r="E20" s="32">
        <f>D20/D21</f>
        <v>0.66666666666666663</v>
      </c>
      <c r="H20" s="32" t="s">
        <v>144</v>
      </c>
      <c r="I20" s="60">
        <v>0</v>
      </c>
      <c r="J20" s="61">
        <f>I20/2</f>
        <v>0</v>
      </c>
      <c r="M20" s="32">
        <f>1-N16^2-N17^2</f>
        <v>0</v>
      </c>
    </row>
    <row r="21" spans="3:15" x14ac:dyDescent="0.45">
      <c r="D21" s="60">
        <f>D20+D19</f>
        <v>3</v>
      </c>
      <c r="H21" s="32" t="s">
        <v>62</v>
      </c>
      <c r="I21" s="32">
        <f>I20+I19</f>
        <v>2</v>
      </c>
    </row>
    <row r="22" spans="3:15" x14ac:dyDescent="0.45">
      <c r="C22" s="60" t="s">
        <v>175</v>
      </c>
      <c r="D22" s="32" t="s">
        <v>102</v>
      </c>
      <c r="E22" s="61">
        <f>3/5</f>
        <v>0.6</v>
      </c>
      <c r="M22" s="32" t="s">
        <v>180</v>
      </c>
      <c r="N22" s="60" t="s">
        <v>27</v>
      </c>
    </row>
    <row r="23" spans="3:15" x14ac:dyDescent="0.45">
      <c r="C23" s="60">
        <f>1-E19^2-E20^2</f>
        <v>0.44444444444444442</v>
      </c>
      <c r="H23" s="60" t="s">
        <v>176</v>
      </c>
      <c r="I23" s="32" t="s">
        <v>96</v>
      </c>
      <c r="J23" s="61">
        <f>2/5</f>
        <v>0.4</v>
      </c>
      <c r="M23" s="32" t="s">
        <v>143</v>
      </c>
      <c r="N23" s="60">
        <v>3</v>
      </c>
      <c r="O23" s="32">
        <f>N23/N25</f>
        <v>0.75</v>
      </c>
    </row>
    <row r="24" spans="3:15" x14ac:dyDescent="0.45">
      <c r="H24" s="60">
        <f>1-J19^2-J20^2</f>
        <v>0</v>
      </c>
      <c r="M24" s="32" t="s">
        <v>181</v>
      </c>
      <c r="N24" s="60">
        <v>1</v>
      </c>
      <c r="O24" s="32">
        <f>N24/N25</f>
        <v>0.25</v>
      </c>
    </row>
    <row r="25" spans="3:15" x14ac:dyDescent="0.45">
      <c r="C25" s="32" t="s">
        <v>177</v>
      </c>
      <c r="N25" s="60">
        <v>4</v>
      </c>
    </row>
    <row r="26" spans="3:15" x14ac:dyDescent="0.45">
      <c r="C26" s="32">
        <v>0.27</v>
      </c>
    </row>
    <row r="27" spans="3:15" x14ac:dyDescent="0.45">
      <c r="M27" s="32" t="s">
        <v>182</v>
      </c>
      <c r="O27" s="62">
        <v>0.8</v>
      </c>
    </row>
    <row r="28" spans="3:15" x14ac:dyDescent="0.45">
      <c r="M28" s="60">
        <f>1-O23^2-O24^2</f>
        <v>0.375</v>
      </c>
    </row>
    <row r="30" spans="3:15" x14ac:dyDescent="0.45">
      <c r="M30" s="60" t="s">
        <v>183</v>
      </c>
    </row>
    <row r="31" spans="3:15" x14ac:dyDescent="0.45">
      <c r="M31" s="63">
        <f>O27*M28+O19*M20</f>
        <v>0.30000000000000004</v>
      </c>
    </row>
    <row r="33" spans="13:15" x14ac:dyDescent="0.45">
      <c r="N33" s="32" t="s">
        <v>184</v>
      </c>
      <c r="O33" s="32" t="s">
        <v>145</v>
      </c>
    </row>
    <row r="34" spans="13:15" x14ac:dyDescent="0.45">
      <c r="M34" s="32" t="s">
        <v>172</v>
      </c>
      <c r="N34" s="32">
        <v>1000</v>
      </c>
      <c r="O34" s="32" t="s">
        <v>185</v>
      </c>
    </row>
    <row r="35" spans="13:15" x14ac:dyDescent="0.45">
      <c r="M35" s="32" t="s">
        <v>172</v>
      </c>
      <c r="N35" s="32">
        <v>3500</v>
      </c>
      <c r="O35" s="32" t="s">
        <v>185</v>
      </c>
    </row>
    <row r="36" spans="13:15" x14ac:dyDescent="0.45">
      <c r="M36" s="32" t="s">
        <v>172</v>
      </c>
      <c r="N36" s="32">
        <v>5000</v>
      </c>
      <c r="O36" s="32" t="s">
        <v>143</v>
      </c>
    </row>
    <row r="38" spans="13:15" x14ac:dyDescent="0.45">
      <c r="N38" s="32">
        <v>4500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zoomScale="180" zoomScaleNormal="180" workbookViewId="0">
      <selection activeCell="M36" sqref="M36"/>
    </sheetView>
  </sheetViews>
  <sheetFormatPr baseColWidth="10" defaultRowHeight="16" x14ac:dyDescent="0.2"/>
  <sheetData>
    <row r="4" spans="1:23" x14ac:dyDescent="0.2">
      <c r="S4" s="3" t="s">
        <v>27</v>
      </c>
      <c r="T4" s="3">
        <v>50</v>
      </c>
      <c r="V4" t="s">
        <v>26</v>
      </c>
    </row>
    <row r="5" spans="1:23" x14ac:dyDescent="0.2">
      <c r="T5" t="s">
        <v>24</v>
      </c>
      <c r="U5" s="3">
        <v>25</v>
      </c>
      <c r="V5" s="3">
        <f>U5/50</f>
        <v>0.5</v>
      </c>
    </row>
    <row r="6" spans="1:23" x14ac:dyDescent="0.2">
      <c r="T6" t="s">
        <v>25</v>
      </c>
      <c r="U6" s="3">
        <v>25</v>
      </c>
      <c r="V6" s="3">
        <v>0.5</v>
      </c>
    </row>
    <row r="8" spans="1:23" x14ac:dyDescent="0.2">
      <c r="U8" t="s">
        <v>8</v>
      </c>
      <c r="V8" s="3">
        <f>1 - 0.5^2 - 0.5^2</f>
        <v>0.5</v>
      </c>
      <c r="W8" t="s">
        <v>29</v>
      </c>
    </row>
    <row r="9" spans="1:23" x14ac:dyDescent="0.2">
      <c r="U9" t="s">
        <v>28</v>
      </c>
    </row>
    <row r="11" spans="1:23" x14ac:dyDescent="0.2">
      <c r="S11" s="3" t="s">
        <v>27</v>
      </c>
      <c r="T11" s="3">
        <v>50</v>
      </c>
      <c r="V11" t="s">
        <v>26</v>
      </c>
    </row>
    <row r="12" spans="1:23" x14ac:dyDescent="0.2">
      <c r="T12" t="s">
        <v>24</v>
      </c>
      <c r="U12" s="3">
        <v>0</v>
      </c>
      <c r="V12" s="3">
        <f>U12/50</f>
        <v>0</v>
      </c>
    </row>
    <row r="13" spans="1:23" x14ac:dyDescent="0.2">
      <c r="T13" t="s">
        <v>25</v>
      </c>
      <c r="U13" s="3">
        <v>50</v>
      </c>
      <c r="V13" s="3">
        <f>U13/T11</f>
        <v>1</v>
      </c>
    </row>
    <row r="15" spans="1:23" x14ac:dyDescent="0.2">
      <c r="U15" t="s">
        <v>8</v>
      </c>
      <c r="V15" s="3">
        <f>1 - 0^2 - 1^2</f>
        <v>0</v>
      </c>
      <c r="W15" t="s">
        <v>30</v>
      </c>
    </row>
    <row r="16" spans="1:23" x14ac:dyDescent="0.2">
      <c r="A16" s="48">
        <f>3/8</f>
        <v>0.375</v>
      </c>
    </row>
    <row r="17" spans="1:24" x14ac:dyDescent="0.2">
      <c r="A17" s="2" t="s">
        <v>32</v>
      </c>
      <c r="B17" t="s">
        <v>8</v>
      </c>
      <c r="C17" s="3">
        <v>0.44</v>
      </c>
    </row>
    <row r="18" spans="1:24" x14ac:dyDescent="0.2">
      <c r="A18" t="s">
        <v>5</v>
      </c>
      <c r="R18">
        <v>1</v>
      </c>
      <c r="S18" s="3" t="s">
        <v>27</v>
      </c>
      <c r="T18" s="3">
        <v>50</v>
      </c>
      <c r="V18" t="s">
        <v>26</v>
      </c>
      <c r="X18" t="s">
        <v>31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24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25</v>
      </c>
      <c r="U20" s="3">
        <v>30</v>
      </c>
      <c r="V20" s="3">
        <f>U20/T18</f>
        <v>0.6</v>
      </c>
    </row>
    <row r="21" spans="1:24" x14ac:dyDescent="0.2">
      <c r="N21" s="47" t="s">
        <v>137</v>
      </c>
      <c r="O21" s="47" t="s">
        <v>8</v>
      </c>
    </row>
    <row r="22" spans="1:24" x14ac:dyDescent="0.2">
      <c r="A22" s="1" t="s">
        <v>33</v>
      </c>
      <c r="B22" s="49">
        <f>5/8</f>
        <v>0.625</v>
      </c>
      <c r="N22" s="47">
        <v>13</v>
      </c>
      <c r="O22" s="47">
        <v>0.25</v>
      </c>
    </row>
    <row r="23" spans="1:24" x14ac:dyDescent="0.2">
      <c r="A23" t="s">
        <v>4</v>
      </c>
      <c r="N23" s="47">
        <v>-2</v>
      </c>
      <c r="O23" s="47">
        <v>0.46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  <c r="N24" s="47">
        <v>9</v>
      </c>
      <c r="O24" s="47">
        <v>0.46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  <c r="N25" s="47">
        <v>21</v>
      </c>
      <c r="O25" s="47">
        <v>0</v>
      </c>
    </row>
    <row r="26" spans="1:24" x14ac:dyDescent="0.2">
      <c r="R26">
        <v>2</v>
      </c>
      <c r="S26" s="3" t="s">
        <v>27</v>
      </c>
      <c r="T26" s="3">
        <v>50</v>
      </c>
      <c r="V26" t="s">
        <v>26</v>
      </c>
    </row>
    <row r="27" spans="1:24" x14ac:dyDescent="0.2">
      <c r="C27" s="6" t="s">
        <v>11</v>
      </c>
      <c r="H27" t="s">
        <v>45</v>
      </c>
      <c r="I27" s="3">
        <f>3/4</f>
        <v>0.75</v>
      </c>
      <c r="T27" t="s">
        <v>24</v>
      </c>
      <c r="U27" s="3">
        <v>10</v>
      </c>
      <c r="V27" s="3">
        <f>U27/50</f>
        <v>0.2</v>
      </c>
    </row>
    <row r="28" spans="1:24" x14ac:dyDescent="0.2">
      <c r="A28" s="2" t="s">
        <v>39</v>
      </c>
      <c r="H28" t="s">
        <v>41</v>
      </c>
      <c r="K28" t="s">
        <v>8</v>
      </c>
      <c r="O28" s="3"/>
      <c r="T28" t="s">
        <v>25</v>
      </c>
      <c r="U28" s="3">
        <v>40</v>
      </c>
      <c r="V28" s="3">
        <f>U28/T26</f>
        <v>0.8</v>
      </c>
    </row>
    <row r="29" spans="1:24" x14ac:dyDescent="0.2">
      <c r="A29" t="s">
        <v>34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  <c r="N29" s="52"/>
      <c r="O29" s="3"/>
    </row>
    <row r="30" spans="1:24" x14ac:dyDescent="0.2">
      <c r="A30" t="s">
        <v>35</v>
      </c>
      <c r="B30" s="4">
        <f>1/4</f>
        <v>0.25</v>
      </c>
      <c r="C30" s="2" t="s">
        <v>36</v>
      </c>
      <c r="D30" s="4">
        <f>1 - 0.25^2 - 0.75^2</f>
        <v>0.375</v>
      </c>
      <c r="H30" t="s">
        <v>42</v>
      </c>
      <c r="I30">
        <f>1/3</f>
        <v>0.33333333333333331</v>
      </c>
      <c r="J30" s="1" t="s">
        <v>3</v>
      </c>
      <c r="K30">
        <v>0.44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37</v>
      </c>
      <c r="D31" s="1"/>
      <c r="J31" s="1"/>
      <c r="N31" s="7"/>
      <c r="O31" s="3"/>
    </row>
    <row r="32" spans="1:24" x14ac:dyDescent="0.2">
      <c r="H32" t="s">
        <v>45</v>
      </c>
      <c r="I32" s="3">
        <f>1-I27</f>
        <v>0.25</v>
      </c>
    </row>
    <row r="33" spans="1:11" x14ac:dyDescent="0.2">
      <c r="A33" s="2" t="s">
        <v>39</v>
      </c>
      <c r="H33" t="s">
        <v>43</v>
      </c>
      <c r="J33" s="1"/>
      <c r="K33" s="1" t="s">
        <v>8</v>
      </c>
    </row>
    <row r="34" spans="1:11" x14ac:dyDescent="0.2">
      <c r="A34" t="s">
        <v>38</v>
      </c>
      <c r="D34" s="3" t="s">
        <v>8</v>
      </c>
      <c r="H34" t="s">
        <v>0</v>
      </c>
      <c r="I34" s="7">
        <v>1</v>
      </c>
      <c r="J34" s="1"/>
      <c r="K34" s="1" t="s">
        <v>44</v>
      </c>
    </row>
    <row r="35" spans="1:11" x14ac:dyDescent="0.2">
      <c r="A35" t="s">
        <v>0</v>
      </c>
      <c r="B35" s="4">
        <f>3/4</f>
        <v>0.75</v>
      </c>
      <c r="C35" s="1" t="s">
        <v>37</v>
      </c>
      <c r="D35" s="24">
        <f>1 - 0.75^2 - 0.25^2</f>
        <v>0.375</v>
      </c>
      <c r="H35" t="s">
        <v>1</v>
      </c>
      <c r="I35" s="7">
        <v>0</v>
      </c>
      <c r="K35">
        <v>0</v>
      </c>
    </row>
    <row r="36" spans="1:11" x14ac:dyDescent="0.2">
      <c r="A36" t="s">
        <v>1</v>
      </c>
      <c r="B36" s="4">
        <f>1/4</f>
        <v>0.25</v>
      </c>
      <c r="C36" s="2" t="s">
        <v>36</v>
      </c>
      <c r="D36" s="1"/>
      <c r="I36" s="3"/>
      <c r="J36" s="2"/>
    </row>
    <row r="37" spans="1:11" x14ac:dyDescent="0.2">
      <c r="H37" s="6" t="s">
        <v>46</v>
      </c>
      <c r="I37" s="3"/>
      <c r="J37" s="1"/>
      <c r="K37" s="1"/>
    </row>
    <row r="38" spans="1:11" x14ac:dyDescent="0.2">
      <c r="C38" s="6" t="s">
        <v>40</v>
      </c>
    </row>
    <row r="39" spans="1:11" x14ac:dyDescent="0.2">
      <c r="G39" s="7">
        <f>3/4</f>
        <v>0.75</v>
      </c>
      <c r="H39" t="s">
        <v>138</v>
      </c>
      <c r="K39" s="3" t="s">
        <v>47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0.25</v>
      </c>
      <c r="H43" t="s">
        <v>139</v>
      </c>
      <c r="I43" s="3"/>
      <c r="J43" s="1"/>
      <c r="K43" s="25" t="s">
        <v>8</v>
      </c>
    </row>
    <row r="44" spans="1:11" x14ac:dyDescent="0.2">
      <c r="H44" t="s">
        <v>0</v>
      </c>
      <c r="I44" s="7">
        <v>0</v>
      </c>
      <c r="K44" s="3">
        <v>0</v>
      </c>
    </row>
    <row r="45" spans="1:11" x14ac:dyDescent="0.2">
      <c r="G45" s="7"/>
      <c r="H45" t="s">
        <v>1</v>
      </c>
      <c r="I45" s="7">
        <v>1</v>
      </c>
    </row>
    <row r="46" spans="1:11" x14ac:dyDescent="0.2">
      <c r="I46" s="3"/>
      <c r="J46" s="2"/>
    </row>
    <row r="47" spans="1:11" x14ac:dyDescent="0.2">
      <c r="H47" s="6" t="s">
        <v>140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4F90-3CFD-5F4E-9398-DF57ACBEFB77}">
  <dimension ref="A1:C14"/>
  <sheetViews>
    <sheetView workbookViewId="0">
      <selection activeCell="H27" sqref="H27"/>
    </sheetView>
  </sheetViews>
  <sheetFormatPr baseColWidth="10" defaultRowHeight="16" x14ac:dyDescent="0.2"/>
  <cols>
    <col min="1" max="1" width="20.6640625" bestFit="1" customWidth="1"/>
    <col min="2" max="2" width="14.1640625" bestFit="1" customWidth="1"/>
  </cols>
  <sheetData>
    <row r="1" spans="1:3" ht="26" x14ac:dyDescent="0.3">
      <c r="A1" s="10" t="s">
        <v>12</v>
      </c>
      <c r="B1" s="10" t="s">
        <v>16</v>
      </c>
      <c r="C1" s="10" t="s">
        <v>19</v>
      </c>
    </row>
    <row r="2" spans="1:3" ht="26" x14ac:dyDescent="0.3">
      <c r="A2" s="9" t="s">
        <v>13</v>
      </c>
      <c r="B2" s="9" t="s">
        <v>17</v>
      </c>
      <c r="C2" s="9">
        <v>286</v>
      </c>
    </row>
    <row r="3" spans="1:3" ht="26" x14ac:dyDescent="0.3">
      <c r="A3" s="9" t="s">
        <v>14</v>
      </c>
      <c r="B3" s="9" t="s">
        <v>18</v>
      </c>
      <c r="C3" s="9">
        <v>147</v>
      </c>
    </row>
    <row r="4" spans="1:3" ht="26" x14ac:dyDescent="0.3">
      <c r="A4" s="9" t="s">
        <v>15</v>
      </c>
      <c r="B4" s="9" t="s">
        <v>18</v>
      </c>
      <c r="C4" s="9">
        <v>169</v>
      </c>
    </row>
    <row r="5" spans="1:3" ht="26" x14ac:dyDescent="0.3">
      <c r="A5" s="9" t="s">
        <v>14</v>
      </c>
      <c r="B5" s="9" t="s">
        <v>17</v>
      </c>
      <c r="C5" s="9">
        <v>172</v>
      </c>
    </row>
    <row r="6" spans="1:3" ht="26" x14ac:dyDescent="0.3">
      <c r="A6" s="9" t="s">
        <v>15</v>
      </c>
      <c r="B6" s="9" t="s">
        <v>18</v>
      </c>
      <c r="C6" s="9">
        <v>176</v>
      </c>
    </row>
    <row r="7" spans="1:3" ht="26" x14ac:dyDescent="0.3">
      <c r="A7" s="9" t="s">
        <v>13</v>
      </c>
      <c r="B7" s="9" t="s">
        <v>18</v>
      </c>
      <c r="C7" s="9">
        <v>253</v>
      </c>
    </row>
    <row r="8" spans="1:3" ht="26" x14ac:dyDescent="0.3">
      <c r="A8" s="9" t="s">
        <v>13</v>
      </c>
      <c r="B8" s="9" t="s">
        <v>18</v>
      </c>
      <c r="C8" s="9">
        <v>238</v>
      </c>
    </row>
    <row r="9" spans="1:3" ht="26" x14ac:dyDescent="0.3">
      <c r="A9" s="9" t="s">
        <v>14</v>
      </c>
      <c r="B9" s="9" t="s">
        <v>18</v>
      </c>
      <c r="C9" s="9">
        <v>151</v>
      </c>
    </row>
    <row r="10" spans="1:3" ht="26" x14ac:dyDescent="0.3">
      <c r="A10" s="9" t="s">
        <v>14</v>
      </c>
      <c r="B10" s="9" t="s">
        <v>17</v>
      </c>
      <c r="C10" s="9">
        <v>168</v>
      </c>
    </row>
    <row r="11" spans="1:3" ht="26" x14ac:dyDescent="0.3">
      <c r="A11" s="9" t="s">
        <v>13</v>
      </c>
      <c r="B11" s="9" t="s">
        <v>18</v>
      </c>
      <c r="C11" s="9">
        <v>264</v>
      </c>
    </row>
    <row r="12" spans="1:3" ht="26" x14ac:dyDescent="0.3">
      <c r="A12" s="9" t="s">
        <v>15</v>
      </c>
      <c r="B12" s="9" t="s">
        <v>17</v>
      </c>
      <c r="C12" s="9">
        <v>207</v>
      </c>
    </row>
    <row r="13" spans="1:3" ht="26" x14ac:dyDescent="0.3">
      <c r="A13" s="9" t="s">
        <v>13</v>
      </c>
      <c r="B13" s="9" t="s">
        <v>17</v>
      </c>
      <c r="C13" s="9">
        <v>309</v>
      </c>
    </row>
    <row r="14" spans="1:3" ht="26" x14ac:dyDescent="0.3">
      <c r="A14" s="9" t="s">
        <v>13</v>
      </c>
      <c r="B14" s="9" t="s">
        <v>18</v>
      </c>
      <c r="C14" s="9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F30" sqref="F30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1" t="s">
        <v>19</v>
      </c>
      <c r="C7" s="32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1" t="s">
        <v>19</v>
      </c>
      <c r="H10" s="32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E50"/>
  <sheetViews>
    <sheetView topLeftCell="D1" zoomScale="150" zoomScaleNormal="150" workbookViewId="0">
      <selection activeCell="G15" sqref="G15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customWidth="1"/>
    <col min="5" max="5" width="25.1640625" style="8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1" width="20.33203125" style="8" customWidth="1"/>
    <col min="12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24" style="8" bestFit="1" customWidth="1"/>
    <col min="28" max="16384" width="10.83203125" style="8"/>
  </cols>
  <sheetData>
    <row r="1" spans="1:31" x14ac:dyDescent="0.3">
      <c r="A1" s="10" t="s">
        <v>12</v>
      </c>
      <c r="B1" s="10" t="s">
        <v>16</v>
      </c>
      <c r="C1" s="10" t="s">
        <v>19</v>
      </c>
      <c r="D1" s="10" t="s">
        <v>70</v>
      </c>
      <c r="E1" s="10" t="s">
        <v>125</v>
      </c>
      <c r="G1" s="8" t="s">
        <v>65</v>
      </c>
      <c r="I1" s="8" t="s">
        <v>124</v>
      </c>
    </row>
    <row r="2" spans="1:31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(C2-D2)^2</f>
        <v>132.25</v>
      </c>
      <c r="G2" s="8" t="s">
        <v>48</v>
      </c>
      <c r="M2" s="11" t="s">
        <v>52</v>
      </c>
    </row>
    <row r="3" spans="1:31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(C3-D3)^2</f>
        <v>4</v>
      </c>
      <c r="G3" s="8">
        <f>_xlfn.STDEV.P(C2:C14)</f>
        <v>52.346704908646345</v>
      </c>
      <c r="H3" s="8" t="s">
        <v>118</v>
      </c>
      <c r="L3" s="26" t="s">
        <v>49</v>
      </c>
      <c r="M3" s="11">
        <v>13</v>
      </c>
      <c r="X3" s="8" t="s">
        <v>19</v>
      </c>
    </row>
    <row r="4" spans="1:31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6" t="s">
        <v>50</v>
      </c>
      <c r="M4" s="11">
        <v>14</v>
      </c>
      <c r="X4" s="8">
        <v>184</v>
      </c>
      <c r="Z4" s="8" t="s">
        <v>133</v>
      </c>
    </row>
    <row r="5" spans="1:31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60</v>
      </c>
      <c r="H5" s="11" t="s">
        <v>54</v>
      </c>
      <c r="I5" s="11" t="s">
        <v>61</v>
      </c>
      <c r="J5" s="11" t="s">
        <v>63</v>
      </c>
      <c r="K5" s="11"/>
      <c r="L5" s="26" t="s">
        <v>51</v>
      </c>
      <c r="M5" s="11">
        <v>15</v>
      </c>
      <c r="N5" s="11"/>
      <c r="X5"/>
      <c r="Y5"/>
      <c r="Z5"/>
      <c r="AA5" s="8" t="s">
        <v>105</v>
      </c>
      <c r="AE5" s="8" t="s">
        <v>134</v>
      </c>
    </row>
    <row r="6" spans="1:31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1">
        <v>6</v>
      </c>
      <c r="J6" s="11">
        <f>I6/$I$9</f>
        <v>0.46153846153846156</v>
      </c>
      <c r="K6" s="11"/>
      <c r="O6" s="11"/>
      <c r="X6"/>
      <c r="Y6" s="57">
        <v>1</v>
      </c>
      <c r="Z6" s="57" t="s">
        <v>128</v>
      </c>
      <c r="AA6" s="8" t="s">
        <v>130</v>
      </c>
      <c r="AB6" s="8" t="s">
        <v>19</v>
      </c>
      <c r="AE6" s="8" t="s">
        <v>135</v>
      </c>
    </row>
    <row r="7" spans="1:31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1">
        <v>4</v>
      </c>
      <c r="J7" s="11">
        <f t="shared" ref="J7:J8" si="1">I7/$I$9</f>
        <v>0.30769230769230771</v>
      </c>
      <c r="K7" s="11"/>
      <c r="L7" s="8" t="s">
        <v>53</v>
      </c>
      <c r="M7" s="11">
        <f>AVERAGE(M3:M5)</f>
        <v>14</v>
      </c>
      <c r="N7" s="8" t="s">
        <v>55</v>
      </c>
      <c r="O7" s="11"/>
      <c r="X7"/>
      <c r="Y7" s="57">
        <v>2</v>
      </c>
      <c r="Z7" s="57" t="s">
        <v>129</v>
      </c>
      <c r="AA7" s="8" t="s">
        <v>131</v>
      </c>
      <c r="AB7" s="8" t="s">
        <v>132</v>
      </c>
      <c r="AE7" s="8" t="s">
        <v>136</v>
      </c>
    </row>
    <row r="8" spans="1:31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53" t="s">
        <v>15</v>
      </c>
      <c r="H8" s="53">
        <v>16.510000000000002</v>
      </c>
      <c r="I8" s="54">
        <v>3</v>
      </c>
      <c r="J8" s="11">
        <f t="shared" si="1"/>
        <v>0.23076923076923078</v>
      </c>
      <c r="K8" s="11"/>
      <c r="L8" s="8" t="s">
        <v>54</v>
      </c>
      <c r="M8" s="11">
        <f>_xlfn.STDEV.S(M3:M5)</f>
        <v>1</v>
      </c>
      <c r="X8"/>
      <c r="Y8"/>
      <c r="Z8"/>
    </row>
    <row r="9" spans="1:31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64</v>
      </c>
      <c r="H9" s="8" t="s">
        <v>62</v>
      </c>
      <c r="I9" s="11">
        <f>SUM(I6:I8)</f>
        <v>13</v>
      </c>
      <c r="X9"/>
      <c r="Y9"/>
      <c r="Z9"/>
    </row>
    <row r="10" spans="1:31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64</v>
      </c>
      <c r="L10" s="26" t="s">
        <v>56</v>
      </c>
      <c r="M10" s="11">
        <v>6</v>
      </c>
      <c r="X10"/>
      <c r="Y10"/>
      <c r="Z10"/>
    </row>
    <row r="11" spans="1:31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28">
        <f>SUMPRODUCT(H6:H8,J6:J8)</f>
        <v>18.466923076923077</v>
      </c>
      <c r="H11"/>
      <c r="L11" s="26" t="s">
        <v>57</v>
      </c>
      <c r="M11" s="27" t="s">
        <v>58</v>
      </c>
      <c r="X11"/>
      <c r="Y11"/>
      <c r="Z11"/>
    </row>
    <row r="12" spans="1:31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2"/>
      <c r="X12"/>
      <c r="Y12"/>
      <c r="Z12"/>
    </row>
    <row r="13" spans="1:31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66</v>
      </c>
      <c r="H13"/>
      <c r="I13"/>
      <c r="J13" s="55" t="s">
        <v>120</v>
      </c>
      <c r="K13"/>
      <c r="L13" s="8" t="s">
        <v>53</v>
      </c>
      <c r="M13" s="11">
        <f>(M11+M10)/2</f>
        <v>15</v>
      </c>
      <c r="N13" s="8" t="s">
        <v>59</v>
      </c>
      <c r="X13"/>
      <c r="Y13"/>
      <c r="Z13"/>
    </row>
    <row r="14" spans="1:31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29">
        <f>G3-G11</f>
        <v>33.879781831723264</v>
      </c>
      <c r="H14"/>
      <c r="I14"/>
      <c r="J14"/>
      <c r="K14"/>
      <c r="L14" s="8" t="s">
        <v>54</v>
      </c>
      <c r="M14" s="11">
        <v>10</v>
      </c>
      <c r="Q14" s="11"/>
      <c r="X14"/>
      <c r="Y14"/>
      <c r="Z14"/>
    </row>
    <row r="15" spans="1:31" x14ac:dyDescent="0.3">
      <c r="C15" s="8">
        <f>AVERAGE(C2:C14)</f>
        <v>214.23076923076923</v>
      </c>
      <c r="D15" s="26" t="s">
        <v>74</v>
      </c>
      <c r="E15" s="9">
        <f>AVERAGE(E2:E14)</f>
        <v>113.26923076923077</v>
      </c>
      <c r="F15" s="8" t="s">
        <v>126</v>
      </c>
      <c r="H15"/>
      <c r="I15"/>
      <c r="J15"/>
      <c r="K15"/>
      <c r="L15"/>
      <c r="M15" s="13"/>
      <c r="X15"/>
      <c r="Y15"/>
      <c r="Z15"/>
    </row>
    <row r="16" spans="1:31" x14ac:dyDescent="0.3">
      <c r="A16" s="8">
        <f>(C4+C6+C12)/3</f>
        <v>184</v>
      </c>
      <c r="D16" s="8" t="s">
        <v>75</v>
      </c>
      <c r="F16" s="8">
        <f>SQRT(E15)</f>
        <v>10.6428018288997</v>
      </c>
      <c r="G16" s="8" t="s">
        <v>127</v>
      </c>
      <c r="H16"/>
      <c r="I16"/>
      <c r="J16"/>
      <c r="K16"/>
      <c r="L16"/>
      <c r="M16" s="13"/>
      <c r="X16"/>
      <c r="Y16"/>
      <c r="Z16"/>
    </row>
    <row r="17" spans="1:28" x14ac:dyDescent="0.3">
      <c r="C17" s="35">
        <f>CORREL(D2:D14,C2:C14)</f>
        <v>0.97911365158692221</v>
      </c>
      <c r="G17" s="29"/>
      <c r="K17"/>
      <c r="L17"/>
      <c r="X17"/>
      <c r="Y17"/>
      <c r="Z17"/>
    </row>
    <row r="18" spans="1:28" x14ac:dyDescent="0.3">
      <c r="B18" s="26" t="s">
        <v>73</v>
      </c>
      <c r="C18" s="36">
        <f>C17^2</f>
        <v>0.95866354272387688</v>
      </c>
      <c r="D18" s="56" t="s">
        <v>122</v>
      </c>
      <c r="K18"/>
      <c r="L18"/>
      <c r="M18"/>
      <c r="X18"/>
      <c r="Y18"/>
      <c r="Z18"/>
    </row>
    <row r="19" spans="1:28" x14ac:dyDescent="0.3">
      <c r="D19" s="56" t="s">
        <v>123</v>
      </c>
      <c r="G19" s="8" t="s">
        <v>16</v>
      </c>
      <c r="H19" s="11" t="s">
        <v>54</v>
      </c>
      <c r="I19" s="11" t="s">
        <v>61</v>
      </c>
      <c r="J19" s="30" t="s">
        <v>63</v>
      </c>
      <c r="K19"/>
      <c r="L19"/>
      <c r="M19"/>
      <c r="X19"/>
      <c r="Y19"/>
      <c r="Z19"/>
    </row>
    <row r="20" spans="1:28" x14ac:dyDescent="0.3">
      <c r="B20" s="8" t="s">
        <v>15</v>
      </c>
      <c r="C20" s="8">
        <v>169</v>
      </c>
      <c r="G20" s="8" t="s">
        <v>22</v>
      </c>
      <c r="H20" s="11">
        <v>58.48</v>
      </c>
      <c r="I20" s="11">
        <v>5</v>
      </c>
      <c r="J20" s="30">
        <f>I20/13</f>
        <v>0.38461538461538464</v>
      </c>
      <c r="K20"/>
      <c r="L20"/>
      <c r="M20"/>
      <c r="X20"/>
      <c r="Y20"/>
      <c r="Z20"/>
    </row>
    <row r="21" spans="1:28" x14ac:dyDescent="0.3">
      <c r="B21" s="8" t="s">
        <v>15</v>
      </c>
      <c r="C21" s="8">
        <v>176</v>
      </c>
      <c r="G21" s="8" t="s">
        <v>23</v>
      </c>
      <c r="H21" s="11">
        <v>45.95</v>
      </c>
      <c r="I21" s="11">
        <v>8</v>
      </c>
      <c r="J21" s="30">
        <f>I21/13</f>
        <v>0.61538461538461542</v>
      </c>
      <c r="K21"/>
      <c r="L21"/>
      <c r="M21"/>
      <c r="P21"/>
      <c r="Q21"/>
      <c r="X21"/>
      <c r="Y21"/>
      <c r="Z21"/>
    </row>
    <row r="22" spans="1:28" x14ac:dyDescent="0.3">
      <c r="B22" s="8" t="s">
        <v>119</v>
      </c>
      <c r="C22" s="8">
        <v>207</v>
      </c>
      <c r="I22"/>
      <c r="J22"/>
      <c r="K22"/>
      <c r="L22"/>
      <c r="M22"/>
      <c r="P22"/>
      <c r="Q22"/>
      <c r="X22"/>
      <c r="Y22"/>
      <c r="Z22"/>
    </row>
    <row r="23" spans="1:28" x14ac:dyDescent="0.3">
      <c r="C23" s="8">
        <f>_xlfn.STDEV.P(C20:C22)</f>
        <v>16.512621435334449</v>
      </c>
      <c r="G23" s="8" t="s">
        <v>67</v>
      </c>
      <c r="I23"/>
      <c r="J23"/>
      <c r="K23"/>
      <c r="L23"/>
      <c r="M23"/>
      <c r="P23"/>
      <c r="Q23" t="s">
        <v>69</v>
      </c>
    </row>
    <row r="24" spans="1:28" x14ac:dyDescent="0.3">
      <c r="B24" s="8" t="s">
        <v>121</v>
      </c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/>
      <c r="AA24" s="10" t="s">
        <v>16</v>
      </c>
      <c r="AB24" s="10" t="s">
        <v>19</v>
      </c>
    </row>
    <row r="25" spans="1:28" x14ac:dyDescent="0.3">
      <c r="B25" s="8">
        <f>AVERAGE(C20:C22)</f>
        <v>184</v>
      </c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/>
      <c r="AA25" s="9" t="s">
        <v>17</v>
      </c>
      <c r="AB25" s="9">
        <v>286</v>
      </c>
    </row>
    <row r="26" spans="1:28" x14ac:dyDescent="0.3">
      <c r="G26" s="8" t="s">
        <v>68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/>
      <c r="AA26" s="9" t="s">
        <v>18</v>
      </c>
      <c r="AB26" s="9">
        <v>253</v>
      </c>
    </row>
    <row r="27" spans="1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/>
      <c r="AA27" s="9" t="s">
        <v>18</v>
      </c>
      <c r="AB27" s="9">
        <v>238</v>
      </c>
    </row>
    <row r="28" spans="1:28" x14ac:dyDescent="0.3">
      <c r="I28"/>
      <c r="J28"/>
      <c r="K28"/>
      <c r="L28"/>
      <c r="M28"/>
      <c r="P28"/>
      <c r="Q28"/>
      <c r="R28" s="33" t="s">
        <v>19</v>
      </c>
      <c r="S28" s="34">
        <f>AVERAGE(S25:S27)</f>
        <v>184</v>
      </c>
      <c r="U28" s="9" t="s">
        <v>14</v>
      </c>
      <c r="V28" s="9" t="s">
        <v>17</v>
      </c>
      <c r="W28" s="9">
        <v>168</v>
      </c>
      <c r="Z28" s="9"/>
      <c r="AA28" s="9" t="s">
        <v>18</v>
      </c>
      <c r="AB28" s="9">
        <v>264</v>
      </c>
    </row>
    <row r="29" spans="1:28" x14ac:dyDescent="0.3">
      <c r="A29" s="8" t="s">
        <v>12</v>
      </c>
      <c r="B29" s="8" t="s">
        <v>16</v>
      </c>
      <c r="C29" s="8" t="s">
        <v>19</v>
      </c>
      <c r="I29"/>
      <c r="J29"/>
      <c r="K29"/>
      <c r="L29"/>
      <c r="M29"/>
      <c r="P29"/>
      <c r="Q29"/>
      <c r="Z29" s="9"/>
      <c r="AA29" s="9" t="s">
        <v>17</v>
      </c>
      <c r="AB29" s="9">
        <v>309</v>
      </c>
    </row>
    <row r="30" spans="1:28" x14ac:dyDescent="0.3">
      <c r="A30" s="8" t="s">
        <v>14</v>
      </c>
      <c r="B30" s="8" t="s">
        <v>18</v>
      </c>
      <c r="C30" s="8">
        <v>147</v>
      </c>
      <c r="I30"/>
      <c r="J30"/>
      <c r="K30"/>
      <c r="L30"/>
      <c r="M30"/>
      <c r="P30"/>
      <c r="Q30"/>
      <c r="U30" s="8" t="s">
        <v>71</v>
      </c>
      <c r="Z30" s="9"/>
      <c r="AA30" s="9" t="s">
        <v>18</v>
      </c>
      <c r="AB30" s="9">
        <v>245</v>
      </c>
    </row>
    <row r="31" spans="1:28" x14ac:dyDescent="0.3">
      <c r="A31" s="8" t="s">
        <v>14</v>
      </c>
      <c r="B31" s="8" t="s">
        <v>17</v>
      </c>
      <c r="C31" s="8">
        <v>172</v>
      </c>
      <c r="P31"/>
      <c r="Q31"/>
      <c r="U31" s="33" t="s">
        <v>19</v>
      </c>
      <c r="V31" s="33">
        <f>(W26+W28)/2</f>
        <v>170</v>
      </c>
    </row>
    <row r="32" spans="1:28" x14ac:dyDescent="0.3">
      <c r="A32" s="8" t="s">
        <v>14</v>
      </c>
      <c r="B32" s="8" t="s">
        <v>18</v>
      </c>
      <c r="C32" s="8">
        <v>151</v>
      </c>
      <c r="U32" s="8" t="s">
        <v>72</v>
      </c>
    </row>
    <row r="33" spans="1:27" x14ac:dyDescent="0.3">
      <c r="A33" s="8" t="s">
        <v>14</v>
      </c>
      <c r="B33" s="8" t="s">
        <v>17</v>
      </c>
      <c r="C33" s="8">
        <v>168</v>
      </c>
      <c r="U33" s="33" t="s">
        <v>19</v>
      </c>
      <c r="V33" s="33">
        <v>149</v>
      </c>
      <c r="Z33" s="33"/>
      <c r="AA33" s="33">
        <f>(AB25+AB29)/2</f>
        <v>297.5</v>
      </c>
    </row>
    <row r="35" spans="1:27" x14ac:dyDescent="0.3">
      <c r="B35" s="8" t="s">
        <v>16</v>
      </c>
    </row>
    <row r="36" spans="1:27" x14ac:dyDescent="0.3">
      <c r="B36" s="8" t="s">
        <v>18</v>
      </c>
      <c r="C36" s="8">
        <f>(C30+C32)/2</f>
        <v>149</v>
      </c>
      <c r="Z36" s="33"/>
      <c r="AA36" s="33">
        <f>(AB26+AB27+AB30+AB28)/4</f>
        <v>250</v>
      </c>
    </row>
    <row r="37" spans="1:27" x14ac:dyDescent="0.3">
      <c r="B37" s="8" t="s">
        <v>17</v>
      </c>
      <c r="C37" s="8">
        <f>(C31+C33)/2</f>
        <v>170</v>
      </c>
    </row>
    <row r="40" spans="1:27" x14ac:dyDescent="0.3">
      <c r="A40" s="8" t="s">
        <v>12</v>
      </c>
      <c r="B40" s="8" t="s">
        <v>16</v>
      </c>
      <c r="C40" s="8" t="s">
        <v>19</v>
      </c>
    </row>
    <row r="41" spans="1:27" x14ac:dyDescent="0.3">
      <c r="A41" s="8" t="s">
        <v>13</v>
      </c>
      <c r="B41" s="8" t="s">
        <v>17</v>
      </c>
      <c r="C41" s="8">
        <v>286</v>
      </c>
    </row>
    <row r="42" spans="1:27" x14ac:dyDescent="0.3">
      <c r="A42" s="8" t="s">
        <v>13</v>
      </c>
      <c r="B42" s="8" t="s">
        <v>18</v>
      </c>
      <c r="C42" s="8">
        <v>253</v>
      </c>
    </row>
    <row r="43" spans="1:27" x14ac:dyDescent="0.3">
      <c r="A43" s="8" t="s">
        <v>13</v>
      </c>
      <c r="B43" s="8" t="s">
        <v>18</v>
      </c>
      <c r="C43" s="8">
        <v>238</v>
      </c>
    </row>
    <row r="44" spans="1:27" x14ac:dyDescent="0.3">
      <c r="A44" s="8" t="s">
        <v>13</v>
      </c>
      <c r="B44" s="8" t="s">
        <v>18</v>
      </c>
      <c r="C44" s="8">
        <v>264</v>
      </c>
    </row>
    <row r="45" spans="1:27" x14ac:dyDescent="0.3">
      <c r="A45" s="8" t="s">
        <v>13</v>
      </c>
      <c r="B45" s="8" t="s">
        <v>17</v>
      </c>
      <c r="C45" s="8">
        <v>309</v>
      </c>
    </row>
    <row r="46" spans="1:27" x14ac:dyDescent="0.3">
      <c r="A46" s="8" t="s">
        <v>13</v>
      </c>
      <c r="B46" s="8" t="s">
        <v>18</v>
      </c>
      <c r="C46" s="8">
        <v>245</v>
      </c>
    </row>
    <row r="48" spans="1:27" x14ac:dyDescent="0.3">
      <c r="B48" s="8" t="s">
        <v>16</v>
      </c>
      <c r="C48" s="8" t="s">
        <v>19</v>
      </c>
    </row>
    <row r="49" spans="2:3" x14ac:dyDescent="0.3">
      <c r="B49" s="8" t="s">
        <v>18</v>
      </c>
      <c r="C49" s="8">
        <f>(C42+C43+C44+C46)/4</f>
        <v>250</v>
      </c>
    </row>
    <row r="50" spans="2:3" x14ac:dyDescent="0.3">
      <c r="B50" s="8" t="s">
        <v>17</v>
      </c>
      <c r="C50" s="8">
        <f>(C45+C41)/2</f>
        <v>297.5</v>
      </c>
    </row>
  </sheetData>
  <autoFilter ref="A1:C18" xr:uid="{6B85878F-6CF7-0140-A179-1418EE20569D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Introdução</vt:lpstr>
      <vt:lpstr>Gini-Impurity</vt:lpstr>
      <vt:lpstr>Gini-Impuriy-02</vt:lpstr>
      <vt:lpstr>Sheet1</vt:lpstr>
      <vt:lpstr>Sheet2</vt:lpstr>
      <vt:lpstr>ïndice de Gini</vt:lpstr>
      <vt:lpstr>DT-Regression-Sample</vt:lpstr>
      <vt:lpstr>DT-Regression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2025-08-26T00:09:21Z</dcterms:modified>
</cp:coreProperties>
</file>