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charts/style11.xml" ContentType="application/vnd.ms-office.chartstyle+xml"/>
  <Override PartName="/xl/charts/colors11.xml" ContentType="application/vnd.ms-office.chartcolorstyle+xml"/>
  <Override PartName="/xl/charts/chart16.xml" ContentType="application/vnd.openxmlformats-officedocument.drawingml.chart+xml"/>
  <Override PartName="/xl/charts/style12.xml" ContentType="application/vnd.ms-office.chartstyle+xml"/>
  <Override PartName="/xl/charts/colors12.xml" ContentType="application/vnd.ms-office.chartcolorstyle+xml"/>
  <Override PartName="/xl/charts/chart17.xml" ContentType="application/vnd.openxmlformats-officedocument.drawingml.chart+xml"/>
  <Override PartName="/xl/charts/style13.xml" ContentType="application/vnd.ms-office.chartstyle+xml"/>
  <Override PartName="/xl/charts/colors13.xml" ContentType="application/vnd.ms-office.chartcolorstyle+xml"/>
  <Override PartName="/xl/charts/chart18.xml" ContentType="application/vnd.openxmlformats-officedocument.drawingml.chart+xml"/>
  <Override PartName="/xl/charts/style14.xml" ContentType="application/vnd.ms-office.chartstyle+xml"/>
  <Override PartName="/xl/charts/colors14.xml" ContentType="application/vnd.ms-office.chartcolorstyle+xml"/>
  <Override PartName="/xl/charts/chart19.xml" ContentType="application/vnd.openxmlformats-officedocument.drawingml.chart+xml"/>
  <Override PartName="/xl/charts/style15.xml" ContentType="application/vnd.ms-office.chartstyle+xml"/>
  <Override PartName="/xl/charts/colors15.xml" ContentType="application/vnd.ms-office.chartcolorstyle+xml"/>
  <Override PartName="/xl/charts/chart20.xml" ContentType="application/vnd.openxmlformats-officedocument.drawingml.chart+xml"/>
  <Override PartName="/xl/charts/style16.xml" ContentType="application/vnd.ms-office.chartstyle+xml"/>
  <Override PartName="/xl/charts/colors16.xml" ContentType="application/vnd.ms-office.chartcolorstyle+xml"/>
  <Override PartName="/xl/charts/chart21.xml" ContentType="application/vnd.openxmlformats-officedocument.drawingml.chart+xml"/>
  <Override PartName="/xl/charts/style17.xml" ContentType="application/vnd.ms-office.chartstyle+xml"/>
  <Override PartName="/xl/charts/colors17.xml" ContentType="application/vnd.ms-office.chartcolorstyle+xml"/>
  <Override PartName="/xl/charts/chart22.xml" ContentType="application/vnd.openxmlformats-officedocument.drawingml.chart+xml"/>
  <Override PartName="/xl/charts/style18.xml" ContentType="application/vnd.ms-office.chartstyle+xml"/>
  <Override PartName="/xl/charts/colors18.xml" ContentType="application/vnd.ms-office.chartcolorstyle+xml"/>
  <Override PartName="/xl/charts/chart23.xml" ContentType="application/vnd.openxmlformats-officedocument.drawingml.chart+xml"/>
  <Override PartName="/xl/charts/style19.xml" ContentType="application/vnd.ms-office.chartstyle+xml"/>
  <Override PartName="/xl/charts/colors19.xml" ContentType="application/vnd.ms-office.chartcolorstyle+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charts/chart29.xml" ContentType="application/vnd.openxmlformats-officedocument.drawingml.chart+xml"/>
  <Override PartName="/xl/charts/style25.xml" ContentType="application/vnd.ms-office.chartstyle+xml"/>
  <Override PartName="/xl/charts/colors25.xml" ContentType="application/vnd.ms-office.chartcolorstyle+xml"/>
  <Override PartName="/xl/charts/chart30.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harts/chart31.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xml" ContentType="application/vnd.openxmlformats-officedocument.themeOverride+xml"/>
  <Override PartName="/xl/charts/chart32.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xml" ContentType="application/vnd.openxmlformats-officedocument.themeOverride+xml"/>
  <Override PartName="/xl/charts/chart33.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3.xml" ContentType="application/vnd.openxmlformats-officedocument.themeOverride+xml"/>
  <Override PartName="/xl/drawings/drawing10.xml" ContentType="application/vnd.openxmlformats-officedocument.drawing+xml"/>
  <Override PartName="/xl/charts/chart34.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4.xml" ContentType="application/vnd.openxmlformats-officedocument.themeOverride+xml"/>
  <Override PartName="/xl/charts/chart35.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5.xml" ContentType="application/vnd.openxmlformats-officedocument.themeOverride+xml"/>
  <Override PartName="/xl/charts/chart36.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6.xml" ContentType="application/vnd.openxmlformats-officedocument.themeOverride+xml"/>
  <Override PartName="/xl/drawings/drawing11.xml" ContentType="application/vnd.openxmlformats-officedocument.drawing+xml"/>
  <Override PartName="/xl/charts/chart37.xml" ContentType="application/vnd.openxmlformats-officedocument.drawingml.chart+xml"/>
  <Override PartName="/xl/charts/style33.xml" ContentType="application/vnd.ms-office.chartstyle+xml"/>
  <Override PartName="/xl/charts/colors33.xml" ContentType="application/vnd.ms-office.chartcolorstyle+xml"/>
  <Override PartName="/xl/drawings/drawing12.xml" ContentType="application/vnd.openxmlformats-officedocument.drawing+xml"/>
  <Override PartName="/xl/charts/chart38.xml" ContentType="application/vnd.openxmlformats-officedocument.drawingml.chart+xml"/>
  <Override PartName="/xl/charts/style34.xml" ContentType="application/vnd.ms-office.chartstyle+xml"/>
  <Override PartName="/xl/charts/colors34.xml" ContentType="application/vnd.ms-office.chartcolorstyle+xml"/>
  <Override PartName="/xl/charts/chart39.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13.xml" ContentType="application/vnd.openxmlformats-officedocument.drawing+xml"/>
  <Override PartName="/xl/charts/chart40.xml" ContentType="application/vnd.openxmlformats-officedocument.drawingml.chart+xml"/>
  <Override PartName="/xl/charts/style36.xml" ContentType="application/vnd.ms-office.chartstyle+xml"/>
  <Override PartName="/xl/charts/colors36.xml" ContentType="application/vnd.ms-office.chartcolorstyle+xml"/>
  <Override PartName="/xl/charts/chart41.xml" ContentType="application/vnd.openxmlformats-officedocument.drawingml.chart+xml"/>
  <Override PartName="/xl/charts/style37.xml" ContentType="application/vnd.ms-office.chartstyle+xml"/>
  <Override PartName="/xl/charts/colors37.xml" ContentType="application/vnd.ms-office.chartcolorstyle+xml"/>
  <Override PartName="/xl/charts/chart42.xml" ContentType="application/vnd.openxmlformats-officedocument.drawingml.chart+xml"/>
  <Override PartName="/xl/charts/style38.xml" ContentType="application/vnd.ms-office.chartstyle+xml"/>
  <Override PartName="/xl/charts/colors38.xml" ContentType="application/vnd.ms-office.chartcolorstyle+xml"/>
  <Override PartName="/xl/charts/chart43.xml" ContentType="application/vnd.openxmlformats-officedocument.drawingml.chart+xml"/>
  <Override PartName="/xl/charts/style39.xml" ContentType="application/vnd.ms-office.chartstyle+xml"/>
  <Override PartName="/xl/charts/colors39.xml" ContentType="application/vnd.ms-office.chartcolorstyle+xml"/>
  <Override PartName="/xl/drawings/drawing14.xml" ContentType="application/vnd.openxmlformats-officedocument.drawing+xml"/>
  <Override PartName="/xl/charts/chart44.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7.xml" ContentType="application/vnd.openxmlformats-officedocument.themeOverride+xml"/>
  <Override PartName="/xl/drawings/drawing15.xml" ContentType="application/vnd.openxmlformats-officedocument.drawing+xml"/>
  <Override PartName="/xl/charts/chart45.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8.xml" ContentType="application/vnd.openxmlformats-officedocument.themeOverride+xml"/>
  <Override PartName="/xl/drawings/drawing16.xml" ContentType="application/vnd.openxmlformats-officedocument.drawing+xml"/>
  <Override PartName="/xl/charts/chart46.xml" ContentType="application/vnd.openxmlformats-officedocument.drawingml.chart+xml"/>
  <Override PartName="/xl/theme/themeOverride9.xml" ContentType="application/vnd.openxmlformats-officedocument.themeOverride+xml"/>
  <Override PartName="/xl/charts/chart47.xml" ContentType="application/vnd.openxmlformats-officedocument.drawingml.chart+xml"/>
  <Override PartName="/xl/theme/themeOverride10.xml" ContentType="application/vnd.openxmlformats-officedocument.themeOverride+xml"/>
  <Override PartName="/xl/drawings/drawing17.xml" ContentType="application/vnd.openxmlformats-officedocument.drawing+xml"/>
  <Override PartName="/xl/charts/chart48.xml" ContentType="application/vnd.openxmlformats-officedocument.drawingml.chart+xml"/>
  <Override PartName="/xl/theme/themeOverride11.xml" ContentType="application/vnd.openxmlformats-officedocument.themeOverride+xml"/>
  <Override PartName="/xl/charts/chart49.xml" ContentType="application/vnd.openxmlformats-officedocument.drawingml.chart+xml"/>
  <Override PartName="/xl/theme/themeOverride12.xml" ContentType="application/vnd.openxmlformats-officedocument.themeOverride+xml"/>
  <Override PartName="/xl/charts/chart50.xml" ContentType="application/vnd.openxmlformats-officedocument.drawingml.chart+xml"/>
  <Override PartName="/xl/charts/style42.xml" ContentType="application/vnd.ms-office.chartstyle+xml"/>
  <Override PartName="/xl/charts/colors42.xml" ContentType="application/vnd.ms-office.chartcolorstyle+xml"/>
  <Override PartName="/xl/comments8.xml" ContentType="application/vnd.openxmlformats-officedocument.spreadsheetml.comments+xml"/>
  <Override PartName="/xl/threadedComments/threadedComment8.xml" ContentType="application/vnd.ms-excel.threadedcomments+xml"/>
  <Override PartName="/xl/drawings/drawing18.xml" ContentType="application/vnd.openxmlformats-officedocument.drawing+xml"/>
  <Override PartName="/xl/charts/chart51.xml" ContentType="application/vnd.openxmlformats-officedocument.drawingml.chart+xml"/>
  <Override PartName="/xl/charts/style43.xml" ContentType="application/vnd.ms-office.chartstyle+xml"/>
  <Override PartName="/xl/charts/colors43.xml" ContentType="application/vnd.ms-office.chartcolorstyle+xml"/>
  <Override PartName="/xl/charts/chart52.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9.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charts/chart53.xml" ContentType="application/vnd.openxmlformats-officedocument.drawingml.chart+xml"/>
  <Override PartName="/xl/charts/style45.xml" ContentType="application/vnd.ms-office.chartstyle+xml"/>
  <Override PartName="/xl/charts/colors45.xml" ContentType="application/vnd.ms-office.chartcolorstyle+xml"/>
  <Override PartName="/xl/charts/chart54.xml" ContentType="application/vnd.openxmlformats-officedocument.drawingml.chart+xml"/>
  <Override PartName="/xl/charts/style46.xml" ContentType="application/vnd.ms-office.chartstyle+xml"/>
  <Override PartName="/xl/charts/colors46.xml" ContentType="application/vnd.ms-office.chartcolorstyle+xml"/>
  <Override PartName="/xl/charts/chart55.xml" ContentType="application/vnd.openxmlformats-officedocument.drawingml.chart+xml"/>
  <Override PartName="/xl/charts/style47.xml" ContentType="application/vnd.ms-office.chartstyle+xml"/>
  <Override PartName="/xl/charts/colors47.xml" ContentType="application/vnd.ms-office.chartcolorstyle+xml"/>
  <Override PartName="/xl/charts/chart56.xml" ContentType="application/vnd.openxmlformats-officedocument.drawingml.chart+xml"/>
  <Override PartName="/xl/charts/style48.xml" ContentType="application/vnd.ms-office.chartstyle+xml"/>
  <Override PartName="/xl/charts/colors48.xml" ContentType="application/vnd.ms-office.chartcolorstyle+xml"/>
  <Override PartName="/xl/charts/chart57.xml" ContentType="application/vnd.openxmlformats-officedocument.drawingml.chart+xml"/>
  <Override PartName="/xl/charts/style49.xml" ContentType="application/vnd.ms-office.chartstyle+xml"/>
  <Override PartName="/xl/charts/colors49.xml" ContentType="application/vnd.ms-office.chartcolorstyle+xml"/>
  <Override PartName="/xl/charts/chart58.xml" ContentType="application/vnd.openxmlformats-officedocument.drawingml.chart+xml"/>
  <Override PartName="/xl/charts/style50.xml" ContentType="application/vnd.ms-office.chartstyle+xml"/>
  <Override PartName="/xl/charts/colors50.xml" ContentType="application/vnd.ms-office.chartcolorstyle+xml"/>
  <Override PartName="/xl/charts/chart59.xml" ContentType="application/vnd.openxmlformats-officedocument.drawingml.chart+xml"/>
  <Override PartName="/xl/charts/style51.xml" ContentType="application/vnd.ms-office.chartstyle+xml"/>
  <Override PartName="/xl/charts/colors51.xml" ContentType="application/vnd.ms-office.chartcolorstyle+xml"/>
  <Override PartName="/xl/charts/chart60.xml" ContentType="application/vnd.openxmlformats-officedocument.drawingml.chart+xml"/>
  <Override PartName="/xl/charts/style52.xml" ContentType="application/vnd.ms-office.chartstyle+xml"/>
  <Override PartName="/xl/charts/colors52.xml" ContentType="application/vnd.ms-office.chartcolorstyle+xml"/>
  <Override PartName="/xl/charts/chart61.xml" ContentType="application/vnd.openxmlformats-officedocument.drawingml.chart+xml"/>
  <Override PartName="/xl/charts/style53.xml" ContentType="application/vnd.ms-office.chartstyle+xml"/>
  <Override PartName="/xl/charts/colors53.xml" ContentType="application/vnd.ms-office.chartcolorstyle+xml"/>
  <Override PartName="/xl/charts/chart62.xml" ContentType="application/vnd.openxmlformats-officedocument.drawingml.chart+xml"/>
  <Override PartName="/xl/charts/style54.xml" ContentType="application/vnd.ms-office.chartstyle+xml"/>
  <Override PartName="/xl/charts/colors5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defaultThemeVersion="166925"/>
  <mc:AlternateContent xmlns:mc="http://schemas.openxmlformats.org/markup-compatibility/2006">
    <mc:Choice Requires="x15">
      <x15ac:absPath xmlns:x15ac="http://schemas.microsoft.com/office/spreadsheetml/2010/11/ac" url="C:\Users\andre\Dropbox\Energy_Reform\SN-Energy-Reform-\results\"/>
    </mc:Choice>
  </mc:AlternateContent>
  <xr:revisionPtr revIDLastSave="0" documentId="13_ncr:1_{95C703C5-A0F4-4B8A-91DB-035DBC61D955}" xr6:coauthVersionLast="47" xr6:coauthVersionMax="47" xr10:uidLastSave="{00000000-0000-0000-0000-000000000000}"/>
  <bookViews>
    <workbookView xWindow="-108" yWindow="-108" windowWidth="23256" windowHeight="12576" tabRatio="877" firstSheet="16" activeTab="18" xr2:uid="{00000000-000D-0000-FFFF-FFFF00000000}"/>
  </bookViews>
  <sheets>
    <sheet name="Electricity -BaU Reform" sheetId="2" state="hidden" r:id="rId1"/>
    <sheet name="Carburants - BaU Reform" sheetId="3" state="hidden" r:id="rId2"/>
    <sheet name="Hoja1" sheetId="28" state="hidden" r:id="rId3"/>
    <sheet name="VolumesFuels" sheetId="30" state="hidden" r:id="rId4"/>
    <sheet name="FuelBaskets" sheetId="31" state="hidden" r:id="rId5"/>
    <sheet name="Fuel_Simplified" sheetId="35" state="hidden" r:id="rId6"/>
    <sheet name="Fuel_pmts" sheetId="36" state="hidden" r:id="rId7"/>
    <sheet name="Fuel_prices_info" sheetId="4" r:id="rId8"/>
    <sheet name="elec_pmts_info" sheetId="5" state="hidden" r:id="rId9"/>
    <sheet name="labels" sheetId="6" r:id="rId10"/>
    <sheet name="single_policy" sheetId="7" r:id="rId11"/>
    <sheet name="GraficasPolicyNote" sheetId="33" r:id="rId12"/>
    <sheet name="To do" sheetId="34" state="hidden" r:id="rId13"/>
    <sheet name="Parameters" sheetId="1" r:id="rId14"/>
    <sheet name="PNBSF_deps" sheetId="47" state="hidden" r:id="rId15"/>
    <sheet name="Uprating pmts" sheetId="29" r:id="rId16"/>
    <sheet name="Summary Reforms" sheetId="41" r:id="rId17"/>
    <sheet name="Elec_Coverage" sheetId="8" r:id="rId18"/>
    <sheet name="Fuels_Coverage" sheetId="12" r:id="rId19"/>
    <sheet name="Marginal Contributions" sheetId="18" r:id="rId20"/>
    <sheet name="RI" sheetId="22" r:id="rId21"/>
    <sheet name="AI" sheetId="23" r:id="rId22"/>
    <sheet name="RI_Con" sheetId="10" r:id="rId23"/>
    <sheet name="Prices_fuels" sheetId="43" r:id="rId24"/>
    <sheet name="Fiscal Gains" sheetId="25" r:id="rId25"/>
    <sheet name="Decile Inc. Comparisons" sheetId="26" r:id="rId26"/>
    <sheet name="Decile shares RI" sheetId="38" r:id="rId27"/>
    <sheet name="UpratingMatch" sheetId="40" r:id="rId28"/>
    <sheet name="MC Comparisons" sheetId="27" r:id="rId29"/>
    <sheet name="F1" sheetId="44" r:id="rId30"/>
    <sheet name="stats" sheetId="19" r:id="rId31"/>
    <sheet name="calibdata" sheetId="39" r:id="rId32"/>
    <sheet name="elec_cost_deciles" sheetId="45" r:id="rId33"/>
    <sheet name="tab_elec_tranches" sheetId="46" r:id="rId34"/>
  </sheets>
  <externalReferences>
    <externalReference r:id="rId35"/>
    <externalReference r:id="rId36"/>
    <externalReference r:id="rId37"/>
    <externalReference r:id="rId38"/>
    <externalReference r:id="rId39"/>
  </externalReferences>
  <definedNames>
    <definedName name="_xlnm._FilterDatabase" localSheetId="29" hidden="1">'F1'!$Y$2:$Z$8</definedName>
    <definedName name="colcodes" localSheetId="29">[1]labels!$Q$2:$W$11</definedName>
    <definedName name="colcodes" localSheetId="23">[2]labels!$R$2:$X$11</definedName>
    <definedName name="colcodes">labels!$T$2:$AB$10</definedName>
    <definedName name="colnames" localSheetId="29">[1]labels!$J$2:$P$11</definedName>
    <definedName name="colnames" localSheetId="23">[2]labels!$K$2:$Q$11</definedName>
    <definedName name="colnames">labels!$K$2:$S$10</definedName>
    <definedName name="GDP_2022" localSheetId="23">'[2]Uprating pmts'!$C$10</definedName>
    <definedName name="GDP_2022">'Uprating pmts'!$C$10</definedName>
    <definedName name="PNBSF_assign">labels!$AF$2:$AF$3</definedName>
    <definedName name="policies" localSheetId="29">labels!$B$2:$B$10</definedName>
    <definedName name="policies" localSheetId="23">labels!$B$2:$B$10</definedName>
    <definedName name="policies">labels!$B$2:$B$10</definedName>
    <definedName name="reforms" localSheetId="23">[2]labels!$F$3:$F$5</definedName>
    <definedName name="reforms">labels!$F$3:$F$5</definedName>
    <definedName name="scenarios" localSheetId="29">[1]labels!$F$2:$F$4</definedName>
    <definedName name="scenarios" localSheetId="23">[2]labels!$F$2:$F$5</definedName>
    <definedName name="scenarios">labels!$F$2:$F$5</definedName>
    <definedName name="solver_adj" localSheetId="7" hidden="1">Fuel_prices_info!$E$13</definedName>
    <definedName name="solver_cvg" localSheetId="7" hidden="1">"""0,0001"""</definedName>
    <definedName name="solver_drv" localSheetId="7" hidden="1">1</definedName>
    <definedName name="solver_eng" localSheetId="7" hidden="1">2</definedName>
    <definedName name="solver_est" localSheetId="7" hidden="1">1</definedName>
    <definedName name="solver_itr" localSheetId="7" hidden="1">2147483647</definedName>
    <definedName name="solver_mip" localSheetId="7" hidden="1">2147483647</definedName>
    <definedName name="solver_mni" localSheetId="7" hidden="1">30</definedName>
    <definedName name="solver_mrt" localSheetId="7" hidden="1">"""0,075"""</definedName>
    <definedName name="solver_msl" localSheetId="7" hidden="1">2</definedName>
    <definedName name="solver_neg" localSheetId="7" hidden="1">1</definedName>
    <definedName name="solver_nod" localSheetId="7" hidden="1">2147483647</definedName>
    <definedName name="solver_num" localSheetId="7" hidden="1">0</definedName>
    <definedName name="solver_nwt" localSheetId="7" hidden="1">1</definedName>
    <definedName name="solver_opt" localSheetId="7" hidden="1">Fuel_prices_info!$L$13</definedName>
    <definedName name="solver_pre" localSheetId="7" hidden="1">"""0,000001"""</definedName>
    <definedName name="solver_rbv" localSheetId="7" hidden="1">1</definedName>
    <definedName name="solver_rlx" localSheetId="7" hidden="1">2</definedName>
    <definedName name="solver_rsd" localSheetId="7" hidden="1">0</definedName>
    <definedName name="solver_scl" localSheetId="7" hidden="1">1</definedName>
    <definedName name="solver_sho" localSheetId="7" hidden="1">2</definedName>
    <definedName name="solver_ssz" localSheetId="7" hidden="1">100</definedName>
    <definedName name="solver_tim" localSheetId="7" hidden="1">2147483647</definedName>
    <definedName name="solver_tol" localSheetId="7" hidden="1">1</definedName>
    <definedName name="solver_typ" localSheetId="7" hidden="1">3</definedName>
    <definedName name="solver_val" localSheetId="7" hidden="1">890</definedName>
    <definedName name="solver_ver" localSheetId="7" hidden="1">3</definedName>
    <definedName name="Y_N">labels!$AE$2:$AE$3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91" i="41" l="1"/>
  <c r="L91" i="41"/>
  <c r="D91" i="41" s="1"/>
  <c r="M91" i="41"/>
  <c r="N91" i="41"/>
  <c r="K92" i="41"/>
  <c r="L92" i="41"/>
  <c r="D92" i="41" s="1"/>
  <c r="M92" i="41"/>
  <c r="N92" i="41"/>
  <c r="C91" i="41"/>
  <c r="E91" i="41"/>
  <c r="F91" i="41"/>
  <c r="C92" i="41"/>
  <c r="E92" i="41"/>
  <c r="F92" i="41"/>
  <c r="K103" i="41"/>
  <c r="C103" i="41" s="1"/>
  <c r="L103" i="41"/>
  <c r="D103" i="41" s="1"/>
  <c r="M103" i="41"/>
  <c r="E103" i="41" s="1"/>
  <c r="N103" i="41"/>
  <c r="F103" i="41" s="1"/>
  <c r="K104" i="41"/>
  <c r="C104" i="41" s="1"/>
  <c r="L104" i="41"/>
  <c r="D104" i="41" s="1"/>
  <c r="M104" i="41"/>
  <c r="E104" i="41" s="1"/>
  <c r="N104" i="41"/>
  <c r="F104" i="41" s="1"/>
  <c r="K114" i="41"/>
  <c r="L114" i="41"/>
  <c r="M114" i="41"/>
  <c r="N114" i="41"/>
  <c r="K115" i="41"/>
  <c r="L115" i="41"/>
  <c r="M115" i="41"/>
  <c r="E115" i="41" s="1"/>
  <c r="N115" i="41"/>
  <c r="C114" i="41"/>
  <c r="D114" i="41"/>
  <c r="E114" i="41"/>
  <c r="F114" i="41"/>
  <c r="C115" i="41"/>
  <c r="D115" i="41"/>
  <c r="F115" i="41"/>
  <c r="Q98" i="44"/>
  <c r="P98" i="44"/>
  <c r="O98" i="44"/>
  <c r="N98" i="44"/>
  <c r="M98" i="44"/>
  <c r="L98" i="44"/>
  <c r="Q97" i="44"/>
  <c r="P97" i="44"/>
  <c r="O97" i="44"/>
  <c r="N97" i="44"/>
  <c r="M97" i="44"/>
  <c r="L97" i="44"/>
  <c r="Q96" i="44"/>
  <c r="P96" i="44"/>
  <c r="O96" i="44"/>
  <c r="N96" i="44"/>
  <c r="M96" i="44"/>
  <c r="L96" i="44"/>
  <c r="Q95" i="44"/>
  <c r="P95" i="44"/>
  <c r="O95" i="44"/>
  <c r="N95" i="44"/>
  <c r="M95" i="44"/>
  <c r="L95" i="44"/>
  <c r="Q94" i="44"/>
  <c r="P94" i="44"/>
  <c r="O94" i="44"/>
  <c r="N94" i="44"/>
  <c r="M94" i="44"/>
  <c r="L94" i="44"/>
  <c r="Q93" i="44"/>
  <c r="P93" i="44"/>
  <c r="O93" i="44"/>
  <c r="N93" i="44"/>
  <c r="M93" i="44"/>
  <c r="L93" i="44"/>
  <c r="Q92" i="44"/>
  <c r="P92" i="44"/>
  <c r="O92" i="44"/>
  <c r="N92" i="44"/>
  <c r="M92" i="44"/>
  <c r="L92" i="44"/>
  <c r="Q91" i="44"/>
  <c r="P91" i="44"/>
  <c r="O91" i="44"/>
  <c r="N91" i="44"/>
  <c r="M91" i="44"/>
  <c r="L91" i="44"/>
  <c r="Q90" i="44"/>
  <c r="P90" i="44"/>
  <c r="O90" i="44"/>
  <c r="N90" i="44"/>
  <c r="M90" i="44"/>
  <c r="L90" i="44"/>
  <c r="Q89" i="44"/>
  <c r="P89" i="44"/>
  <c r="O89" i="44"/>
  <c r="N89" i="44"/>
  <c r="M89" i="44"/>
  <c r="L89" i="44"/>
  <c r="Q88" i="44"/>
  <c r="P88" i="44"/>
  <c r="O88" i="44"/>
  <c r="N88" i="44"/>
  <c r="M88" i="44"/>
  <c r="R68" i="44"/>
  <c r="S68" i="44" s="1"/>
  <c r="R67" i="44"/>
  <c r="R66" i="44"/>
  <c r="U66" i="44" s="1"/>
  <c r="R65" i="44"/>
  <c r="S65" i="44" s="1"/>
  <c r="R64" i="44"/>
  <c r="R63" i="44"/>
  <c r="U63" i="44" s="1"/>
  <c r="AA40" i="44"/>
  <c r="AA39" i="44"/>
  <c r="AA38" i="44"/>
  <c r="O38" i="44"/>
  <c r="J38" i="44"/>
  <c r="I38" i="44"/>
  <c r="O37" i="44"/>
  <c r="J37" i="44"/>
  <c r="I37" i="44"/>
  <c r="AA36" i="44"/>
  <c r="O36" i="44"/>
  <c r="J36" i="44"/>
  <c r="I36" i="44"/>
  <c r="AA35" i="44"/>
  <c r="O35" i="44"/>
  <c r="J35" i="44"/>
  <c r="I35" i="44"/>
  <c r="O34" i="44"/>
  <c r="J34" i="44"/>
  <c r="I34" i="44"/>
  <c r="O33" i="44"/>
  <c r="J33" i="44"/>
  <c r="I33" i="44"/>
  <c r="I9" i="44"/>
  <c r="H9" i="44"/>
  <c r="Y8" i="44"/>
  <c r="I8" i="44"/>
  <c r="H8" i="44"/>
  <c r="E8" i="44"/>
  <c r="Y7" i="44"/>
  <c r="I7" i="44"/>
  <c r="H7" i="44"/>
  <c r="E7" i="44"/>
  <c r="Y6" i="44"/>
  <c r="I6" i="44"/>
  <c r="Y5" i="44"/>
  <c r="I5" i="44"/>
  <c r="Y4" i="44"/>
  <c r="I4" i="44"/>
  <c r="Y3" i="44"/>
  <c r="N72" i="27"/>
  <c r="N71" i="27"/>
  <c r="N70" i="27"/>
  <c r="W47" i="27"/>
  <c r="L47" i="27" s="1"/>
  <c r="W45" i="27"/>
  <c r="L45" i="27" s="1"/>
  <c r="T45" i="27"/>
  <c r="I45" i="27" s="1"/>
  <c r="W39" i="27"/>
  <c r="S39" i="27"/>
  <c r="O38" i="27"/>
  <c r="P38" i="27" s="1"/>
  <c r="H38" i="27" s="1"/>
  <c r="J38" i="27"/>
  <c r="M38" i="27" s="1"/>
  <c r="I38" i="27"/>
  <c r="L38" i="27" s="1"/>
  <c r="N37" i="27"/>
  <c r="W33" i="27"/>
  <c r="L33" i="27" s="1"/>
  <c r="M33" i="27" s="1"/>
  <c r="T33" i="27"/>
  <c r="I33" i="27" s="1"/>
  <c r="J33" i="27" s="1"/>
  <c r="T31" i="27"/>
  <c r="I31" i="27" s="1"/>
  <c r="J31" i="27" s="1"/>
  <c r="W29" i="27"/>
  <c r="W40" i="27" s="1"/>
  <c r="L40" i="27" s="1"/>
  <c r="S29" i="27"/>
  <c r="T47" i="27" s="1"/>
  <c r="I47" i="27" s="1"/>
  <c r="L28" i="27"/>
  <c r="J28" i="27"/>
  <c r="M28" i="27" s="1"/>
  <c r="I28" i="27"/>
  <c r="N27" i="27"/>
  <c r="W24" i="27"/>
  <c r="L24" i="27" s="1"/>
  <c r="M24" i="27" s="1"/>
  <c r="N24" i="27" s="1"/>
  <c r="T24" i="27"/>
  <c r="I24" i="27" s="1"/>
  <c r="J24" i="27" s="1"/>
  <c r="T22" i="27"/>
  <c r="I22" i="27" s="1"/>
  <c r="T21" i="27"/>
  <c r="I21" i="27" s="1"/>
  <c r="W20" i="27"/>
  <c r="W21" i="27" s="1"/>
  <c r="L21" i="27" s="1"/>
  <c r="S20" i="27"/>
  <c r="T23" i="27" s="1"/>
  <c r="I23" i="27" s="1"/>
  <c r="J23" i="27" s="1"/>
  <c r="J19" i="27"/>
  <c r="M19" i="27" s="1"/>
  <c r="I19" i="27"/>
  <c r="L19" i="27" s="1"/>
  <c r="N18" i="27"/>
  <c r="W12" i="27"/>
  <c r="L12" i="27" s="1"/>
  <c r="M12" i="27" s="1"/>
  <c r="N12" i="27" s="1"/>
  <c r="T12" i="27"/>
  <c r="I12" i="27" s="1"/>
  <c r="J12" i="27" s="1"/>
  <c r="S12" i="27"/>
  <c r="S11" i="27"/>
  <c r="W10" i="27"/>
  <c r="L10" i="27" s="1"/>
  <c r="M10" i="27" s="1"/>
  <c r="N10" i="27" s="1"/>
  <c r="T10" i="27"/>
  <c r="I10" i="27" s="1"/>
  <c r="J10" i="27" s="1"/>
  <c r="S10" i="27"/>
  <c r="T9" i="27"/>
  <c r="I9" i="27" s="1"/>
  <c r="W8" i="27"/>
  <c r="W11" i="27" s="1"/>
  <c r="L11" i="27" s="1"/>
  <c r="M11" i="27" s="1"/>
  <c r="S8" i="27"/>
  <c r="T40" i="27" s="1"/>
  <c r="I40" i="27" s="1"/>
  <c r="L7" i="27"/>
  <c r="J7" i="27"/>
  <c r="M7" i="27" s="1"/>
  <c r="I7" i="27"/>
  <c r="N6" i="27"/>
  <c r="F8" i="40"/>
  <c r="D8" i="40"/>
  <c r="C8" i="40"/>
  <c r="K7" i="40"/>
  <c r="J7" i="40"/>
  <c r="I7" i="40"/>
  <c r="E8" i="40" s="1"/>
  <c r="O6" i="40"/>
  <c r="N6" i="40"/>
  <c r="M6" i="40"/>
  <c r="K6" i="40" s="1"/>
  <c r="L6" i="40"/>
  <c r="F5" i="40" s="1"/>
  <c r="J6" i="40"/>
  <c r="I6" i="40"/>
  <c r="F6" i="40"/>
  <c r="K5" i="40"/>
  <c r="J5" i="40"/>
  <c r="I5" i="40"/>
  <c r="O4" i="40"/>
  <c r="I4" i="40" s="1"/>
  <c r="N4" i="40"/>
  <c r="J4" i="40" s="1"/>
  <c r="M4" i="40"/>
  <c r="L4" i="40"/>
  <c r="K4" i="40" s="1"/>
  <c r="R44" i="38"/>
  <c r="J44" i="38"/>
  <c r="I44" i="38"/>
  <c r="R43" i="38"/>
  <c r="J43" i="38"/>
  <c r="I43" i="38"/>
  <c r="H43" i="38"/>
  <c r="R42" i="38"/>
  <c r="J42" i="38"/>
  <c r="I42" i="38"/>
  <c r="S41" i="38"/>
  <c r="K41" i="38" s="1"/>
  <c r="R41" i="38"/>
  <c r="J41" i="38" s="1"/>
  <c r="I41" i="38"/>
  <c r="R40" i="38"/>
  <c r="J40" i="38" s="1"/>
  <c r="I40" i="38"/>
  <c r="R39" i="38"/>
  <c r="J39" i="38"/>
  <c r="I39" i="38"/>
  <c r="H39" i="38"/>
  <c r="R38" i="38"/>
  <c r="J38" i="38"/>
  <c r="I38" i="38"/>
  <c r="H38" i="38"/>
  <c r="R37" i="38"/>
  <c r="J37" i="38" s="1"/>
  <c r="I37" i="38"/>
  <c r="R36" i="38"/>
  <c r="J36" i="38" s="1"/>
  <c r="I36" i="38"/>
  <c r="R35" i="38"/>
  <c r="J35" i="38"/>
  <c r="I35" i="38"/>
  <c r="H35" i="38"/>
  <c r="S34" i="38"/>
  <c r="S38" i="38" s="1"/>
  <c r="K38" i="38" s="1"/>
  <c r="A30" i="38"/>
  <c r="A29" i="38"/>
  <c r="J24" i="38"/>
  <c r="A21" i="38"/>
  <c r="A19" i="38"/>
  <c r="H44" i="38" s="1"/>
  <c r="A18" i="38"/>
  <c r="R17" i="38"/>
  <c r="Q17" i="38"/>
  <c r="I17" i="38" s="1"/>
  <c r="J17" i="38"/>
  <c r="A17" i="38"/>
  <c r="H42" i="38" s="1"/>
  <c r="R16" i="38"/>
  <c r="J16" i="38" s="1"/>
  <c r="Q16" i="38"/>
  <c r="I16" i="38" s="1"/>
  <c r="H16" i="38"/>
  <c r="A16" i="38"/>
  <c r="H41" i="38" s="1"/>
  <c r="R15" i="38"/>
  <c r="J15" i="38" s="1"/>
  <c r="H15" i="38"/>
  <c r="A15" i="38"/>
  <c r="Q14" i="38"/>
  <c r="I14" i="38" s="1"/>
  <c r="H14" i="38"/>
  <c r="A14" i="38"/>
  <c r="R13" i="38"/>
  <c r="Q13" i="38"/>
  <c r="I13" i="38" s="1"/>
  <c r="J13" i="38"/>
  <c r="A13" i="38"/>
  <c r="H11" i="38" s="1"/>
  <c r="S12" i="38"/>
  <c r="K12" i="38" s="1"/>
  <c r="H12" i="38"/>
  <c r="A12" i="38"/>
  <c r="H37" i="38" s="1"/>
  <c r="T11" i="38"/>
  <c r="L11" i="38" s="1"/>
  <c r="S11" i="38"/>
  <c r="K11" i="38" s="1"/>
  <c r="R11" i="38"/>
  <c r="J11" i="38" s="1"/>
  <c r="A11" i="38"/>
  <c r="H36" i="38" s="1"/>
  <c r="T10" i="38"/>
  <c r="L10" i="38" s="1"/>
  <c r="R10" i="38"/>
  <c r="Q10" i="38"/>
  <c r="J10" i="38"/>
  <c r="I10" i="38"/>
  <c r="H10" i="38"/>
  <c r="A10" i="38"/>
  <c r="S9" i="38"/>
  <c r="K9" i="38" s="1"/>
  <c r="R9" i="38"/>
  <c r="Q9" i="38"/>
  <c r="I9" i="38" s="1"/>
  <c r="J9" i="38"/>
  <c r="T8" i="38"/>
  <c r="L8" i="38" s="1"/>
  <c r="R8" i="38"/>
  <c r="J8" i="38" s="1"/>
  <c r="Q8" i="38"/>
  <c r="I8" i="38" s="1"/>
  <c r="H8" i="38"/>
  <c r="T7" i="38"/>
  <c r="T14" i="38" s="1"/>
  <c r="L14" i="38" s="1"/>
  <c r="S7" i="38"/>
  <c r="R7" i="38"/>
  <c r="R14" i="38" s="1"/>
  <c r="J14" i="38" s="1"/>
  <c r="Q7" i="38"/>
  <c r="Q11" i="38" s="1"/>
  <c r="I11" i="38" s="1"/>
  <c r="A30" i="26"/>
  <c r="A29" i="26"/>
  <c r="F27" i="26"/>
  <c r="A40" i="26" s="1"/>
  <c r="E40" i="26" s="1"/>
  <c r="E27" i="26"/>
  <c r="A39" i="26" s="1"/>
  <c r="E39" i="26" s="1"/>
  <c r="F26" i="26"/>
  <c r="E26" i="26"/>
  <c r="F25" i="26"/>
  <c r="E25" i="26"/>
  <c r="C23" i="26"/>
  <c r="A21" i="26"/>
  <c r="A19" i="26"/>
  <c r="I17" i="26" s="1"/>
  <c r="A18" i="26"/>
  <c r="R17" i="26"/>
  <c r="J17" i="26" s="1"/>
  <c r="A17" i="26"/>
  <c r="I15" i="26" s="1"/>
  <c r="T16" i="26"/>
  <c r="L16" i="26" s="1"/>
  <c r="I16" i="26"/>
  <c r="A16" i="26"/>
  <c r="A15" i="26"/>
  <c r="R14" i="26"/>
  <c r="J14" i="26" s="1"/>
  <c r="I14" i="26"/>
  <c r="A14" i="26"/>
  <c r="I13" i="26"/>
  <c r="A13" i="26"/>
  <c r="I11" i="26" s="1"/>
  <c r="I12" i="26"/>
  <c r="A12" i="26"/>
  <c r="A11" i="26"/>
  <c r="T10" i="26"/>
  <c r="L10" i="26" s="1"/>
  <c r="I10" i="26"/>
  <c r="A10" i="26"/>
  <c r="I9" i="26"/>
  <c r="T8" i="26"/>
  <c r="L8" i="26"/>
  <c r="I8" i="26"/>
  <c r="S7" i="26"/>
  <c r="U6" i="26"/>
  <c r="T6" i="26"/>
  <c r="T15" i="26" s="1"/>
  <c r="L15" i="26" s="1"/>
  <c r="S6" i="26"/>
  <c r="R6" i="26"/>
  <c r="R12" i="26" s="1"/>
  <c r="J12" i="26" s="1"/>
  <c r="U5" i="26"/>
  <c r="T5" i="26"/>
  <c r="S5" i="26"/>
  <c r="R5" i="26"/>
  <c r="S26" i="25"/>
  <c r="R26" i="25"/>
  <c r="Q26" i="25"/>
  <c r="P26" i="25"/>
  <c r="O26" i="25"/>
  <c r="N26" i="25"/>
  <c r="N22" i="25" s="1"/>
  <c r="S25" i="25"/>
  <c r="R25" i="25"/>
  <c r="Q25" i="25"/>
  <c r="P25" i="25"/>
  <c r="O25" i="25"/>
  <c r="N25" i="25"/>
  <c r="S24" i="25"/>
  <c r="Q24" i="25"/>
  <c r="R24" i="25" s="1"/>
  <c r="P23" i="25"/>
  <c r="O23" i="25"/>
  <c r="N23" i="25"/>
  <c r="Q22" i="25"/>
  <c r="K22" i="25" s="1"/>
  <c r="P22" i="25"/>
  <c r="O22" i="25"/>
  <c r="Q21" i="25"/>
  <c r="K21" i="25" s="1"/>
  <c r="P21" i="25"/>
  <c r="O21" i="25"/>
  <c r="N21" i="25"/>
  <c r="Q19" i="25"/>
  <c r="L13" i="25"/>
  <c r="N10" i="25"/>
  <c r="M10" i="25"/>
  <c r="M7" i="25"/>
  <c r="K7" i="25"/>
  <c r="C7" i="25"/>
  <c r="N6" i="25"/>
  <c r="M6" i="25"/>
  <c r="L6" i="25"/>
  <c r="K6" i="25"/>
  <c r="M5" i="25"/>
  <c r="L5" i="25"/>
  <c r="K5" i="25"/>
  <c r="E13" i="43"/>
  <c r="C13" i="43"/>
  <c r="E12" i="43"/>
  <c r="C12" i="43"/>
  <c r="E11" i="43"/>
  <c r="C11" i="43"/>
  <c r="E10" i="43"/>
  <c r="C10" i="43"/>
  <c r="E9" i="43"/>
  <c r="C9" i="43"/>
  <c r="E8" i="43"/>
  <c r="C8" i="43"/>
  <c r="A7" i="43"/>
  <c r="B37" i="10"/>
  <c r="A37" i="10"/>
  <c r="A33" i="10"/>
  <c r="O6" i="10" s="1"/>
  <c r="B25" i="10"/>
  <c r="B24" i="10"/>
  <c r="B23" i="10"/>
  <c r="A17" i="10"/>
  <c r="A16" i="10"/>
  <c r="H16" i="10" s="1"/>
  <c r="H15" i="10"/>
  <c r="A15" i="10"/>
  <c r="H14" i="10"/>
  <c r="A14" i="10"/>
  <c r="A13" i="10"/>
  <c r="H13" i="10" s="1"/>
  <c r="A12" i="10"/>
  <c r="H12" i="10" s="1"/>
  <c r="H11" i="10"/>
  <c r="A11" i="10"/>
  <c r="H10" i="10"/>
  <c r="A10" i="10"/>
  <c r="A9" i="10"/>
  <c r="H9" i="10" s="1"/>
  <c r="A8" i="10"/>
  <c r="H8" i="10" s="1"/>
  <c r="H7" i="10"/>
  <c r="A7" i="10"/>
  <c r="V31" i="23"/>
  <c r="V30" i="23"/>
  <c r="V29" i="23"/>
  <c r="B29" i="23"/>
  <c r="A29" i="23"/>
  <c r="V28" i="23"/>
  <c r="V27" i="23"/>
  <c r="V26" i="23"/>
  <c r="V25" i="23"/>
  <c r="V24" i="23"/>
  <c r="V23" i="23"/>
  <c r="V22" i="23"/>
  <c r="A18" i="23"/>
  <c r="J16" i="23"/>
  <c r="A15" i="23"/>
  <c r="J7" i="23" s="1"/>
  <c r="A14" i="23"/>
  <c r="J17" i="23" s="1"/>
  <c r="J13" i="23"/>
  <c r="A13" i="23"/>
  <c r="A12" i="23"/>
  <c r="J15" i="23" s="1"/>
  <c r="A11" i="23"/>
  <c r="J14" i="23" s="1"/>
  <c r="A10" i="23"/>
  <c r="J9" i="23"/>
  <c r="A9" i="23"/>
  <c r="J12" i="23" s="1"/>
  <c r="J8" i="23"/>
  <c r="A8" i="23"/>
  <c r="J11" i="23" s="1"/>
  <c r="V7" i="23"/>
  <c r="U7" i="23"/>
  <c r="U10" i="23" s="1"/>
  <c r="M10" i="23" s="1"/>
  <c r="T7" i="23"/>
  <c r="T15" i="23" s="1"/>
  <c r="L15" i="23" s="1"/>
  <c r="S7" i="23"/>
  <c r="S15" i="23" s="1"/>
  <c r="K15" i="23" s="1"/>
  <c r="N7" i="23"/>
  <c r="M7" i="23"/>
  <c r="L7" i="23"/>
  <c r="K7" i="23"/>
  <c r="A7" i="23"/>
  <c r="J10" i="23" s="1"/>
  <c r="A6" i="23"/>
  <c r="J5" i="23"/>
  <c r="A5" i="23"/>
  <c r="A29" i="22"/>
  <c r="B29" i="22" s="1"/>
  <c r="J17" i="22"/>
  <c r="J16" i="22"/>
  <c r="B15" i="22"/>
  <c r="J7" i="22" s="1"/>
  <c r="J14" i="22"/>
  <c r="B14" i="22"/>
  <c r="B13" i="22"/>
  <c r="B12" i="22"/>
  <c r="J15" i="22" s="1"/>
  <c r="J11" i="22"/>
  <c r="B11" i="22"/>
  <c r="J10" i="22"/>
  <c r="B10" i="22"/>
  <c r="J13" i="22" s="1"/>
  <c r="J9" i="22"/>
  <c r="B9" i="22"/>
  <c r="J12" i="22" s="1"/>
  <c r="B8" i="22"/>
  <c r="V7" i="22"/>
  <c r="U7" i="22"/>
  <c r="T7" i="22"/>
  <c r="S7" i="22"/>
  <c r="N7" i="22"/>
  <c r="M7" i="22"/>
  <c r="L7" i="22"/>
  <c r="K7" i="22"/>
  <c r="B7" i="22"/>
  <c r="B6" i="22"/>
  <c r="J5" i="22"/>
  <c r="B5" i="22"/>
  <c r="J8" i="22" s="1"/>
  <c r="V34" i="18"/>
  <c r="W34" i="18" s="1"/>
  <c r="U25" i="18"/>
  <c r="U12" i="18"/>
  <c r="AA8" i="18"/>
  <c r="X8" i="18"/>
  <c r="K8" i="18" s="1"/>
  <c r="AC7" i="18"/>
  <c r="AB7" i="18"/>
  <c r="Q7" i="18" s="1"/>
  <c r="Z7" i="18"/>
  <c r="N7" i="18" s="1"/>
  <c r="AD2" i="18"/>
  <c r="AA2" i="18"/>
  <c r="X2" i="18"/>
  <c r="B31" i="12"/>
  <c r="P7" i="12" s="1"/>
  <c r="J7" i="12" s="1"/>
  <c r="A31" i="12"/>
  <c r="A16" i="12"/>
  <c r="A15" i="12"/>
  <c r="H15" i="12" s="1"/>
  <c r="A14" i="12"/>
  <c r="H14" i="12" s="1"/>
  <c r="O13" i="12"/>
  <c r="I13" i="12" s="1"/>
  <c r="A13" i="12"/>
  <c r="H13" i="12" s="1"/>
  <c r="A12" i="12"/>
  <c r="H12" i="12" s="1"/>
  <c r="P11" i="12"/>
  <c r="J11" i="12" s="1"/>
  <c r="O11" i="12"/>
  <c r="I11" i="12" s="1"/>
  <c r="A11" i="12"/>
  <c r="H11" i="12" s="1"/>
  <c r="H10" i="12"/>
  <c r="A10" i="12"/>
  <c r="A9" i="12"/>
  <c r="H9" i="12" s="1"/>
  <c r="A8" i="12"/>
  <c r="H8" i="12" s="1"/>
  <c r="A7" i="12"/>
  <c r="H7" i="12" s="1"/>
  <c r="H6" i="12"/>
  <c r="A6" i="12"/>
  <c r="A31" i="8"/>
  <c r="B31" i="8" s="1"/>
  <c r="A16" i="8"/>
  <c r="P15" i="8"/>
  <c r="J15" i="8"/>
  <c r="A15" i="8"/>
  <c r="H15" i="8" s="1"/>
  <c r="O14" i="8"/>
  <c r="I14" i="8" s="1"/>
  <c r="H14" i="8"/>
  <c r="A14" i="8"/>
  <c r="O13" i="8"/>
  <c r="I13" i="8"/>
  <c r="H13" i="8"/>
  <c r="A13" i="8"/>
  <c r="P12" i="8"/>
  <c r="J12" i="8"/>
  <c r="H12" i="8"/>
  <c r="A12" i="8"/>
  <c r="O11" i="8"/>
  <c r="I11" i="8" s="1"/>
  <c r="A11" i="8"/>
  <c r="H11" i="8" s="1"/>
  <c r="P10" i="8"/>
  <c r="O10" i="8"/>
  <c r="I10" i="8" s="1"/>
  <c r="J10" i="8"/>
  <c r="H10" i="8"/>
  <c r="A10" i="8"/>
  <c r="P9" i="8"/>
  <c r="J9" i="8"/>
  <c r="H9" i="8"/>
  <c r="A9" i="8"/>
  <c r="P8" i="8"/>
  <c r="J8" i="8" s="1"/>
  <c r="H8" i="8"/>
  <c r="A8" i="8"/>
  <c r="P7" i="8"/>
  <c r="J7" i="8"/>
  <c r="H7" i="8"/>
  <c r="A7" i="8"/>
  <c r="P6" i="8"/>
  <c r="O6" i="8"/>
  <c r="I6" i="8" s="1"/>
  <c r="J6" i="8"/>
  <c r="H6" i="8"/>
  <c r="A6" i="8"/>
  <c r="C141" i="41"/>
  <c r="N118" i="41"/>
  <c r="F118" i="41" s="1"/>
  <c r="F127" i="41" s="1"/>
  <c r="M118" i="41"/>
  <c r="E118" i="41" s="1"/>
  <c r="E127" i="41" s="1"/>
  <c r="L118" i="41"/>
  <c r="D118" i="41" s="1"/>
  <c r="D127" i="41" s="1"/>
  <c r="K118" i="41"/>
  <c r="C118" i="41" s="1"/>
  <c r="C127" i="41" s="1"/>
  <c r="N117" i="41"/>
  <c r="F117" i="41" s="1"/>
  <c r="F126" i="41" s="1"/>
  <c r="M117" i="41"/>
  <c r="E117" i="41" s="1"/>
  <c r="E126" i="41" s="1"/>
  <c r="L117" i="41"/>
  <c r="D117" i="41" s="1"/>
  <c r="D126" i="41" s="1"/>
  <c r="K117" i="41"/>
  <c r="C117" i="41" s="1"/>
  <c r="C126" i="41" s="1"/>
  <c r="N116" i="41"/>
  <c r="M116" i="41"/>
  <c r="E116" i="41" s="1"/>
  <c r="E125" i="41" s="1"/>
  <c r="L116" i="41"/>
  <c r="D116" i="41" s="1"/>
  <c r="D125" i="41" s="1"/>
  <c r="K116" i="41"/>
  <c r="C116" i="41" s="1"/>
  <c r="C125" i="41" s="1"/>
  <c r="F116" i="41"/>
  <c r="F125" i="41" s="1"/>
  <c r="N113" i="41"/>
  <c r="M113" i="41"/>
  <c r="E113" i="41" s="1"/>
  <c r="E124" i="41" s="1"/>
  <c r="L113" i="41"/>
  <c r="D113" i="41" s="1"/>
  <c r="D124" i="41" s="1"/>
  <c r="K113" i="41"/>
  <c r="C113" i="41" s="1"/>
  <c r="F113" i="41"/>
  <c r="F124" i="41" s="1"/>
  <c r="N112" i="41"/>
  <c r="F112" i="41" s="1"/>
  <c r="F123" i="41" s="1"/>
  <c r="M112" i="41"/>
  <c r="E112" i="41" s="1"/>
  <c r="E123" i="41" s="1"/>
  <c r="L112" i="41"/>
  <c r="D112" i="41" s="1"/>
  <c r="D123" i="41" s="1"/>
  <c r="K112" i="41"/>
  <c r="C112" i="41" s="1"/>
  <c r="C123" i="41" s="1"/>
  <c r="N111" i="41"/>
  <c r="F111" i="41" s="1"/>
  <c r="F122" i="41" s="1"/>
  <c r="M111" i="41"/>
  <c r="E111" i="41" s="1"/>
  <c r="E122" i="41" s="1"/>
  <c r="L111" i="41"/>
  <c r="D111" i="41" s="1"/>
  <c r="D122" i="41" s="1"/>
  <c r="K111" i="41"/>
  <c r="C111" i="41" s="1"/>
  <c r="N110" i="41"/>
  <c r="M110" i="41"/>
  <c r="L110" i="41"/>
  <c r="D110" i="41" s="1"/>
  <c r="D121" i="41" s="1"/>
  <c r="K110" i="41"/>
  <c r="C110" i="41" s="1"/>
  <c r="F110" i="41"/>
  <c r="F121" i="41" s="1"/>
  <c r="E110" i="41"/>
  <c r="E121" i="41" s="1"/>
  <c r="N109" i="41"/>
  <c r="F109" i="41" s="1"/>
  <c r="F120" i="41" s="1"/>
  <c r="M109" i="41"/>
  <c r="E109" i="41" s="1"/>
  <c r="E120" i="41" s="1"/>
  <c r="L109" i="41"/>
  <c r="D109" i="41" s="1"/>
  <c r="D120" i="41" s="1"/>
  <c r="K109" i="41"/>
  <c r="C109" i="41" s="1"/>
  <c r="C120" i="41" s="1"/>
  <c r="N108" i="41"/>
  <c r="F108" i="41" s="1"/>
  <c r="F119" i="41" s="1"/>
  <c r="M108" i="41"/>
  <c r="E108" i="41" s="1"/>
  <c r="E119" i="41" s="1"/>
  <c r="L108" i="41"/>
  <c r="D108" i="41" s="1"/>
  <c r="D119" i="41" s="1"/>
  <c r="K108" i="41"/>
  <c r="C108" i="41" s="1"/>
  <c r="C119" i="41" s="1"/>
  <c r="N107" i="41"/>
  <c r="M107" i="41"/>
  <c r="E107" i="41" s="1"/>
  <c r="L107" i="41"/>
  <c r="D107" i="41" s="1"/>
  <c r="K107" i="41"/>
  <c r="C107" i="41" s="1"/>
  <c r="F107" i="41"/>
  <c r="N106" i="41"/>
  <c r="F106" i="41" s="1"/>
  <c r="M106" i="41"/>
  <c r="E106" i="41" s="1"/>
  <c r="L106" i="41"/>
  <c r="K106" i="41"/>
  <c r="C106" i="41" s="1"/>
  <c r="D106" i="41"/>
  <c r="N105" i="41"/>
  <c r="F105" i="41" s="1"/>
  <c r="M105" i="41"/>
  <c r="E105" i="41" s="1"/>
  <c r="L105" i="41"/>
  <c r="D105" i="41" s="1"/>
  <c r="K105" i="41"/>
  <c r="C105" i="41" s="1"/>
  <c r="N102" i="41"/>
  <c r="F102" i="41" s="1"/>
  <c r="M102" i="41"/>
  <c r="E102" i="41" s="1"/>
  <c r="L102" i="41"/>
  <c r="D102" i="41" s="1"/>
  <c r="K102" i="41"/>
  <c r="C102" i="41" s="1"/>
  <c r="N101" i="41"/>
  <c r="F101" i="41" s="1"/>
  <c r="M101" i="41"/>
  <c r="E101" i="41" s="1"/>
  <c r="L101" i="41"/>
  <c r="D101" i="41" s="1"/>
  <c r="K101" i="41"/>
  <c r="C101" i="41" s="1"/>
  <c r="N100" i="41"/>
  <c r="F100" i="41" s="1"/>
  <c r="M100" i="41"/>
  <c r="E100" i="41" s="1"/>
  <c r="L100" i="41"/>
  <c r="D100" i="41" s="1"/>
  <c r="K100" i="41"/>
  <c r="C100" i="41" s="1"/>
  <c r="N99" i="41"/>
  <c r="F99" i="41" s="1"/>
  <c r="M99" i="41"/>
  <c r="E99" i="41" s="1"/>
  <c r="L99" i="41"/>
  <c r="D99" i="41" s="1"/>
  <c r="K99" i="41"/>
  <c r="C99" i="41" s="1"/>
  <c r="N98" i="41"/>
  <c r="F98" i="41" s="1"/>
  <c r="M98" i="41"/>
  <c r="E98" i="41" s="1"/>
  <c r="L98" i="41"/>
  <c r="D98" i="41" s="1"/>
  <c r="K98" i="41"/>
  <c r="C98" i="41" s="1"/>
  <c r="N97" i="41"/>
  <c r="F97" i="41" s="1"/>
  <c r="M97" i="41"/>
  <c r="E97" i="41" s="1"/>
  <c r="L97" i="41"/>
  <c r="D97" i="41" s="1"/>
  <c r="K97" i="41"/>
  <c r="C97" i="41" s="1"/>
  <c r="N96" i="41"/>
  <c r="F96" i="41" s="1"/>
  <c r="M96" i="41"/>
  <c r="E96" i="41" s="1"/>
  <c r="L96" i="41"/>
  <c r="D96" i="41" s="1"/>
  <c r="K96" i="41"/>
  <c r="C96" i="41"/>
  <c r="N95" i="41"/>
  <c r="F95" i="41" s="1"/>
  <c r="M95" i="41"/>
  <c r="E95" i="41" s="1"/>
  <c r="L95" i="41"/>
  <c r="D95" i="41" s="1"/>
  <c r="K95" i="41"/>
  <c r="C95" i="41" s="1"/>
  <c r="N94" i="41"/>
  <c r="F94" i="41" s="1"/>
  <c r="M94" i="41"/>
  <c r="E94" i="41" s="1"/>
  <c r="L94" i="41"/>
  <c r="D94" i="41" s="1"/>
  <c r="K94" i="41"/>
  <c r="C94" i="41" s="1"/>
  <c r="N93" i="41"/>
  <c r="M93" i="41"/>
  <c r="E93" i="41" s="1"/>
  <c r="L93" i="41"/>
  <c r="D93" i="41" s="1"/>
  <c r="K93" i="41"/>
  <c r="C93" i="41" s="1"/>
  <c r="F93" i="41"/>
  <c r="N90" i="41"/>
  <c r="F90" i="41" s="1"/>
  <c r="M90" i="41"/>
  <c r="E90" i="41" s="1"/>
  <c r="L90" i="41"/>
  <c r="D90" i="41" s="1"/>
  <c r="K90" i="41"/>
  <c r="C90" i="41" s="1"/>
  <c r="N89" i="41"/>
  <c r="F89" i="41" s="1"/>
  <c r="M89" i="41"/>
  <c r="E89" i="41" s="1"/>
  <c r="L89" i="41"/>
  <c r="D89" i="41" s="1"/>
  <c r="K89" i="41"/>
  <c r="C89" i="41" s="1"/>
  <c r="N88" i="41"/>
  <c r="F88" i="41" s="1"/>
  <c r="M88" i="41"/>
  <c r="E88" i="41" s="1"/>
  <c r="L88" i="41"/>
  <c r="K88" i="41"/>
  <c r="C88" i="41" s="1"/>
  <c r="D88" i="41"/>
  <c r="N87" i="41"/>
  <c r="F87" i="41" s="1"/>
  <c r="M87" i="41"/>
  <c r="E87" i="41" s="1"/>
  <c r="L87" i="41"/>
  <c r="K87" i="41"/>
  <c r="C87" i="41" s="1"/>
  <c r="D87" i="41"/>
  <c r="N86" i="41"/>
  <c r="F86" i="41" s="1"/>
  <c r="M86" i="41"/>
  <c r="E86" i="41" s="1"/>
  <c r="L86" i="41"/>
  <c r="D86" i="41" s="1"/>
  <c r="K86" i="41"/>
  <c r="C86" i="41" s="1"/>
  <c r="N85" i="41"/>
  <c r="F85" i="41" s="1"/>
  <c r="M85" i="41"/>
  <c r="E85" i="41" s="1"/>
  <c r="L85" i="41"/>
  <c r="D85" i="41" s="1"/>
  <c r="K85" i="41"/>
  <c r="C85" i="41"/>
  <c r="N84" i="41"/>
  <c r="F84" i="41" s="1"/>
  <c r="M84" i="41"/>
  <c r="E84" i="41" s="1"/>
  <c r="L84" i="41"/>
  <c r="D84" i="41" s="1"/>
  <c r="K84" i="41"/>
  <c r="C84" i="41" s="1"/>
  <c r="F74" i="41"/>
  <c r="E74" i="41"/>
  <c r="D74" i="41"/>
  <c r="C74" i="41"/>
  <c r="A74" i="41"/>
  <c r="F73" i="41"/>
  <c r="E73" i="41"/>
  <c r="D73" i="41"/>
  <c r="C73" i="41"/>
  <c r="A73" i="41"/>
  <c r="F72" i="41"/>
  <c r="E72" i="41"/>
  <c r="D72" i="41"/>
  <c r="C72" i="41"/>
  <c r="A72" i="41"/>
  <c r="F71" i="41"/>
  <c r="E71" i="41"/>
  <c r="D71" i="41"/>
  <c r="C71" i="41"/>
  <c r="A71" i="41"/>
  <c r="E37" i="41"/>
  <c r="D37" i="41"/>
  <c r="E36" i="41"/>
  <c r="D36" i="41"/>
  <c r="E35" i="41"/>
  <c r="D35" i="41"/>
  <c r="E34" i="41"/>
  <c r="D34" i="41"/>
  <c r="E33" i="41"/>
  <c r="D33" i="41"/>
  <c r="E32" i="41"/>
  <c r="D32" i="41"/>
  <c r="E30" i="41"/>
  <c r="D30" i="41"/>
  <c r="E29" i="41"/>
  <c r="D29" i="41"/>
  <c r="E28" i="41"/>
  <c r="D28" i="41"/>
  <c r="E27" i="41"/>
  <c r="D27" i="41"/>
  <c r="E26" i="41"/>
  <c r="D26" i="41"/>
  <c r="E25" i="41"/>
  <c r="D25" i="41"/>
  <c r="D29" i="29"/>
  <c r="C24" i="29"/>
  <c r="BL2" i="7" s="1"/>
  <c r="BL3" i="7" s="1"/>
  <c r="BL4" i="7" s="1"/>
  <c r="BL5" i="7" s="1"/>
  <c r="C9" i="29"/>
  <c r="E64" i="47"/>
  <c r="C64" i="47"/>
  <c r="D65" i="1"/>
  <c r="E65" i="1" s="1"/>
  <c r="F65" i="1" s="1"/>
  <c r="CX5" i="7" s="1"/>
  <c r="C65" i="1"/>
  <c r="CX2" i="7" s="1"/>
  <c r="F61" i="1"/>
  <c r="C43" i="1"/>
  <c r="Y2" i="7" s="1"/>
  <c r="E40" i="1"/>
  <c r="G27" i="1"/>
  <c r="H4" i="7" s="1"/>
  <c r="G23" i="1"/>
  <c r="O23" i="33" s="1"/>
  <c r="D7" i="1"/>
  <c r="G7" i="1" s="1"/>
  <c r="I30" i="34"/>
  <c r="O87" i="33"/>
  <c r="N87" i="33"/>
  <c r="M87" i="33"/>
  <c r="O86" i="33"/>
  <c r="N86" i="33"/>
  <c r="M86" i="33"/>
  <c r="O85" i="33"/>
  <c r="N85" i="33"/>
  <c r="M85" i="33"/>
  <c r="O84" i="33"/>
  <c r="N84" i="33"/>
  <c r="M84" i="33"/>
  <c r="O83" i="33"/>
  <c r="N83" i="33"/>
  <c r="M83" i="33"/>
  <c r="O82" i="33"/>
  <c r="N82" i="33"/>
  <c r="M82" i="33"/>
  <c r="O81" i="33"/>
  <c r="N81" i="33"/>
  <c r="M81" i="33"/>
  <c r="O80" i="33"/>
  <c r="N80" i="33"/>
  <c r="M80" i="33"/>
  <c r="L74" i="33"/>
  <c r="L73" i="33"/>
  <c r="L72" i="33"/>
  <c r="L71" i="33"/>
  <c r="L70" i="33"/>
  <c r="L69" i="33"/>
  <c r="L68" i="33"/>
  <c r="L67" i="33"/>
  <c r="W28" i="33"/>
  <c r="U28" i="33"/>
  <c r="Q28" i="33"/>
  <c r="P28" i="33"/>
  <c r="O28" i="33"/>
  <c r="S28" i="33" s="1"/>
  <c r="N28" i="33"/>
  <c r="M28" i="33"/>
  <c r="X27" i="33"/>
  <c r="W27" i="33"/>
  <c r="P27" i="33"/>
  <c r="O27" i="33"/>
  <c r="N27" i="33"/>
  <c r="V27" i="33" s="1"/>
  <c r="M27" i="33"/>
  <c r="U27" i="33" s="1"/>
  <c r="X26" i="33"/>
  <c r="V26" i="33"/>
  <c r="P26" i="33"/>
  <c r="N26" i="33"/>
  <c r="M26" i="33"/>
  <c r="U26" i="33" s="1"/>
  <c r="V25" i="33"/>
  <c r="S25" i="33"/>
  <c r="W25" i="33" s="1"/>
  <c r="P25" i="33"/>
  <c r="O25" i="33"/>
  <c r="N25" i="33"/>
  <c r="R25" i="33" s="1"/>
  <c r="M25" i="33"/>
  <c r="X24" i="33"/>
  <c r="W24" i="33"/>
  <c r="P24" i="33"/>
  <c r="O24" i="33"/>
  <c r="N24" i="33"/>
  <c r="V24" i="33" s="1"/>
  <c r="M24" i="33"/>
  <c r="U24" i="33" s="1"/>
  <c r="W23" i="33"/>
  <c r="P23" i="33"/>
  <c r="X23" i="33" s="1"/>
  <c r="N23" i="33"/>
  <c r="V23" i="33" s="1"/>
  <c r="M23" i="33"/>
  <c r="U23" i="33" s="1"/>
  <c r="L20" i="33"/>
  <c r="L17" i="33"/>
  <c r="W15" i="33"/>
  <c r="U15" i="33"/>
  <c r="U14" i="33" s="1"/>
  <c r="R15" i="33"/>
  <c r="T15" i="33" s="1"/>
  <c r="O15" i="33"/>
  <c r="Q15" i="33" s="1"/>
  <c r="L15" i="33"/>
  <c r="N15" i="33" s="1"/>
  <c r="K15" i="33"/>
  <c r="W14" i="33"/>
  <c r="V14" i="33"/>
  <c r="T14" i="33"/>
  <c r="S14" i="33"/>
  <c r="R14" i="33"/>
  <c r="Q14" i="33"/>
  <c r="P14" i="33"/>
  <c r="O14" i="33"/>
  <c r="M14" i="33"/>
  <c r="L14" i="33"/>
  <c r="N14" i="33" s="1"/>
  <c r="W13" i="33"/>
  <c r="V13" i="33"/>
  <c r="U13" i="33"/>
  <c r="S13" i="33"/>
  <c r="R13" i="33"/>
  <c r="T13" i="33" s="1"/>
  <c r="P13" i="33"/>
  <c r="O13" i="33"/>
  <c r="N13" i="33"/>
  <c r="M13" i="33"/>
  <c r="L13" i="33"/>
  <c r="K13" i="33"/>
  <c r="W12" i="33"/>
  <c r="U12" i="33"/>
  <c r="S12" i="33"/>
  <c r="R12" i="33"/>
  <c r="T12" i="33" s="1"/>
  <c r="P12" i="33"/>
  <c r="L12" i="33"/>
  <c r="N12" i="33" s="1"/>
  <c r="V11" i="33"/>
  <c r="V12" i="33" s="1"/>
  <c r="U11" i="33"/>
  <c r="W11" i="33" s="1"/>
  <c r="S11" i="33"/>
  <c r="R11" i="33"/>
  <c r="P11" i="33"/>
  <c r="O11" i="33"/>
  <c r="Q11" i="33" s="1"/>
  <c r="M11" i="33"/>
  <c r="M12" i="33" s="1"/>
  <c r="L11" i="33"/>
  <c r="N11" i="33" s="1"/>
  <c r="K11" i="33"/>
  <c r="O10" i="33"/>
  <c r="Q10" i="33" s="1"/>
  <c r="L10" i="33"/>
  <c r="N10" i="33" s="1"/>
  <c r="K10" i="33"/>
  <c r="W9" i="33"/>
  <c r="U9" i="33"/>
  <c r="T9" i="33"/>
  <c r="R9" i="33"/>
  <c r="R8" i="33" s="1"/>
  <c r="T8" i="33" s="1"/>
  <c r="Q9" i="33"/>
  <c r="O9" i="33"/>
  <c r="O8" i="33" s="1"/>
  <c r="N9" i="33"/>
  <c r="L9" i="33"/>
  <c r="K9" i="33"/>
  <c r="U8" i="33"/>
  <c r="W8" i="33" s="1"/>
  <c r="S8" i="33"/>
  <c r="Q8" i="33"/>
  <c r="P8" i="33"/>
  <c r="N8" i="33"/>
  <c r="L8" i="33"/>
  <c r="W7" i="33"/>
  <c r="V7" i="33"/>
  <c r="V8" i="33" s="1"/>
  <c r="U7" i="33"/>
  <c r="S7" i="33"/>
  <c r="R7" i="33"/>
  <c r="Q7" i="33"/>
  <c r="P7" i="33"/>
  <c r="O7" i="33"/>
  <c r="N7" i="33"/>
  <c r="M7" i="33"/>
  <c r="M8" i="33" s="1"/>
  <c r="L7" i="33"/>
  <c r="K7" i="33"/>
  <c r="W6" i="33"/>
  <c r="V6" i="33"/>
  <c r="U6" i="33"/>
  <c r="S6" i="33"/>
  <c r="O6" i="33"/>
  <c r="Q6" i="33" s="1"/>
  <c r="N6" i="33"/>
  <c r="L6" i="33"/>
  <c r="V5" i="33"/>
  <c r="U5" i="33"/>
  <c r="W5" i="33" s="1"/>
  <c r="T5" i="33"/>
  <c r="S5" i="33"/>
  <c r="R5" i="33"/>
  <c r="P5" i="33"/>
  <c r="P6" i="33" s="1"/>
  <c r="O5" i="33"/>
  <c r="O4" i="33" s="1"/>
  <c r="Q4" i="33" s="1"/>
  <c r="M5" i="33"/>
  <c r="M6" i="33" s="1"/>
  <c r="L5" i="33"/>
  <c r="N5" i="33" s="1"/>
  <c r="K5" i="33"/>
  <c r="U4" i="33"/>
  <c r="W4" i="33" s="1"/>
  <c r="R4" i="33"/>
  <c r="T4" i="33" s="1"/>
  <c r="N4" i="33"/>
  <c r="L4" i="33"/>
  <c r="K4" i="33"/>
  <c r="L1" i="33"/>
  <c r="CW5" i="7"/>
  <c r="CV5" i="7"/>
  <c r="CU5" i="7"/>
  <c r="CT5" i="7"/>
  <c r="CS5" i="7"/>
  <c r="AY5" i="7"/>
  <c r="AS5" i="7"/>
  <c r="AB5" i="7"/>
  <c r="W5" i="7"/>
  <c r="V5" i="7"/>
  <c r="U5" i="7"/>
  <c r="T5" i="7"/>
  <c r="S5" i="7"/>
  <c r="R5" i="7"/>
  <c r="Q5" i="7"/>
  <c r="P5" i="7"/>
  <c r="O5" i="7"/>
  <c r="N5" i="7"/>
  <c r="M5" i="7"/>
  <c r="L5" i="7"/>
  <c r="K5" i="7"/>
  <c r="J5" i="7"/>
  <c r="I5" i="7"/>
  <c r="H5" i="7"/>
  <c r="G5" i="7"/>
  <c r="F5" i="7"/>
  <c r="E5" i="7"/>
  <c r="D5" i="7"/>
  <c r="C5" i="7"/>
  <c r="B5" i="7"/>
  <c r="CW4" i="7"/>
  <c r="CV4" i="7"/>
  <c r="CU4" i="7"/>
  <c r="CT4" i="7"/>
  <c r="CS4" i="7"/>
  <c r="BA4" i="7"/>
  <c r="BA5" i="7" s="1"/>
  <c r="AZ4" i="7"/>
  <c r="AZ5" i="7" s="1"/>
  <c r="AT4" i="7"/>
  <c r="AT5" i="7" s="1"/>
  <c r="AS4" i="7"/>
  <c r="AB4" i="7"/>
  <c r="W4" i="7"/>
  <c r="V4" i="7"/>
  <c r="U4" i="7"/>
  <c r="T4" i="7"/>
  <c r="S4" i="7"/>
  <c r="R4" i="7"/>
  <c r="Q4" i="7"/>
  <c r="P4" i="7"/>
  <c r="O4" i="7"/>
  <c r="N4" i="7"/>
  <c r="M4" i="7"/>
  <c r="L4" i="7"/>
  <c r="K4" i="7"/>
  <c r="J4" i="7"/>
  <c r="I4" i="7"/>
  <c r="G4" i="7"/>
  <c r="F4" i="7"/>
  <c r="E4" i="7"/>
  <c r="D4" i="7"/>
  <c r="C4" i="7"/>
  <c r="B4" i="7"/>
  <c r="CX3" i="7"/>
  <c r="CW3" i="7"/>
  <c r="CV3" i="7"/>
  <c r="CU3" i="7"/>
  <c r="CT3" i="7"/>
  <c r="CS3" i="7"/>
  <c r="AY3" i="7"/>
  <c r="AY4" i="7" s="1"/>
  <c r="AU3" i="7"/>
  <c r="AU4" i="7" s="1"/>
  <c r="AU5" i="7" s="1"/>
  <c r="AS3" i="7"/>
  <c r="AB3" i="7"/>
  <c r="W3" i="7"/>
  <c r="V3" i="7"/>
  <c r="U3" i="7"/>
  <c r="T3" i="7"/>
  <c r="S3" i="7"/>
  <c r="R3" i="7"/>
  <c r="Q3" i="7"/>
  <c r="P3" i="7"/>
  <c r="O3" i="7"/>
  <c r="N3" i="7"/>
  <c r="M3" i="7"/>
  <c r="L3" i="7"/>
  <c r="K3" i="7"/>
  <c r="J3" i="7"/>
  <c r="I3" i="7"/>
  <c r="H3" i="7"/>
  <c r="G3" i="7"/>
  <c r="F3" i="7"/>
  <c r="E3" i="7"/>
  <c r="D3" i="7"/>
  <c r="C3" i="7"/>
  <c r="B3" i="7"/>
  <c r="CW2" i="7"/>
  <c r="CV2" i="7"/>
  <c r="CU2" i="7"/>
  <c r="CT2" i="7"/>
  <c r="CS2" i="7"/>
  <c r="CR2" i="7"/>
  <c r="CR3" i="7" s="1"/>
  <c r="CR4" i="7" s="1"/>
  <c r="CR5" i="7" s="1"/>
  <c r="BW2" i="7"/>
  <c r="BW3" i="7" s="1"/>
  <c r="BW4" i="7" s="1"/>
  <c r="BW5" i="7" s="1"/>
  <c r="BA2" i="7"/>
  <c r="BA3" i="7" s="1"/>
  <c r="AZ2" i="7"/>
  <c r="AZ3" i="7" s="1"/>
  <c r="AY2" i="7"/>
  <c r="AX2" i="7"/>
  <c r="AX3" i="7" s="1"/>
  <c r="AX4" i="7" s="1"/>
  <c r="AX5" i="7" s="1"/>
  <c r="AW2" i="7"/>
  <c r="AW3" i="7" s="1"/>
  <c r="AW4" i="7" s="1"/>
  <c r="AW5" i="7" s="1"/>
  <c r="AV2" i="7"/>
  <c r="AV3" i="7" s="1"/>
  <c r="AV4" i="7" s="1"/>
  <c r="AV5" i="7" s="1"/>
  <c r="AU2" i="7"/>
  <c r="AT2" i="7"/>
  <c r="AT3" i="7" s="1"/>
  <c r="AS2" i="7"/>
  <c r="AB2" i="7"/>
  <c r="X2" i="7"/>
  <c r="W2" i="7"/>
  <c r="V2" i="7"/>
  <c r="U2" i="7"/>
  <c r="T2" i="7"/>
  <c r="S2" i="7"/>
  <c r="R2" i="7"/>
  <c r="Q2" i="7"/>
  <c r="P2" i="7"/>
  <c r="O2" i="7"/>
  <c r="N2" i="7"/>
  <c r="M2" i="7"/>
  <c r="L2" i="7"/>
  <c r="K2" i="7"/>
  <c r="J2" i="7"/>
  <c r="I2" i="7"/>
  <c r="H2" i="7"/>
  <c r="G2" i="7"/>
  <c r="F2" i="7"/>
  <c r="E2" i="7"/>
  <c r="D2" i="7"/>
  <c r="C2" i="7"/>
  <c r="B2" i="7"/>
  <c r="DN46" i="5"/>
  <c r="BM46" i="5"/>
  <c r="DN45" i="5"/>
  <c r="DB45" i="5"/>
  <c r="DP41" i="5" s="1"/>
  <c r="DQ41" i="5" s="1"/>
  <c r="BM45" i="5"/>
  <c r="BA45" i="5"/>
  <c r="DP44" i="5"/>
  <c r="DP10" i="5" s="1"/>
  <c r="DN44" i="5"/>
  <c r="BM44" i="5"/>
  <c r="DP43" i="5"/>
  <c r="DP9" i="5" s="1"/>
  <c r="DN43" i="5"/>
  <c r="BM43" i="5"/>
  <c r="DP42" i="5"/>
  <c r="DN42" i="5"/>
  <c r="BM42" i="5"/>
  <c r="DN41" i="5"/>
  <c r="BM41" i="5"/>
  <c r="DP40" i="5"/>
  <c r="DN40" i="5"/>
  <c r="BM40" i="5"/>
  <c r="DH33" i="5"/>
  <c r="DG33" i="5"/>
  <c r="BG33" i="5"/>
  <c r="BF33" i="5"/>
  <c r="DH23" i="5"/>
  <c r="DH22" i="5" s="1"/>
  <c r="DG23" i="5"/>
  <c r="BG23" i="5"/>
  <c r="BG22" i="5" s="1"/>
  <c r="BF23" i="5"/>
  <c r="BF22" i="5" s="1"/>
  <c r="DG22" i="5"/>
  <c r="DH14" i="5"/>
  <c r="DG14" i="5"/>
  <c r="DC14" i="5"/>
  <c r="BG14" i="5"/>
  <c r="BF14" i="5"/>
  <c r="BB14" i="5"/>
  <c r="DM13" i="5"/>
  <c r="DL13" i="5"/>
  <c r="DK13" i="5"/>
  <c r="DE13" i="5"/>
  <c r="BL13" i="5"/>
  <c r="BK13" i="5"/>
  <c r="BJ13" i="5"/>
  <c r="BD13" i="5"/>
  <c r="G13" i="5"/>
  <c r="DL12" i="5"/>
  <c r="DK12" i="5"/>
  <c r="DE12" i="5"/>
  <c r="BK12" i="5"/>
  <c r="BJ12" i="5"/>
  <c r="BD12" i="5"/>
  <c r="DP11" i="5"/>
  <c r="DL11" i="5"/>
  <c r="DK11" i="5"/>
  <c r="BK11" i="5"/>
  <c r="BJ11" i="5"/>
  <c r="DL10" i="5"/>
  <c r="DK10" i="5"/>
  <c r="DE10" i="5"/>
  <c r="DE6" i="5" s="1"/>
  <c r="BK10" i="5"/>
  <c r="BJ10" i="5"/>
  <c r="BD10" i="5"/>
  <c r="H10" i="5"/>
  <c r="G10" i="5"/>
  <c r="C39" i="29" s="1"/>
  <c r="CQ2" i="7" s="1"/>
  <c r="CQ3" i="7" s="1"/>
  <c r="CQ4" i="7" s="1"/>
  <c r="CQ5" i="7" s="1"/>
  <c r="C10" i="5"/>
  <c r="DL9" i="5"/>
  <c r="DK9" i="5"/>
  <c r="DE9" i="5"/>
  <c r="BK9" i="5"/>
  <c r="BJ9" i="5"/>
  <c r="BD9" i="5"/>
  <c r="BD6" i="5" s="1"/>
  <c r="T9" i="5"/>
  <c r="T5" i="44" s="1"/>
  <c r="S9" i="5"/>
  <c r="D44" i="1" s="1"/>
  <c r="R9" i="5"/>
  <c r="Q9" i="5"/>
  <c r="H9" i="5"/>
  <c r="G9" i="5"/>
  <c r="C9" i="5"/>
  <c r="DP8" i="5"/>
  <c r="DL8" i="5"/>
  <c r="DK8" i="5"/>
  <c r="DE8" i="5"/>
  <c r="BK8" i="5"/>
  <c r="BJ8" i="5"/>
  <c r="BD8" i="5"/>
  <c r="T8" i="5"/>
  <c r="S5" i="44" s="1"/>
  <c r="S8" i="5"/>
  <c r="R8" i="5"/>
  <c r="Q8" i="5"/>
  <c r="S6" i="44" s="1"/>
  <c r="I8" i="5"/>
  <c r="I10" i="5" s="1"/>
  <c r="P17" i="2" s="1"/>
  <c r="E8" i="5"/>
  <c r="E10" i="5" s="1"/>
  <c r="D8" i="5"/>
  <c r="DL7" i="5"/>
  <c r="DK7" i="5"/>
  <c r="DE7" i="5"/>
  <c r="BK7" i="5"/>
  <c r="BJ7" i="5"/>
  <c r="BD7" i="5"/>
  <c r="T7" i="5"/>
  <c r="R5" i="44" s="1"/>
  <c r="S7" i="5"/>
  <c r="R7" i="5"/>
  <c r="Q7" i="5"/>
  <c r="R6" i="44" s="1"/>
  <c r="I7" i="5"/>
  <c r="E7" i="5"/>
  <c r="E9" i="5" s="1"/>
  <c r="D7" i="5"/>
  <c r="DM6" i="5"/>
  <c r="DL6" i="5"/>
  <c r="DF6" i="5"/>
  <c r="DD6" i="5"/>
  <c r="DC6" i="5"/>
  <c r="DB6" i="5"/>
  <c r="BE6" i="5"/>
  <c r="BC6" i="5"/>
  <c r="BB6" i="5"/>
  <c r="BA6" i="5"/>
  <c r="T6" i="5"/>
  <c r="Q5" i="44" s="1"/>
  <c r="S6" i="5"/>
  <c r="R6" i="5"/>
  <c r="Q6" i="5"/>
  <c r="Q6" i="44" s="1"/>
  <c r="I6" i="5"/>
  <c r="E6" i="5"/>
  <c r="K22" i="2" s="1"/>
  <c r="D6" i="5"/>
  <c r="K80" i="4"/>
  <c r="L80" i="4" s="1"/>
  <c r="I80" i="4"/>
  <c r="H80" i="4"/>
  <c r="G80" i="4"/>
  <c r="F80" i="4"/>
  <c r="J80" i="4" s="1"/>
  <c r="E80" i="4"/>
  <c r="L79" i="4"/>
  <c r="K79" i="4"/>
  <c r="J79" i="4"/>
  <c r="I79" i="4"/>
  <c r="H79" i="4"/>
  <c r="F79" i="4"/>
  <c r="E79" i="4"/>
  <c r="K78" i="4"/>
  <c r="J78" i="4"/>
  <c r="I78" i="4"/>
  <c r="H78" i="4"/>
  <c r="G78" i="4"/>
  <c r="F78" i="4"/>
  <c r="E78" i="4"/>
  <c r="K77" i="4"/>
  <c r="J77" i="4"/>
  <c r="I77" i="4"/>
  <c r="H77" i="4"/>
  <c r="G77" i="4"/>
  <c r="F77" i="4"/>
  <c r="E77" i="4"/>
  <c r="K76" i="4"/>
  <c r="I76" i="4"/>
  <c r="H76" i="4"/>
  <c r="J76" i="4" s="1"/>
  <c r="G76" i="4"/>
  <c r="F76" i="4"/>
  <c r="E76" i="4"/>
  <c r="K75" i="4"/>
  <c r="H75" i="4"/>
  <c r="F75" i="4"/>
  <c r="E75" i="4"/>
  <c r="K73" i="4"/>
  <c r="I73" i="4"/>
  <c r="H73" i="4"/>
  <c r="G73" i="4"/>
  <c r="F73" i="4"/>
  <c r="E73" i="4"/>
  <c r="K72" i="4"/>
  <c r="L72" i="4" s="1"/>
  <c r="AR30" i="31" s="1"/>
  <c r="AR31" i="31" s="1"/>
  <c r="I72" i="4"/>
  <c r="H72" i="4"/>
  <c r="F72" i="4"/>
  <c r="E72" i="4"/>
  <c r="J72" i="4" s="1"/>
  <c r="K71" i="4"/>
  <c r="I71" i="4"/>
  <c r="H71" i="4"/>
  <c r="G71" i="4"/>
  <c r="F71" i="4"/>
  <c r="E71" i="4"/>
  <c r="L70" i="4"/>
  <c r="AT30" i="31" s="1"/>
  <c r="AT31" i="31" s="1"/>
  <c r="K70" i="4"/>
  <c r="J70" i="4"/>
  <c r="I70" i="4"/>
  <c r="H70" i="4"/>
  <c r="G70" i="4"/>
  <c r="F70" i="4"/>
  <c r="E70" i="4"/>
  <c r="K69" i="4"/>
  <c r="I69" i="4"/>
  <c r="H69" i="4"/>
  <c r="G69" i="4"/>
  <c r="F69" i="4"/>
  <c r="E69" i="4"/>
  <c r="K68" i="4"/>
  <c r="J68" i="4"/>
  <c r="H68" i="4"/>
  <c r="F68" i="4"/>
  <c r="E68" i="4"/>
  <c r="K66" i="4"/>
  <c r="J66" i="4"/>
  <c r="I66" i="4"/>
  <c r="H66" i="4"/>
  <c r="G66" i="4"/>
  <c r="F66" i="4"/>
  <c r="E66" i="4"/>
  <c r="K65" i="4"/>
  <c r="I65" i="4"/>
  <c r="H65" i="4"/>
  <c r="F65" i="4"/>
  <c r="E65" i="4"/>
  <c r="K64" i="4"/>
  <c r="I64" i="4"/>
  <c r="H64" i="4"/>
  <c r="G64" i="4"/>
  <c r="F64" i="4"/>
  <c r="E64" i="4"/>
  <c r="L63" i="4"/>
  <c r="K63" i="4"/>
  <c r="I63" i="4"/>
  <c r="H63" i="4"/>
  <c r="G63" i="4"/>
  <c r="F63" i="4"/>
  <c r="E63" i="4"/>
  <c r="J63" i="4" s="1"/>
  <c r="K62" i="4"/>
  <c r="I62" i="4"/>
  <c r="H62" i="4"/>
  <c r="J62" i="4" s="1"/>
  <c r="G62" i="4"/>
  <c r="F62" i="4"/>
  <c r="E62" i="4"/>
  <c r="K61" i="4"/>
  <c r="J61" i="4"/>
  <c r="H61" i="4"/>
  <c r="F61" i="4"/>
  <c r="E61" i="4"/>
  <c r="I52" i="4"/>
  <c r="E52" i="4"/>
  <c r="L51" i="4"/>
  <c r="D25" i="29" s="1"/>
  <c r="BS2" i="7" s="1"/>
  <c r="BS3" i="7" s="1"/>
  <c r="BS4" i="7" s="1"/>
  <c r="BS5" i="7" s="1"/>
  <c r="J51" i="4"/>
  <c r="I51" i="4"/>
  <c r="E51" i="4"/>
  <c r="J50" i="4"/>
  <c r="I50" i="4"/>
  <c r="E50" i="4"/>
  <c r="J49" i="4"/>
  <c r="L49" i="4" s="1"/>
  <c r="D27" i="29" s="1"/>
  <c r="BU2" i="7" s="1"/>
  <c r="BU3" i="7" s="1"/>
  <c r="BU4" i="7" s="1"/>
  <c r="BU5" i="7" s="1"/>
  <c r="I49" i="4"/>
  <c r="E49" i="4"/>
  <c r="J48" i="4"/>
  <c r="L48" i="4" s="1"/>
  <c r="I48" i="4"/>
  <c r="E48" i="4"/>
  <c r="K47" i="4"/>
  <c r="E47" i="4"/>
  <c r="R46" i="4"/>
  <c r="R45" i="4"/>
  <c r="K45" i="4"/>
  <c r="I45" i="4"/>
  <c r="H45" i="4"/>
  <c r="G45" i="4"/>
  <c r="F45" i="4"/>
  <c r="E45" i="4"/>
  <c r="R44" i="4"/>
  <c r="K44" i="4"/>
  <c r="J44" i="4"/>
  <c r="I44" i="4"/>
  <c r="H44" i="4"/>
  <c r="F44" i="4"/>
  <c r="E44" i="4"/>
  <c r="R43" i="4"/>
  <c r="K43" i="4"/>
  <c r="I43" i="4"/>
  <c r="H43" i="4"/>
  <c r="G43" i="4"/>
  <c r="F43" i="4"/>
  <c r="E43" i="4"/>
  <c r="R42" i="4"/>
  <c r="K42" i="4"/>
  <c r="I42" i="4"/>
  <c r="H42" i="4"/>
  <c r="G42" i="4"/>
  <c r="F42" i="4"/>
  <c r="E42" i="4"/>
  <c r="K41" i="4"/>
  <c r="I41" i="4"/>
  <c r="H41" i="4"/>
  <c r="G41" i="4"/>
  <c r="F41" i="4"/>
  <c r="J41" i="4" s="1"/>
  <c r="E41" i="4"/>
  <c r="K40" i="4"/>
  <c r="J40" i="4"/>
  <c r="L40" i="4" s="1"/>
  <c r="H40" i="4"/>
  <c r="F40" i="4"/>
  <c r="E40" i="4"/>
  <c r="K24" i="4"/>
  <c r="J24" i="4"/>
  <c r="I24" i="4"/>
  <c r="H24" i="4"/>
  <c r="G24" i="4"/>
  <c r="F24" i="4"/>
  <c r="L24" i="4" s="1"/>
  <c r="E24" i="4"/>
  <c r="K23" i="4"/>
  <c r="I23" i="4"/>
  <c r="H23" i="4"/>
  <c r="J23" i="4" s="1"/>
  <c r="L23" i="4" s="1"/>
  <c r="F23" i="4"/>
  <c r="E23" i="4"/>
  <c r="K22" i="4"/>
  <c r="I22" i="4"/>
  <c r="H22" i="4"/>
  <c r="G22" i="4"/>
  <c r="F22" i="4"/>
  <c r="E22" i="4"/>
  <c r="K21" i="4"/>
  <c r="I21" i="4"/>
  <c r="H21" i="4"/>
  <c r="G21" i="4"/>
  <c r="F21" i="4"/>
  <c r="E21" i="4"/>
  <c r="K20" i="4"/>
  <c r="I20" i="4"/>
  <c r="H20" i="4"/>
  <c r="G20" i="4"/>
  <c r="F20" i="4"/>
  <c r="E20" i="4"/>
  <c r="K19" i="4"/>
  <c r="H19" i="4"/>
  <c r="F19" i="4"/>
  <c r="E19" i="4"/>
  <c r="K17" i="4"/>
  <c r="I17" i="4"/>
  <c r="H17" i="4"/>
  <c r="G17" i="4"/>
  <c r="F17" i="4"/>
  <c r="L16" i="4"/>
  <c r="B8" i="3" s="1"/>
  <c r="K16" i="4"/>
  <c r="J16" i="4"/>
  <c r="I16" i="4"/>
  <c r="H16" i="4"/>
  <c r="F16" i="4"/>
  <c r="E16" i="4"/>
  <c r="Y15" i="4"/>
  <c r="K15" i="4"/>
  <c r="I15" i="4"/>
  <c r="H15" i="4"/>
  <c r="G15" i="4"/>
  <c r="F15" i="4"/>
  <c r="E15" i="4"/>
  <c r="K14" i="4"/>
  <c r="I14" i="4"/>
  <c r="H14" i="4"/>
  <c r="G14" i="4"/>
  <c r="F14" i="4"/>
  <c r="E14" i="4"/>
  <c r="K13" i="4"/>
  <c r="I13" i="4"/>
  <c r="H13" i="4"/>
  <c r="G13" i="4"/>
  <c r="F13" i="4"/>
  <c r="Z12" i="4"/>
  <c r="Z15" i="4" s="1"/>
  <c r="Y12" i="4"/>
  <c r="X12" i="4"/>
  <c r="X15" i="4" s="1"/>
  <c r="K12" i="4"/>
  <c r="H12" i="4"/>
  <c r="F12" i="4"/>
  <c r="E12" i="4"/>
  <c r="W10" i="4"/>
  <c r="K10" i="4"/>
  <c r="I10" i="4"/>
  <c r="H10" i="4"/>
  <c r="G10" i="4"/>
  <c r="F10" i="4"/>
  <c r="E10" i="4"/>
  <c r="J10" i="4" s="1"/>
  <c r="Y9" i="4"/>
  <c r="L9" i="4"/>
  <c r="K9" i="4"/>
  <c r="I9" i="4"/>
  <c r="H9" i="4"/>
  <c r="F9" i="4"/>
  <c r="J9" i="4" s="1"/>
  <c r="E9" i="4"/>
  <c r="Y8" i="4"/>
  <c r="K8" i="4"/>
  <c r="I8" i="4"/>
  <c r="H8" i="4"/>
  <c r="J8" i="4" s="1"/>
  <c r="G8" i="4"/>
  <c r="F8" i="4"/>
  <c r="E8" i="4"/>
  <c r="Y7" i="4"/>
  <c r="K7" i="4"/>
  <c r="I7" i="4"/>
  <c r="H7" i="4"/>
  <c r="G7" i="4"/>
  <c r="F7" i="4"/>
  <c r="J7" i="4" s="1"/>
  <c r="E7" i="4"/>
  <c r="K6" i="4"/>
  <c r="I6" i="4"/>
  <c r="H6" i="4"/>
  <c r="G6" i="4"/>
  <c r="F6" i="4"/>
  <c r="E6" i="4"/>
  <c r="L5" i="4"/>
  <c r="D6" i="1" s="1"/>
  <c r="K5" i="4"/>
  <c r="H5" i="4"/>
  <c r="J5" i="4" s="1"/>
  <c r="F5" i="4"/>
  <c r="E5" i="4"/>
  <c r="C7" i="36"/>
  <c r="I6" i="36"/>
  <c r="D5" i="36"/>
  <c r="C4" i="36"/>
  <c r="F11" i="35"/>
  <c r="G10" i="35"/>
  <c r="E10" i="35"/>
  <c r="D9" i="35"/>
  <c r="J9" i="35" s="1"/>
  <c r="E8" i="35"/>
  <c r="M6" i="35"/>
  <c r="G6" i="35"/>
  <c r="M7" i="35" s="1"/>
  <c r="E6" i="35"/>
  <c r="G5" i="35"/>
  <c r="D4" i="35"/>
  <c r="J5" i="35" s="1"/>
  <c r="G1" i="35"/>
  <c r="F1" i="35"/>
  <c r="E1" i="35"/>
  <c r="D1" i="35"/>
  <c r="C1" i="35"/>
  <c r="B1" i="35"/>
  <c r="C27" i="31"/>
  <c r="AO25" i="31"/>
  <c r="AH25" i="31"/>
  <c r="X25" i="31"/>
  <c r="W25" i="31"/>
  <c r="V25" i="31"/>
  <c r="U25" i="31"/>
  <c r="T25" i="31"/>
  <c r="S25" i="31"/>
  <c r="R25" i="31"/>
  <c r="P25" i="31"/>
  <c r="D8" i="36" s="1"/>
  <c r="O25" i="31"/>
  <c r="N25" i="31"/>
  <c r="M25" i="31"/>
  <c r="K25" i="31"/>
  <c r="J25" i="31"/>
  <c r="H25" i="31"/>
  <c r="G25" i="31"/>
  <c r="F25" i="31"/>
  <c r="E25" i="31"/>
  <c r="C11" i="35" s="1"/>
  <c r="D25" i="31"/>
  <c r="D27" i="31" s="1"/>
  <c r="D7" i="31" s="1"/>
  <c r="C25" i="31"/>
  <c r="AO24" i="31"/>
  <c r="AH24" i="31"/>
  <c r="Q24" i="31"/>
  <c r="N24" i="31"/>
  <c r="I24" i="31"/>
  <c r="AO23" i="31"/>
  <c r="AH23" i="31"/>
  <c r="Q23" i="31"/>
  <c r="N23" i="31"/>
  <c r="I23" i="31"/>
  <c r="AO22" i="31"/>
  <c r="AH22" i="31"/>
  <c r="Q22" i="31"/>
  <c r="N22" i="31"/>
  <c r="I22" i="31"/>
  <c r="AO21" i="31"/>
  <c r="AH21" i="31"/>
  <c r="Q21" i="31"/>
  <c r="N21" i="31"/>
  <c r="I21" i="31"/>
  <c r="AO20" i="31"/>
  <c r="AH20" i="31"/>
  <c r="Q20" i="31"/>
  <c r="N20" i="31"/>
  <c r="I20" i="31"/>
  <c r="AO19" i="31"/>
  <c r="AH19" i="31"/>
  <c r="Q19" i="31"/>
  <c r="N19" i="31"/>
  <c r="I19" i="31"/>
  <c r="AO18" i="31"/>
  <c r="AH18" i="31"/>
  <c r="Q18" i="31"/>
  <c r="N18" i="31"/>
  <c r="I18" i="31"/>
  <c r="AO17" i="31"/>
  <c r="AH17" i="31"/>
  <c r="Q17" i="31"/>
  <c r="N17" i="31"/>
  <c r="I17" i="31"/>
  <c r="AO16" i="31"/>
  <c r="AH16" i="31"/>
  <c r="Q16" i="31"/>
  <c r="N16" i="31"/>
  <c r="I16" i="31"/>
  <c r="AO15" i="31"/>
  <c r="AH15" i="31"/>
  <c r="Q15" i="31"/>
  <c r="N15" i="31"/>
  <c r="I15" i="31"/>
  <c r="AO14" i="31"/>
  <c r="AH14" i="31"/>
  <c r="Q14" i="31"/>
  <c r="Q25" i="31" s="1"/>
  <c r="G11" i="35" s="1"/>
  <c r="M11" i="35" s="1"/>
  <c r="N14" i="31"/>
  <c r="I14" i="31"/>
  <c r="AO13" i="31"/>
  <c r="AH13" i="31"/>
  <c r="Q13" i="31"/>
  <c r="N13" i="31"/>
  <c r="I13" i="31"/>
  <c r="I25" i="31" s="1"/>
  <c r="D11" i="35" s="1"/>
  <c r="AO12" i="31"/>
  <c r="AH12" i="31"/>
  <c r="Q12" i="31"/>
  <c r="L12" i="31"/>
  <c r="I12" i="31"/>
  <c r="AO11" i="31"/>
  <c r="AH11" i="31"/>
  <c r="Q11" i="31"/>
  <c r="L11" i="31"/>
  <c r="I11" i="31"/>
  <c r="AO10" i="31"/>
  <c r="AH10" i="31"/>
  <c r="Q10" i="31"/>
  <c r="L10" i="31"/>
  <c r="I10" i="31"/>
  <c r="D8" i="35" s="1"/>
  <c r="AO9" i="31"/>
  <c r="AH9" i="31"/>
  <c r="Q9" i="31"/>
  <c r="G7" i="35" s="1"/>
  <c r="L9" i="31"/>
  <c r="I9" i="31"/>
  <c r="AO8" i="31"/>
  <c r="AH8" i="31"/>
  <c r="Q8" i="31"/>
  <c r="L8" i="31"/>
  <c r="I8" i="31"/>
  <c r="D6" i="35" s="1"/>
  <c r="J6" i="35" s="1"/>
  <c r="E8" i="31"/>
  <c r="AO7" i="31"/>
  <c r="AH7" i="31"/>
  <c r="Q7" i="31"/>
  <c r="L7" i="31"/>
  <c r="I7" i="31"/>
  <c r="D5" i="35" s="1"/>
  <c r="E7" i="31"/>
  <c r="AO6" i="31"/>
  <c r="AH6" i="31"/>
  <c r="Q6" i="31"/>
  <c r="L6" i="31"/>
  <c r="I6" i="31"/>
  <c r="AO5" i="31"/>
  <c r="AH5" i="31"/>
  <c r="E5" i="31"/>
  <c r="AZ109" i="30"/>
  <c r="BA109" i="30" s="1"/>
  <c r="BB109" i="30" s="1"/>
  <c r="S52" i="30" s="1"/>
  <c r="AY109" i="30"/>
  <c r="BA108" i="30"/>
  <c r="AY108" i="30"/>
  <c r="AZ107" i="30"/>
  <c r="AY107" i="30"/>
  <c r="BA107" i="30" s="1"/>
  <c r="AY106" i="30"/>
  <c r="BA106" i="30" s="1"/>
  <c r="AY105" i="30"/>
  <c r="BA104" i="30"/>
  <c r="AZ104" i="30"/>
  <c r="AY104" i="30"/>
  <c r="BA103" i="30"/>
  <c r="AZ103" i="30"/>
  <c r="AY103" i="30"/>
  <c r="AZ102" i="30"/>
  <c r="BA102" i="30" s="1"/>
  <c r="AY102" i="30"/>
  <c r="BA101" i="30"/>
  <c r="AZ101" i="30"/>
  <c r="AY101" i="30"/>
  <c r="AZ100" i="30"/>
  <c r="AY100" i="30"/>
  <c r="BA100" i="30" s="1"/>
  <c r="BB100" i="30" s="1"/>
  <c r="H52" i="30" s="1"/>
  <c r="BD99" i="30"/>
  <c r="BB99" i="30"/>
  <c r="L52" i="30" s="1"/>
  <c r="AZ99" i="30"/>
  <c r="BA99" i="30" s="1"/>
  <c r="AY99" i="30"/>
  <c r="AV87" i="30"/>
  <c r="AX87" i="30" s="1"/>
  <c r="AZ87" i="30" s="1"/>
  <c r="AX86" i="30"/>
  <c r="AZ86" i="30" s="1"/>
  <c r="AX85" i="30"/>
  <c r="AZ85" i="30" s="1"/>
  <c r="AC85" i="30"/>
  <c r="AE85" i="30" s="1"/>
  <c r="B69" i="30" s="1"/>
  <c r="AV84" i="30"/>
  <c r="AX84" i="30" s="1"/>
  <c r="AZ84" i="30" s="1"/>
  <c r="AE84" i="30"/>
  <c r="B68" i="30" s="1"/>
  <c r="B12" i="31" s="1"/>
  <c r="AC84" i="30"/>
  <c r="AE83" i="30"/>
  <c r="AC83" i="30"/>
  <c r="AE82" i="30"/>
  <c r="B66" i="30" s="1"/>
  <c r="B10" i="31" s="1"/>
  <c r="AC82" i="30"/>
  <c r="AE81" i="30"/>
  <c r="B65" i="30" s="1"/>
  <c r="B9" i="31" s="1"/>
  <c r="B7" i="35" s="1"/>
  <c r="AC81" i="30"/>
  <c r="AC80" i="30"/>
  <c r="AF79" i="30"/>
  <c r="AE80" i="30" s="1"/>
  <c r="AC79" i="30"/>
  <c r="AZ78" i="30"/>
  <c r="AY78" i="30"/>
  <c r="J38" i="30" s="1"/>
  <c r="AC78" i="30"/>
  <c r="AE78" i="30" s="1"/>
  <c r="B62" i="30" s="1"/>
  <c r="B6" i="31" s="1"/>
  <c r="AZ77" i="30"/>
  <c r="AY77" i="30"/>
  <c r="AZ76" i="30"/>
  <c r="AY76" i="30"/>
  <c r="L76" i="30"/>
  <c r="AZ75" i="30"/>
  <c r="AY75" i="30"/>
  <c r="AZ74" i="30"/>
  <c r="AY74" i="30"/>
  <c r="AZ73" i="30"/>
  <c r="AY73" i="30"/>
  <c r="AX73" i="30"/>
  <c r="AW73" i="30"/>
  <c r="AG69" i="30"/>
  <c r="AF69" i="30"/>
  <c r="AA69" i="30"/>
  <c r="S69" i="30" s="1"/>
  <c r="W69" i="30"/>
  <c r="N69" i="30"/>
  <c r="L69" i="30"/>
  <c r="H69" i="30"/>
  <c r="S68" i="30"/>
  <c r="L68" i="30"/>
  <c r="S67" i="30"/>
  <c r="L67" i="30"/>
  <c r="L75" i="30" s="1"/>
  <c r="B67" i="30"/>
  <c r="B11" i="31" s="1"/>
  <c r="S66" i="30"/>
  <c r="L66" i="30"/>
  <c r="S65" i="30"/>
  <c r="L65" i="30"/>
  <c r="AC64" i="30"/>
  <c r="T64" i="30"/>
  <c r="V64" i="30" s="1"/>
  <c r="W64" i="30" s="1"/>
  <c r="S64" i="30" s="1"/>
  <c r="Q64" i="30"/>
  <c r="L64" i="30"/>
  <c r="L72" i="30" s="1"/>
  <c r="J64" i="30"/>
  <c r="F64" i="30"/>
  <c r="B64" i="30"/>
  <c r="B8" i="31" s="1"/>
  <c r="B6" i="35" s="1"/>
  <c r="AC63" i="30"/>
  <c r="L63" i="30"/>
  <c r="F63" i="30"/>
  <c r="AC62" i="30"/>
  <c r="T62" i="30"/>
  <c r="V62" i="30" s="1"/>
  <c r="W62" i="30" s="1"/>
  <c r="S62" i="30" s="1"/>
  <c r="Q62" i="30"/>
  <c r="L62" i="30"/>
  <c r="L71" i="30" s="1"/>
  <c r="J62" i="30"/>
  <c r="AC61" i="30"/>
  <c r="F61" i="30"/>
  <c r="AC60" i="30"/>
  <c r="J60" i="30"/>
  <c r="F60" i="30"/>
  <c r="AC59" i="30"/>
  <c r="T59" i="30"/>
  <c r="Q59" i="30"/>
  <c r="J59" i="30"/>
  <c r="F59" i="30"/>
  <c r="AC58" i="30"/>
  <c r="Q58" i="30"/>
  <c r="F58" i="30"/>
  <c r="AC57" i="30"/>
  <c r="J57" i="30"/>
  <c r="F57" i="30"/>
  <c r="AC56" i="30"/>
  <c r="Q56" i="30"/>
  <c r="F56" i="30"/>
  <c r="AC55" i="30"/>
  <c r="T55" i="30"/>
  <c r="J55" i="30"/>
  <c r="F55" i="30"/>
  <c r="AC54" i="30"/>
  <c r="J54" i="30"/>
  <c r="F54" i="30"/>
  <c r="AC53" i="30"/>
  <c r="Q53" i="30"/>
  <c r="J53" i="30"/>
  <c r="F53" i="30"/>
  <c r="AC52" i="30"/>
  <c r="T52" i="30"/>
  <c r="F52" i="30"/>
  <c r="AC51" i="30"/>
  <c r="T51" i="30"/>
  <c r="F51" i="30"/>
  <c r="AC50" i="30"/>
  <c r="T50" i="30"/>
  <c r="J50" i="30"/>
  <c r="F50" i="30"/>
  <c r="AC49" i="30"/>
  <c r="F49" i="30"/>
  <c r="AC48" i="30"/>
  <c r="T48" i="30"/>
  <c r="Q48" i="30"/>
  <c r="J48" i="30"/>
  <c r="F48" i="30"/>
  <c r="AC47" i="30"/>
  <c r="J47" i="30"/>
  <c r="F47" i="30"/>
  <c r="AC46" i="30"/>
  <c r="J46" i="30"/>
  <c r="F46" i="30"/>
  <c r="AC45" i="30"/>
  <c r="Q45" i="30"/>
  <c r="J45" i="30"/>
  <c r="F45" i="30"/>
  <c r="AC44" i="30"/>
  <c r="T44" i="30"/>
  <c r="J44" i="30"/>
  <c r="F44" i="30"/>
  <c r="AC43" i="30"/>
  <c r="Q43" i="30"/>
  <c r="F43" i="30"/>
  <c r="AC42" i="30"/>
  <c r="Q42" i="30"/>
  <c r="J42" i="30"/>
  <c r="F42" i="30"/>
  <c r="AC41" i="30"/>
  <c r="T41" i="30"/>
  <c r="Q41" i="30"/>
  <c r="J41" i="30"/>
  <c r="F41" i="30"/>
  <c r="AC40" i="30"/>
  <c r="Q40" i="30"/>
  <c r="J40" i="30"/>
  <c r="F40" i="30"/>
  <c r="AC39" i="30"/>
  <c r="Q39" i="30"/>
  <c r="F39" i="30"/>
  <c r="AC38" i="30"/>
  <c r="T38" i="30"/>
  <c r="Q38" i="30"/>
  <c r="F38" i="30"/>
  <c r="AC37" i="30"/>
  <c r="Q37" i="30"/>
  <c r="F37" i="30"/>
  <c r="AC36" i="30"/>
  <c r="T36" i="30"/>
  <c r="J36" i="30"/>
  <c r="F36" i="30"/>
  <c r="AC35" i="30"/>
  <c r="Q35" i="30"/>
  <c r="J35" i="30"/>
  <c r="F35" i="30"/>
  <c r="AC34" i="30"/>
  <c r="F34" i="30"/>
  <c r="D34" i="30"/>
  <c r="AC33" i="30"/>
  <c r="T33" i="30"/>
  <c r="Q33" i="30"/>
  <c r="F33" i="30"/>
  <c r="AC32" i="30"/>
  <c r="Q32" i="30"/>
  <c r="J32" i="30"/>
  <c r="F32" i="30"/>
  <c r="AC31" i="30"/>
  <c r="J31" i="30"/>
  <c r="F31" i="30"/>
  <c r="AC30" i="30"/>
  <c r="T30" i="30"/>
  <c r="J30" i="30"/>
  <c r="F30" i="30"/>
  <c r="D30" i="30"/>
  <c r="AC29" i="30"/>
  <c r="T29" i="30"/>
  <c r="Q29" i="30"/>
  <c r="F29" i="30"/>
  <c r="AC28" i="30"/>
  <c r="J28" i="30"/>
  <c r="F28" i="30"/>
  <c r="AC27" i="30"/>
  <c r="Q27" i="30"/>
  <c r="J27" i="30"/>
  <c r="F27" i="30"/>
  <c r="AC26" i="30"/>
  <c r="T26" i="30"/>
  <c r="Q26" i="30"/>
  <c r="F26" i="30"/>
  <c r="AC25" i="30"/>
  <c r="Q25" i="30"/>
  <c r="J25" i="30"/>
  <c r="F25" i="30"/>
  <c r="AC24" i="30"/>
  <c r="F24" i="30"/>
  <c r="AC23" i="30"/>
  <c r="T23" i="30"/>
  <c r="Q23" i="30"/>
  <c r="J23" i="30"/>
  <c r="F23" i="30"/>
  <c r="AC22" i="30"/>
  <c r="T22" i="30"/>
  <c r="F22" i="30"/>
  <c r="AC21" i="30"/>
  <c r="T21" i="30"/>
  <c r="Q21" i="30"/>
  <c r="F21" i="30"/>
  <c r="AC20" i="30"/>
  <c r="J20" i="30"/>
  <c r="F20" i="30"/>
  <c r="AC19" i="30"/>
  <c r="Q19" i="30"/>
  <c r="F19" i="30"/>
  <c r="AC18" i="30"/>
  <c r="Q18" i="30"/>
  <c r="F18" i="30"/>
  <c r="AC17" i="30"/>
  <c r="T17" i="30"/>
  <c r="J17" i="30"/>
  <c r="F17" i="30"/>
  <c r="AC16" i="30"/>
  <c r="J16" i="30"/>
  <c r="F16" i="30"/>
  <c r="AC15" i="30"/>
  <c r="Q15" i="30"/>
  <c r="F15" i="30"/>
  <c r="AC14" i="30"/>
  <c r="T14" i="30"/>
  <c r="J14" i="30"/>
  <c r="F14" i="30"/>
  <c r="AC13" i="30"/>
  <c r="Q13" i="30"/>
  <c r="F13" i="30"/>
  <c r="AC12" i="30"/>
  <c r="Q12" i="30"/>
  <c r="F12" i="30"/>
  <c r="AC11" i="30"/>
  <c r="T11" i="30"/>
  <c r="Q11" i="30"/>
  <c r="J11" i="30"/>
  <c r="F11" i="30"/>
  <c r="AC10" i="30"/>
  <c r="Q10" i="30"/>
  <c r="J10" i="30"/>
  <c r="F10" i="30"/>
  <c r="AC9" i="30"/>
  <c r="Q9" i="30"/>
  <c r="F9" i="30"/>
  <c r="AC8" i="30"/>
  <c r="T8" i="30"/>
  <c r="J8" i="30"/>
  <c r="F8" i="30"/>
  <c r="AC7" i="30"/>
  <c r="T7" i="30"/>
  <c r="Q7" i="30"/>
  <c r="F7" i="30"/>
  <c r="I113" i="28"/>
  <c r="J113" i="28" s="1"/>
  <c r="J66" i="28" s="1"/>
  <c r="H113" i="28"/>
  <c r="I112" i="28"/>
  <c r="J112" i="28" s="1"/>
  <c r="L65" i="28" s="1"/>
  <c r="H112" i="28"/>
  <c r="H111" i="28"/>
  <c r="I111" i="28" s="1"/>
  <c r="J111" i="28" s="1"/>
  <c r="H110" i="28"/>
  <c r="I110" i="28" s="1"/>
  <c r="J110" i="28" s="1"/>
  <c r="H109" i="28"/>
  <c r="I109" i="28" s="1"/>
  <c r="J109" i="28" s="1"/>
  <c r="G70" i="28"/>
  <c r="G69" i="28"/>
  <c r="J68" i="28"/>
  <c r="G68" i="28"/>
  <c r="G67" i="28"/>
  <c r="G66" i="28"/>
  <c r="G65" i="28"/>
  <c r="G64" i="28"/>
  <c r="G32" i="2"/>
  <c r="G31" i="2"/>
  <c r="G30" i="2"/>
  <c r="G29" i="2"/>
  <c r="G28" i="2"/>
  <c r="G27" i="2"/>
  <c r="G26" i="2"/>
  <c r="G25" i="2"/>
  <c r="G24" i="2"/>
  <c r="G23" i="2"/>
  <c r="G22" i="2"/>
  <c r="G21" i="2"/>
  <c r="G20" i="2"/>
  <c r="G19" i="2"/>
  <c r="G18" i="2"/>
  <c r="O17" i="2"/>
  <c r="F11" i="2"/>
  <c r="F10" i="2"/>
  <c r="F9" i="2"/>
  <c r="J8" i="2"/>
  <c r="I8" i="2"/>
  <c r="H8" i="2"/>
  <c r="G8" i="2"/>
  <c r="F8" i="2"/>
  <c r="C8" i="2"/>
  <c r="B8" i="2"/>
  <c r="A8" i="2"/>
  <c r="J7" i="2"/>
  <c r="I7" i="2"/>
  <c r="H7" i="2"/>
  <c r="G7" i="2"/>
  <c r="F7" i="2"/>
  <c r="C7" i="2"/>
  <c r="B7" i="2"/>
  <c r="A7" i="2"/>
  <c r="J5" i="2"/>
  <c r="I5" i="2"/>
  <c r="H5" i="2"/>
  <c r="G5" i="2"/>
  <c r="F5" i="2"/>
  <c r="C5" i="2"/>
  <c r="B5" i="2"/>
  <c r="A5" i="2"/>
  <c r="J4" i="2"/>
  <c r="I4" i="2"/>
  <c r="H4" i="2"/>
  <c r="G4" i="2"/>
  <c r="F4" i="2"/>
  <c r="C4" i="2"/>
  <c r="B4" i="2"/>
  <c r="A4" i="2"/>
  <c r="B19" i="12" a="1"/>
  <c r="B9" i="18" a="1"/>
  <c r="B20" i="8" a="1"/>
  <c r="B26" i="44" a="1"/>
  <c r="B21" i="44" a="1"/>
  <c r="B18" i="23" a="1"/>
  <c r="B21" i="23" a="1"/>
  <c r="B20" i="23" a="1"/>
  <c r="B18" i="44" a="1"/>
  <c r="B30" i="38" a="1"/>
  <c r="B23" i="8" a="1"/>
  <c r="C29" i="26"/>
  <c r="B17" i="44" a="1"/>
  <c r="B20" i="12" a="1"/>
  <c r="B20" i="44" a="1"/>
  <c r="B23" i="12" a="1"/>
  <c r="B12" i="18" a="1"/>
  <c r="B7" i="44" a="1"/>
  <c r="B19" i="44" a="1"/>
  <c r="B18" i="22" a="1"/>
  <c r="B8" i="44" a="1"/>
  <c r="B20" i="10" a="1"/>
  <c r="B24" i="12" a="1"/>
  <c r="B29" i="26" a="1"/>
  <c r="B24" i="8" a="1"/>
  <c r="B15" i="44" a="1"/>
  <c r="B22" i="22" a="1"/>
  <c r="B20" i="22" a="1"/>
  <c r="B22" i="12" a="1"/>
  <c r="B24" i="44" a="1"/>
  <c r="B22" i="23" a="1"/>
  <c r="B22" i="8" a="1"/>
  <c r="B29" i="38"/>
  <c r="B22" i="44" a="1"/>
  <c r="B30" i="26" a="1"/>
  <c r="B19" i="8" a="1"/>
  <c r="B16" i="44" a="1"/>
  <c r="B21" i="22" a="1"/>
  <c r="B23" i="44" a="1"/>
  <c r="B25" i="44" a="1"/>
  <c r="B11" i="18" a="1"/>
  <c r="B10" i="18" a="1"/>
  <c r="V8" i="22" l="1"/>
  <c r="T17" i="26"/>
  <c r="L17" i="26" s="1"/>
  <c r="T12" i="26"/>
  <c r="L12" i="26" s="1"/>
  <c r="S11" i="26"/>
  <c r="K11" i="26" s="1"/>
  <c r="R13" i="26"/>
  <c r="J13" i="26" s="1"/>
  <c r="T9" i="26"/>
  <c r="L9" i="26" s="1"/>
  <c r="R9" i="26"/>
  <c r="J9" i="26" s="1"/>
  <c r="T13" i="22"/>
  <c r="L13" i="22" s="1"/>
  <c r="S14" i="22"/>
  <c r="K14" i="22" s="1"/>
  <c r="V13" i="22"/>
  <c r="N13" i="22" s="1"/>
  <c r="U17" i="22"/>
  <c r="M17" i="22" s="1"/>
  <c r="S16" i="23"/>
  <c r="K16" i="23" s="1"/>
  <c r="S17" i="23"/>
  <c r="K17" i="23" s="1"/>
  <c r="U8" i="23"/>
  <c r="M8" i="23" s="1"/>
  <c r="S8" i="23"/>
  <c r="K8" i="23" s="1"/>
  <c r="S12" i="23"/>
  <c r="K12" i="23" s="1"/>
  <c r="S13" i="23"/>
  <c r="K13" i="23" s="1"/>
  <c r="B22" i="8"/>
  <c r="B23" i="8"/>
  <c r="B20" i="12"/>
  <c r="J4" i="12" s="1"/>
  <c r="B22" i="12"/>
  <c r="B21" i="22"/>
  <c r="B11" i="18"/>
  <c r="B21" i="23"/>
  <c r="B19" i="8"/>
  <c r="I4" i="8" s="1"/>
  <c r="B29" i="26"/>
  <c r="B22" i="22"/>
  <c r="B24" i="8"/>
  <c r="B20" i="23"/>
  <c r="B9" i="18"/>
  <c r="B24" i="12"/>
  <c r="B12" i="18"/>
  <c r="B30" i="38"/>
  <c r="B19" i="12"/>
  <c r="I4" i="12" s="1"/>
  <c r="B20" i="22"/>
  <c r="B20" i="44"/>
  <c r="B30" i="26"/>
  <c r="B21" i="44"/>
  <c r="B22" i="44"/>
  <c r="B20" i="10"/>
  <c r="I3" i="10" s="1"/>
  <c r="B15" i="44"/>
  <c r="B23" i="44"/>
  <c r="B18" i="23"/>
  <c r="J6" i="23" s="1"/>
  <c r="B16" i="44"/>
  <c r="B24" i="44"/>
  <c r="B8" i="44"/>
  <c r="B17" i="44"/>
  <c r="B25" i="44"/>
  <c r="B23" i="12"/>
  <c r="B10" i="18"/>
  <c r="B18" i="22"/>
  <c r="J6" i="22" s="1"/>
  <c r="B18" i="44"/>
  <c r="B26" i="44"/>
  <c r="B20" i="8"/>
  <c r="J4" i="8" s="1"/>
  <c r="B22" i="23"/>
  <c r="B7" i="44"/>
  <c r="B19" i="44"/>
  <c r="F8" i="1"/>
  <c r="C9" i="3"/>
  <c r="B9" i="35"/>
  <c r="F76" i="28"/>
  <c r="F74" i="28"/>
  <c r="F73" i="28"/>
  <c r="F72" i="28"/>
  <c r="F71" i="28"/>
  <c r="F77" i="28"/>
  <c r="F75" i="28"/>
  <c r="B10" i="35"/>
  <c r="H10" i="35" s="1"/>
  <c r="B25" i="31"/>
  <c r="O16" i="2"/>
  <c r="P16" i="2"/>
  <c r="AC2" i="7"/>
  <c r="J6" i="1"/>
  <c r="G6" i="1"/>
  <c r="C8" i="3"/>
  <c r="F7" i="1"/>
  <c r="E44" i="1"/>
  <c r="Z3" i="7"/>
  <c r="B4" i="35"/>
  <c r="AD3" i="7"/>
  <c r="M7" i="1"/>
  <c r="D39" i="41"/>
  <c r="X3" i="7"/>
  <c r="D36" i="30"/>
  <c r="D32" i="30"/>
  <c r="D31" i="30"/>
  <c r="D28" i="30"/>
  <c r="E9" i="35"/>
  <c r="K9" i="35" s="1"/>
  <c r="L25" i="31"/>
  <c r="C7" i="1"/>
  <c r="J12" i="4"/>
  <c r="L12" i="4"/>
  <c r="BO42" i="5"/>
  <c r="BO11" i="5" s="1"/>
  <c r="BO41" i="5"/>
  <c r="BO8" i="5" s="1"/>
  <c r="BO44" i="5"/>
  <c r="BO40" i="5"/>
  <c r="BO7" i="5" s="1"/>
  <c r="BO43" i="5"/>
  <c r="BO9" i="5" s="1"/>
  <c r="J64" i="28"/>
  <c r="H7" i="35"/>
  <c r="G9" i="35"/>
  <c r="M30" i="31"/>
  <c r="M31" i="31" s="1"/>
  <c r="C8" i="36"/>
  <c r="L75" i="4"/>
  <c r="J75" i="4"/>
  <c r="AD2" i="7"/>
  <c r="L64" i="28"/>
  <c r="D27" i="30"/>
  <c r="C7" i="31"/>
  <c r="C5" i="35"/>
  <c r="P27" i="31"/>
  <c r="G8" i="35"/>
  <c r="M8" i="35" s="1"/>
  <c r="J69" i="4"/>
  <c r="L69" i="4"/>
  <c r="AV30" i="31" s="1"/>
  <c r="D35" i="30"/>
  <c r="T63" i="30"/>
  <c r="V63" i="30" s="1"/>
  <c r="W63" i="30" s="1"/>
  <c r="S63" i="30" s="1"/>
  <c r="T58" i="30"/>
  <c r="T49" i="30"/>
  <c r="T19" i="30"/>
  <c r="T39" i="30"/>
  <c r="T25" i="30"/>
  <c r="T9" i="30"/>
  <c r="T42" i="30"/>
  <c r="T27" i="30"/>
  <c r="T61" i="30"/>
  <c r="T37" i="30"/>
  <c r="T34" i="30"/>
  <c r="T15" i="30"/>
  <c r="T40" i="30"/>
  <c r="T31" i="30"/>
  <c r="T18" i="30"/>
  <c r="T57" i="30"/>
  <c r="T53" i="30"/>
  <c r="T46" i="30"/>
  <c r="T28" i="30"/>
  <c r="T13" i="30"/>
  <c r="T24" i="30"/>
  <c r="T60" i="30"/>
  <c r="T20" i="30"/>
  <c r="T56" i="30"/>
  <c r="T45" i="30"/>
  <c r="T16" i="30"/>
  <c r="T12" i="30"/>
  <c r="T54" i="30"/>
  <c r="T47" i="30"/>
  <c r="T32" i="30"/>
  <c r="T43" i="30"/>
  <c r="T35" i="30"/>
  <c r="T10" i="30"/>
  <c r="I3" i="36"/>
  <c r="B8" i="35"/>
  <c r="H8" i="35" s="1"/>
  <c r="Q25" i="33"/>
  <c r="U25" i="33" s="1"/>
  <c r="R28" i="33"/>
  <c r="V28" i="33" s="1"/>
  <c r="G4" i="35"/>
  <c r="Q5" i="31"/>
  <c r="E11" i="31"/>
  <c r="D8" i="31"/>
  <c r="E9" i="31"/>
  <c r="C6" i="35"/>
  <c r="I6" i="35" s="1"/>
  <c r="E12" i="31"/>
  <c r="C8" i="31"/>
  <c r="DK6" i="5"/>
  <c r="DD14" i="5"/>
  <c r="DQ40" i="5"/>
  <c r="DP7" i="5"/>
  <c r="DN6" i="5" s="1"/>
  <c r="E5" i="35"/>
  <c r="H27" i="31"/>
  <c r="M5" i="35"/>
  <c r="BP41" i="5"/>
  <c r="T25" i="33"/>
  <c r="X25" i="33" s="1"/>
  <c r="T28" i="33"/>
  <c r="X28" i="33" s="1"/>
  <c r="E7" i="1"/>
  <c r="J7" i="1"/>
  <c r="BB101" i="30"/>
  <c r="O27" i="31"/>
  <c r="O10" i="31" s="1"/>
  <c r="AG116" i="31"/>
  <c r="L41" i="4"/>
  <c r="C29" i="29" s="1"/>
  <c r="J47" i="4"/>
  <c r="L47" i="4" s="1"/>
  <c r="D24" i="29" s="1"/>
  <c r="L52" i="4"/>
  <c r="D26" i="29" s="1"/>
  <c r="J52" i="4"/>
  <c r="L77" i="30"/>
  <c r="R70" i="30"/>
  <c r="H8" i="31"/>
  <c r="L42" i="4"/>
  <c r="C27" i="29" s="1"/>
  <c r="J42" i="4"/>
  <c r="U10" i="33"/>
  <c r="W10" i="33" s="1"/>
  <c r="D7" i="35"/>
  <c r="J7" i="35" s="1"/>
  <c r="L8" i="4"/>
  <c r="D10" i="1" s="1"/>
  <c r="L61" i="4"/>
  <c r="D13" i="5"/>
  <c r="D10" i="5"/>
  <c r="C38" i="29" s="1"/>
  <c r="D9" i="5"/>
  <c r="G40" i="1"/>
  <c r="J67" i="28"/>
  <c r="J70" i="28"/>
  <c r="J69" i="28"/>
  <c r="J65" i="28"/>
  <c r="D29" i="30"/>
  <c r="C5" i="31"/>
  <c r="E6" i="31"/>
  <c r="D5" i="31"/>
  <c r="E10" i="31"/>
  <c r="K10" i="35"/>
  <c r="AB5" i="31"/>
  <c r="AB6" i="31" s="1"/>
  <c r="AB7" i="31" s="1"/>
  <c r="AB8" i="31" s="1"/>
  <c r="E6" i="36"/>
  <c r="AT29" i="31"/>
  <c r="BP43" i="5"/>
  <c r="Q5" i="33"/>
  <c r="D33" i="30"/>
  <c r="P8" i="31"/>
  <c r="J20" i="4"/>
  <c r="L20" i="4" s="1"/>
  <c r="J22" i="4"/>
  <c r="L22" i="4" s="1"/>
  <c r="L64" i="4"/>
  <c r="J64" i="4"/>
  <c r="D43" i="1"/>
  <c r="L74" i="30"/>
  <c r="L73" i="30"/>
  <c r="J14" i="4"/>
  <c r="L14" i="4" s="1"/>
  <c r="L77" i="4"/>
  <c r="S7" i="44"/>
  <c r="S8" i="44"/>
  <c r="CX4" i="7"/>
  <c r="L66" i="28"/>
  <c r="L69" i="28"/>
  <c r="L68" i="28"/>
  <c r="T6" i="44"/>
  <c r="C44" i="1"/>
  <c r="Z2" i="7" s="1"/>
  <c r="L70" i="28"/>
  <c r="M27" i="31" a="1"/>
  <c r="M27" i="31" s="1"/>
  <c r="C3" i="35"/>
  <c r="J45" i="4"/>
  <c r="L45" i="4" s="1"/>
  <c r="C26" i="29" s="1"/>
  <c r="Q8" i="44"/>
  <c r="Q7" i="44"/>
  <c r="C45" i="1"/>
  <c r="L67" i="28"/>
  <c r="K6" i="35"/>
  <c r="L5" i="31"/>
  <c r="L10" i="4"/>
  <c r="D8" i="1" s="1"/>
  <c r="J43" i="4"/>
  <c r="L43" i="4" s="1"/>
  <c r="C28" i="29" s="1"/>
  <c r="L68" i="4"/>
  <c r="AQ30" i="31" s="1"/>
  <c r="AQ31" i="31" s="1"/>
  <c r="BL12" i="5"/>
  <c r="BL6" i="5"/>
  <c r="DM12" i="5"/>
  <c r="DQ44" i="5"/>
  <c r="I5" i="31"/>
  <c r="J6" i="4"/>
  <c r="L6" i="4" s="1"/>
  <c r="D11" i="1" s="1"/>
  <c r="L50" i="4"/>
  <c r="D28" i="29" s="1"/>
  <c r="BV2" i="7" s="1"/>
  <c r="BV3" i="7" s="1"/>
  <c r="BV4" i="7" s="1"/>
  <c r="BV5" i="7" s="1"/>
  <c r="J7" i="30"/>
  <c r="Q14" i="30"/>
  <c r="J18" i="30"/>
  <c r="J29" i="30"/>
  <c r="J51" i="30"/>
  <c r="E4" i="35"/>
  <c r="AN6" i="31"/>
  <c r="D4" i="36"/>
  <c r="L62" i="4"/>
  <c r="J73" i="4"/>
  <c r="L73" i="4" s="1"/>
  <c r="AS30" i="31" s="1"/>
  <c r="DQ43" i="5"/>
  <c r="Q20" i="30"/>
  <c r="Q49" i="30"/>
  <c r="Q60" i="30"/>
  <c r="J63" i="30"/>
  <c r="BB107" i="30"/>
  <c r="G7" i="31"/>
  <c r="O8" i="31"/>
  <c r="BC14" i="5"/>
  <c r="BJ6" i="5"/>
  <c r="O26" i="33"/>
  <c r="W26" i="33" s="1"/>
  <c r="J9" i="30"/>
  <c r="J24" i="30"/>
  <c r="Q34" i="30"/>
  <c r="AT6" i="31"/>
  <c r="H7" i="31"/>
  <c r="J8" i="35"/>
  <c r="H12" i="31"/>
  <c r="D10" i="35"/>
  <c r="J10" i="35" s="1"/>
  <c r="C5" i="36"/>
  <c r="F27" i="31"/>
  <c r="F6" i="31" s="1"/>
  <c r="E7" i="35"/>
  <c r="K7" i="35" s="1"/>
  <c r="J21" i="4"/>
  <c r="L21" i="4"/>
  <c r="L66" i="4"/>
  <c r="BK6" i="5"/>
  <c r="R8" i="44"/>
  <c r="R7" i="44"/>
  <c r="Q55" i="30"/>
  <c r="Q52" i="30"/>
  <c r="Q46" i="30"/>
  <c r="J43" i="30"/>
  <c r="Q31" i="30"/>
  <c r="Q16" i="30"/>
  <c r="J13" i="30"/>
  <c r="Q63" i="30"/>
  <c r="Q61" i="30"/>
  <c r="J58" i="30"/>
  <c r="J52" i="30"/>
  <c r="J49" i="30"/>
  <c r="Q36" i="30"/>
  <c r="Q28" i="30"/>
  <c r="Q22" i="30"/>
  <c r="J19" i="30"/>
  <c r="J56" i="30"/>
  <c r="J39" i="30"/>
  <c r="J33" i="30"/>
  <c r="Q30" i="30"/>
  <c r="Q24" i="30"/>
  <c r="Q54" i="30"/>
  <c r="Q51" i="30"/>
  <c r="Q44" i="30"/>
  <c r="J26" i="30"/>
  <c r="J12" i="30"/>
  <c r="Q57" i="30"/>
  <c r="Q47" i="30"/>
  <c r="J37" i="30"/>
  <c r="J34" i="30"/>
  <c r="J22" i="30"/>
  <c r="J15" i="30"/>
  <c r="Q8" i="30"/>
  <c r="G27" i="31"/>
  <c r="G8" i="31" s="1"/>
  <c r="L76" i="4"/>
  <c r="R6" i="33"/>
  <c r="T6" i="33" s="1"/>
  <c r="T7" i="33"/>
  <c r="Q13" i="33"/>
  <c r="O12" i="33"/>
  <c r="Q12" i="33" s="1"/>
  <c r="BP42" i="5"/>
  <c r="R10" i="33"/>
  <c r="T10" i="33" s="1"/>
  <c r="T11" i="33"/>
  <c r="Q17" i="30"/>
  <c r="J21" i="30"/>
  <c r="Q50" i="30"/>
  <c r="J61" i="30"/>
  <c r="AE79" i="30"/>
  <c r="B63" i="30" s="1"/>
  <c r="B7" i="31" s="1"/>
  <c r="B5" i="31" s="1"/>
  <c r="L7" i="4"/>
  <c r="D9" i="1" s="1"/>
  <c r="J13" i="4"/>
  <c r="L13" i="4" s="1"/>
  <c r="N11" i="35"/>
  <c r="J19" i="4"/>
  <c r="L19" i="4" s="1"/>
  <c r="L78" i="4"/>
  <c r="C139" i="41"/>
  <c r="D132" i="41"/>
  <c r="C121" i="41"/>
  <c r="F132" i="41"/>
  <c r="E132" i="41"/>
  <c r="F134" i="41"/>
  <c r="F141" i="41" s="1"/>
  <c r="D134" i="41"/>
  <c r="D141" i="41" s="1"/>
  <c r="E134" i="41"/>
  <c r="E141" i="41" s="1"/>
  <c r="C124" i="41"/>
  <c r="C5" i="25"/>
  <c r="N5" i="25"/>
  <c r="C122" i="41"/>
  <c r="D133" i="41"/>
  <c r="D140" i="41" s="1"/>
  <c r="E133" i="41"/>
  <c r="E140" i="41" s="1"/>
  <c r="C140" i="41"/>
  <c r="F133" i="41"/>
  <c r="F140" i="41" s="1"/>
  <c r="L15" i="4"/>
  <c r="J15" i="4"/>
  <c r="J17" i="4"/>
  <c r="L17" i="4" s="1"/>
  <c r="L44" i="4"/>
  <c r="C25" i="29" s="1"/>
  <c r="L65" i="4"/>
  <c r="J65" i="4"/>
  <c r="DQ42" i="5"/>
  <c r="V11" i="23"/>
  <c r="N11" i="23" s="1"/>
  <c r="V13" i="23"/>
  <c r="N13" i="23" s="1"/>
  <c r="V14" i="23"/>
  <c r="N14" i="23" s="1"/>
  <c r="V17" i="23"/>
  <c r="N17" i="23" s="1"/>
  <c r="V15" i="23"/>
  <c r="N15" i="23" s="1"/>
  <c r="V9" i="23"/>
  <c r="N9" i="23" s="1"/>
  <c r="V12" i="23"/>
  <c r="N12" i="23" s="1"/>
  <c r="V16" i="23"/>
  <c r="V10" i="23"/>
  <c r="O7" i="18"/>
  <c r="R7" i="18"/>
  <c r="W24" i="18"/>
  <c r="W20" i="18"/>
  <c r="J20" i="18" s="1"/>
  <c r="Y11" i="18"/>
  <c r="W7" i="18"/>
  <c r="J7" i="18" s="1"/>
  <c r="Y3" i="18"/>
  <c r="V24" i="18"/>
  <c r="V20" i="18"/>
  <c r="I20" i="18" s="1"/>
  <c r="X11" i="18"/>
  <c r="V7" i="18"/>
  <c r="I7" i="18" s="1"/>
  <c r="X3" i="18"/>
  <c r="X10" i="18" s="1"/>
  <c r="K10" i="18" s="1"/>
  <c r="Z21" i="18"/>
  <c r="N21" i="18" s="1"/>
  <c r="AB2" i="18"/>
  <c r="AB9" i="18" s="1"/>
  <c r="Q9" i="18" s="1"/>
  <c r="W21" i="18"/>
  <c r="J21" i="18" s="1"/>
  <c r="AC8" i="18"/>
  <c r="Z2" i="18"/>
  <c r="AD8" i="18"/>
  <c r="S8" i="18" s="1"/>
  <c r="AA7" i="18"/>
  <c r="AA9" i="18" s="1"/>
  <c r="W3" i="18"/>
  <c r="AB8" i="18"/>
  <c r="Q8" i="18" s="1"/>
  <c r="X7" i="18"/>
  <c r="K7" i="18" s="1"/>
  <c r="Y2" i="18"/>
  <c r="Z20" i="18"/>
  <c r="N20" i="18" s="1"/>
  <c r="V8" i="18"/>
  <c r="I8" i="18" s="1"/>
  <c r="Y20" i="18"/>
  <c r="M20" i="18" s="1"/>
  <c r="AD3" i="18"/>
  <c r="AD10" i="18" s="1"/>
  <c r="S10" i="18" s="1"/>
  <c r="AC11" i="18"/>
  <c r="AB3" i="18"/>
  <c r="AB10" i="18" s="1"/>
  <c r="Q10" i="18" s="1"/>
  <c r="AB11" i="18"/>
  <c r="Y8" i="18"/>
  <c r="M8" i="18" s="1"/>
  <c r="AA3" i="18"/>
  <c r="AA10" i="18" s="1"/>
  <c r="Z24" i="18"/>
  <c r="Z11" i="18"/>
  <c r="W8" i="18"/>
  <c r="J8" i="18" s="1"/>
  <c r="V3" i="18"/>
  <c r="V11" i="18"/>
  <c r="AC2" i="18"/>
  <c r="AC9" i="18" s="1"/>
  <c r="Y24" i="18"/>
  <c r="V2" i="18"/>
  <c r="Y7" i="18"/>
  <c r="M7" i="18" s="1"/>
  <c r="AD11" i="18"/>
  <c r="AA11" i="18"/>
  <c r="AA12" i="18" s="1"/>
  <c r="W11" i="18"/>
  <c r="Y21" i="18"/>
  <c r="M21" i="18" s="1"/>
  <c r="Z3" i="18"/>
  <c r="AD7" i="18"/>
  <c r="V14" i="22"/>
  <c r="O11" i="10"/>
  <c r="I11" i="10" s="1"/>
  <c r="O12" i="10"/>
  <c r="I12" i="10" s="1"/>
  <c r="O15" i="10"/>
  <c r="I15" i="10" s="1"/>
  <c r="O7" i="10"/>
  <c r="I7" i="10" s="1"/>
  <c r="O8" i="10"/>
  <c r="I8" i="10" s="1"/>
  <c r="O16" i="10"/>
  <c r="I16" i="10" s="1"/>
  <c r="O9" i="10"/>
  <c r="I9" i="10" s="1"/>
  <c r="O13" i="10"/>
  <c r="I13" i="10" s="1"/>
  <c r="O14" i="10"/>
  <c r="I14" i="10" s="1"/>
  <c r="J71" i="4"/>
  <c r="L71" i="4" s="1"/>
  <c r="AU30" i="31" s="1"/>
  <c r="AU31" i="31" s="1"/>
  <c r="I9" i="5"/>
  <c r="Z8" i="18"/>
  <c r="N8" i="18" s="1"/>
  <c r="T17" i="23"/>
  <c r="L17" i="23" s="1"/>
  <c r="T16" i="23"/>
  <c r="L16" i="23" s="1"/>
  <c r="T12" i="23"/>
  <c r="L12" i="23" s="1"/>
  <c r="T9" i="23"/>
  <c r="L9" i="23" s="1"/>
  <c r="T11" i="23"/>
  <c r="L11" i="23" s="1"/>
  <c r="T8" i="23"/>
  <c r="L8" i="23" s="1"/>
  <c r="T14" i="23"/>
  <c r="L14" i="23" s="1"/>
  <c r="T10" i="23"/>
  <c r="L10" i="23" s="1"/>
  <c r="U17" i="23"/>
  <c r="M17" i="23" s="1"/>
  <c r="U12" i="23"/>
  <c r="M12" i="23" s="1"/>
  <c r="U16" i="23"/>
  <c r="M16" i="23" s="1"/>
  <c r="U11" i="23"/>
  <c r="M11" i="23" s="1"/>
  <c r="U15" i="23"/>
  <c r="M15" i="23" s="1"/>
  <c r="D5" i="25"/>
  <c r="P14" i="12"/>
  <c r="J14" i="12" s="1"/>
  <c r="P6" i="12"/>
  <c r="J6" i="12" s="1"/>
  <c r="O14" i="12"/>
  <c r="I14" i="12" s="1"/>
  <c r="O6" i="12"/>
  <c r="I6" i="12" s="1"/>
  <c r="P13" i="12"/>
  <c r="J13" i="12" s="1"/>
  <c r="P10" i="12"/>
  <c r="J10" i="12" s="1"/>
  <c r="O10" i="12"/>
  <c r="I10" i="12" s="1"/>
  <c r="P12" i="12"/>
  <c r="J12" i="12" s="1"/>
  <c r="O9" i="12"/>
  <c r="I9" i="12" s="1"/>
  <c r="P9" i="12"/>
  <c r="J9" i="12" s="1"/>
  <c r="O12" i="12"/>
  <c r="I12" i="12" s="1"/>
  <c r="P8" i="12"/>
  <c r="J8" i="12" s="1"/>
  <c r="O8" i="12"/>
  <c r="I8" i="12" s="1"/>
  <c r="P15" i="12"/>
  <c r="J15" i="12" s="1"/>
  <c r="O15" i="12"/>
  <c r="I15" i="12" s="1"/>
  <c r="O7" i="12"/>
  <c r="I7" i="12" s="1"/>
  <c r="V21" i="18"/>
  <c r="I21" i="18" s="1"/>
  <c r="W2" i="18"/>
  <c r="V11" i="22"/>
  <c r="N11" i="22" s="1"/>
  <c r="AC3" i="18"/>
  <c r="AC10" i="18" s="1"/>
  <c r="O10" i="10"/>
  <c r="I10" i="10" s="1"/>
  <c r="U8" i="22"/>
  <c r="M8" i="22" s="1"/>
  <c r="S10" i="26"/>
  <c r="K10" i="26" s="1"/>
  <c r="T12" i="22"/>
  <c r="L12" i="22" s="1"/>
  <c r="V16" i="22"/>
  <c r="N16" i="22" s="1"/>
  <c r="Q6" i="10"/>
  <c r="P6" i="10"/>
  <c r="R6" i="10"/>
  <c r="S9" i="22"/>
  <c r="K9" i="22" s="1"/>
  <c r="T9" i="22"/>
  <c r="L9" i="22" s="1"/>
  <c r="S12" i="26"/>
  <c r="K12" i="26" s="1"/>
  <c r="S13" i="26"/>
  <c r="K13" i="26" s="1"/>
  <c r="S16" i="26"/>
  <c r="K16" i="26" s="1"/>
  <c r="S17" i="26"/>
  <c r="K17" i="26" s="1"/>
  <c r="S14" i="26"/>
  <c r="K14" i="26" s="1"/>
  <c r="U7" i="26"/>
  <c r="S9" i="26"/>
  <c r="K9" i="26" s="1"/>
  <c r="S15" i="26"/>
  <c r="K15" i="26" s="1"/>
  <c r="S8" i="26"/>
  <c r="K8" i="26" s="1"/>
  <c r="U14" i="22"/>
  <c r="M14" i="22" s="1"/>
  <c r="S11" i="22"/>
  <c r="K11" i="22" s="1"/>
  <c r="T14" i="22"/>
  <c r="L14" i="22" s="1"/>
  <c r="V9" i="22"/>
  <c r="S17" i="22"/>
  <c r="K17" i="22" s="1"/>
  <c r="U15" i="22"/>
  <c r="M15" i="22" s="1"/>
  <c r="S12" i="22"/>
  <c r="K12" i="22" s="1"/>
  <c r="S15" i="22"/>
  <c r="K15" i="22" s="1"/>
  <c r="U10" i="22"/>
  <c r="M10" i="22" s="1"/>
  <c r="U16" i="22"/>
  <c r="M16" i="22" s="1"/>
  <c r="S8" i="22"/>
  <c r="K8" i="22" s="1"/>
  <c r="V15" i="22"/>
  <c r="N15" i="22" s="1"/>
  <c r="U13" i="22"/>
  <c r="M13" i="22" s="1"/>
  <c r="U11" i="22"/>
  <c r="M11" i="22" s="1"/>
  <c r="U9" i="22"/>
  <c r="M9" i="22" s="1"/>
  <c r="S16" i="22"/>
  <c r="K16" i="22" s="1"/>
  <c r="T11" i="22"/>
  <c r="L11" i="22" s="1"/>
  <c r="V10" i="22"/>
  <c r="N10" i="22" s="1"/>
  <c r="T8" i="22"/>
  <c r="L8" i="22" s="1"/>
  <c r="V17" i="22"/>
  <c r="N17" i="22" s="1"/>
  <c r="T10" i="22"/>
  <c r="L10" i="22" s="1"/>
  <c r="T17" i="22"/>
  <c r="L17" i="22" s="1"/>
  <c r="U12" i="22"/>
  <c r="M12" i="22" s="1"/>
  <c r="T16" i="22"/>
  <c r="L16" i="22" s="1"/>
  <c r="S13" i="22"/>
  <c r="K13" i="22" s="1"/>
  <c r="S10" i="22"/>
  <c r="K10" i="22" s="1"/>
  <c r="T15" i="22"/>
  <c r="L15" i="22" s="1"/>
  <c r="V12" i="22"/>
  <c r="N12" i="22" s="1"/>
  <c r="D6" i="25"/>
  <c r="N33" i="27"/>
  <c r="N14" i="22"/>
  <c r="N9" i="22"/>
  <c r="N8" i="22"/>
  <c r="N7" i="25"/>
  <c r="O8" i="8"/>
  <c r="I8" i="8" s="1"/>
  <c r="P13" i="8"/>
  <c r="J13" i="8" s="1"/>
  <c r="O15" i="8"/>
  <c r="I15" i="8" s="1"/>
  <c r="O7" i="8"/>
  <c r="I7" i="8" s="1"/>
  <c r="O12" i="8"/>
  <c r="I12" i="8" s="1"/>
  <c r="O9" i="8"/>
  <c r="I9" i="8" s="1"/>
  <c r="P14" i="8"/>
  <c r="J14" i="8" s="1"/>
  <c r="P11" i="8"/>
  <c r="J11" i="8" s="1"/>
  <c r="R22" i="25"/>
  <c r="L22" i="25" s="1"/>
  <c r="R23" i="25"/>
  <c r="L23" i="25" s="1"/>
  <c r="T7" i="44"/>
  <c r="T8" i="44"/>
  <c r="S9" i="23"/>
  <c r="K9" i="23" s="1"/>
  <c r="S22" i="25"/>
  <c r="M22" i="25" s="1"/>
  <c r="S21" i="25"/>
  <c r="M21" i="25" s="1"/>
  <c r="S23" i="25"/>
  <c r="M23" i="25" s="1"/>
  <c r="M45" i="27"/>
  <c r="N45" i="27" s="1"/>
  <c r="M47" i="27"/>
  <c r="N47" i="27" s="1"/>
  <c r="C6" i="25"/>
  <c r="R21" i="25"/>
  <c r="L21" i="25" s="1"/>
  <c r="S14" i="38"/>
  <c r="K14" i="38" s="1"/>
  <c r="S15" i="38"/>
  <c r="K15" i="38" s="1"/>
  <c r="S10" i="38"/>
  <c r="K10" i="38" s="1"/>
  <c r="S8" i="38"/>
  <c r="K8" i="38" s="1"/>
  <c r="J22" i="27"/>
  <c r="N10" i="23"/>
  <c r="N16" i="23"/>
  <c r="U13" i="23"/>
  <c r="M13" i="23" s="1"/>
  <c r="S10" i="23"/>
  <c r="K10" i="23" s="1"/>
  <c r="T13" i="23"/>
  <c r="L13" i="23" s="1"/>
  <c r="V8" i="23"/>
  <c r="N8" i="23" s="1"/>
  <c r="U14" i="23"/>
  <c r="M14" i="23" s="1"/>
  <c r="S11" i="23"/>
  <c r="K11" i="23" s="1"/>
  <c r="S14" i="23"/>
  <c r="K14" i="23" s="1"/>
  <c r="U9" i="23"/>
  <c r="M9" i="23" s="1"/>
  <c r="L7" i="25"/>
  <c r="D7" i="25" s="1"/>
  <c r="S16" i="38"/>
  <c r="K16" i="38" s="1"/>
  <c r="S13" i="38"/>
  <c r="K13" i="38" s="1"/>
  <c r="J47" i="27"/>
  <c r="S17" i="38"/>
  <c r="K17" i="38" s="1"/>
  <c r="H13" i="38"/>
  <c r="H40" i="38"/>
  <c r="J45" i="27"/>
  <c r="R11" i="26"/>
  <c r="J11" i="26" s="1"/>
  <c r="T14" i="26"/>
  <c r="L14" i="26" s="1"/>
  <c r="T16" i="38"/>
  <c r="L16" i="38" s="1"/>
  <c r="S36" i="38"/>
  <c r="K36" i="38" s="1"/>
  <c r="S44" i="38"/>
  <c r="K44" i="38" s="1"/>
  <c r="W22" i="27"/>
  <c r="L22" i="27" s="1"/>
  <c r="M22" i="27" s="1"/>
  <c r="N22" i="27" s="1"/>
  <c r="W31" i="27"/>
  <c r="L31" i="27" s="1"/>
  <c r="M31" i="27" s="1"/>
  <c r="N31" i="27" s="1"/>
  <c r="T43" i="27"/>
  <c r="I43" i="27" s="1"/>
  <c r="J43" i="27" s="1"/>
  <c r="F4" i="40"/>
  <c r="W43" i="27"/>
  <c r="L43" i="27" s="1"/>
  <c r="M43" i="27" s="1"/>
  <c r="N43" i="27" s="1"/>
  <c r="T63" i="44"/>
  <c r="Q23" i="25"/>
  <c r="K23" i="25" s="1"/>
  <c r="T11" i="26"/>
  <c r="L11" i="26" s="1"/>
  <c r="R16" i="26"/>
  <c r="J16" i="26" s="1"/>
  <c r="H9" i="38"/>
  <c r="T13" i="38"/>
  <c r="L13" i="38" s="1"/>
  <c r="H17" i="38"/>
  <c r="S39" i="38"/>
  <c r="K39" i="38" s="1"/>
  <c r="T41" i="27"/>
  <c r="I41" i="27" s="1"/>
  <c r="J41" i="27" s="1"/>
  <c r="R8" i="26"/>
  <c r="J8" i="26" s="1"/>
  <c r="Q15" i="38"/>
  <c r="I15" i="38" s="1"/>
  <c r="W41" i="27"/>
  <c r="L41" i="27" s="1"/>
  <c r="M41" i="27" s="1"/>
  <c r="N41" i="27" s="1"/>
  <c r="T48" i="27"/>
  <c r="I48" i="27" s="1"/>
  <c r="J48" i="27" s="1"/>
  <c r="S42" i="38"/>
  <c r="K42" i="38" s="1"/>
  <c r="W48" i="27"/>
  <c r="L48" i="27" s="1"/>
  <c r="M48" i="27" s="1"/>
  <c r="N48" i="27" s="1"/>
  <c r="Q12" i="38"/>
  <c r="I12" i="38" s="1"/>
  <c r="T11" i="27"/>
  <c r="I11" i="27" s="1"/>
  <c r="J11" i="27" s="1"/>
  <c r="N11" i="27" s="1"/>
  <c r="T46" i="27"/>
  <c r="I46" i="27" s="1"/>
  <c r="J46" i="27" s="1"/>
  <c r="R10" i="26"/>
  <c r="J10" i="26" s="1"/>
  <c r="T13" i="26"/>
  <c r="L13" i="26" s="1"/>
  <c r="R12" i="38"/>
  <c r="J12" i="38" s="1"/>
  <c r="T15" i="38"/>
  <c r="L15" i="38" s="1"/>
  <c r="S37" i="38"/>
  <c r="K37" i="38" s="1"/>
  <c r="W9" i="27"/>
  <c r="L9" i="27" s="1"/>
  <c r="T32" i="27"/>
  <c r="I32" i="27" s="1"/>
  <c r="J32" i="27" s="1"/>
  <c r="W46" i="27"/>
  <c r="L46" i="27" s="1"/>
  <c r="M46" i="27" s="1"/>
  <c r="N46" i="27" s="1"/>
  <c r="W23" i="27"/>
  <c r="L23" i="27" s="1"/>
  <c r="M23" i="27" s="1"/>
  <c r="N23" i="27" s="1"/>
  <c r="W32" i="27"/>
  <c r="L32" i="27" s="1"/>
  <c r="M32" i="27" s="1"/>
  <c r="N32" i="27" s="1"/>
  <c r="T44" i="27"/>
  <c r="I44" i="27" s="1"/>
  <c r="J44" i="27" s="1"/>
  <c r="T66" i="44"/>
  <c r="R15" i="26"/>
  <c r="J15" i="26" s="1"/>
  <c r="T12" i="38"/>
  <c r="L12" i="38" s="1"/>
  <c r="S40" i="38"/>
  <c r="K40" i="38" s="1"/>
  <c r="T30" i="27"/>
  <c r="I30" i="27" s="1"/>
  <c r="W44" i="27"/>
  <c r="L44" i="27" s="1"/>
  <c r="M44" i="27" s="1"/>
  <c r="W30" i="27"/>
  <c r="L30" i="27" s="1"/>
  <c r="T42" i="27"/>
  <c r="I42" i="27" s="1"/>
  <c r="J42" i="27" s="1"/>
  <c r="T9" i="38"/>
  <c r="L9" i="38" s="1"/>
  <c r="T17" i="38"/>
  <c r="L17" i="38" s="1"/>
  <c r="S35" i="38"/>
  <c r="K35" i="38" s="1"/>
  <c r="S43" i="38"/>
  <c r="K43" i="38" s="1"/>
  <c r="W42" i="27"/>
  <c r="L42" i="27" s="1"/>
  <c r="M42" i="27" s="1"/>
  <c r="N42" i="27" s="1"/>
  <c r="D9" i="43" a="1"/>
  <c r="D10" i="43" a="1"/>
  <c r="D10" i="43" l="1"/>
  <c r="D9" i="43"/>
  <c r="BR2" i="7"/>
  <c r="BR3" i="7" s="1"/>
  <c r="BR4" i="7" s="1"/>
  <c r="BR5" i="7" s="1"/>
  <c r="F24" i="29"/>
  <c r="F6" i="1"/>
  <c r="C4" i="3"/>
  <c r="BP2" i="7"/>
  <c r="BP3" i="7" s="1"/>
  <c r="BP4" i="7" s="1"/>
  <c r="BP5" i="7" s="1"/>
  <c r="F28" i="29"/>
  <c r="CL2" i="7" s="1"/>
  <c r="CL3" i="7" s="1"/>
  <c r="CL4" i="7" s="1"/>
  <c r="CL5" i="7" s="1"/>
  <c r="H8" i="36"/>
  <c r="C11" i="1"/>
  <c r="B5" i="3"/>
  <c r="AK5" i="31"/>
  <c r="AQ5" i="31" s="1"/>
  <c r="B3" i="35"/>
  <c r="H4" i="35" s="1"/>
  <c r="B6" i="3"/>
  <c r="C9" i="1"/>
  <c r="F26" i="29"/>
  <c r="BN2" i="7"/>
  <c r="BN3" i="7" s="1"/>
  <c r="BN4" i="7" s="1"/>
  <c r="BN5" i="7" s="1"/>
  <c r="AH2" i="7"/>
  <c r="J11" i="1"/>
  <c r="G11" i="1"/>
  <c r="F10" i="1"/>
  <c r="C7" i="3"/>
  <c r="F11" i="1"/>
  <c r="C5" i="3"/>
  <c r="Q14" i="10"/>
  <c r="K14" i="10" s="1"/>
  <c r="Q15" i="10"/>
  <c r="K15" i="10" s="1"/>
  <c r="Q7" i="10"/>
  <c r="K7" i="10" s="1"/>
  <c r="Q10" i="10"/>
  <c r="K10" i="10" s="1"/>
  <c r="Q9" i="10"/>
  <c r="K9" i="10" s="1"/>
  <c r="Q11" i="10"/>
  <c r="K11" i="10" s="1"/>
  <c r="Q12" i="10"/>
  <c r="K12" i="10" s="1"/>
  <c r="Q8" i="10"/>
  <c r="K8" i="10" s="1"/>
  <c r="Q16" i="10"/>
  <c r="K16" i="10" s="1"/>
  <c r="Q13" i="10"/>
  <c r="K13" i="10" s="1"/>
  <c r="V23" i="18"/>
  <c r="I23" i="18" s="1"/>
  <c r="V10" i="18"/>
  <c r="I10" i="18" s="1"/>
  <c r="W10" i="18"/>
  <c r="J10" i="18" s="1"/>
  <c r="W23" i="18"/>
  <c r="J23" i="18" s="1"/>
  <c r="F25" i="29"/>
  <c r="CI2" i="7" s="1"/>
  <c r="CI3" i="7" s="1"/>
  <c r="CI4" i="7" s="1"/>
  <c r="CI5" i="7" s="1"/>
  <c r="BM2" i="7"/>
  <c r="BM3" i="7" s="1"/>
  <c r="BM4" i="7" s="1"/>
  <c r="BM5" i="7" s="1"/>
  <c r="G11" i="31"/>
  <c r="AM11" i="31" s="1"/>
  <c r="C9" i="31"/>
  <c r="C7" i="35"/>
  <c r="I7" i="35" s="1"/>
  <c r="D9" i="31"/>
  <c r="C6" i="1"/>
  <c r="B4" i="3"/>
  <c r="AD5" i="7"/>
  <c r="H9" i="35"/>
  <c r="J24" i="18"/>
  <c r="W25" i="18"/>
  <c r="J25" i="18" s="1"/>
  <c r="C8" i="1"/>
  <c r="B9" i="3"/>
  <c r="E139" i="41"/>
  <c r="E135" i="41"/>
  <c r="E142" i="41" s="1"/>
  <c r="E3" i="35"/>
  <c r="K4" i="35" s="1"/>
  <c r="AN5" i="31"/>
  <c r="AT5" i="31" s="1"/>
  <c r="D3" i="36"/>
  <c r="J3" i="36" s="1"/>
  <c r="B11" i="35"/>
  <c r="H11" i="35" s="1"/>
  <c r="N11" i="18"/>
  <c r="Z12" i="18"/>
  <c r="N12" i="18" s="1"/>
  <c r="F135" i="41"/>
  <c r="F142" i="41" s="1"/>
  <c r="F139" i="41"/>
  <c r="E8" i="36"/>
  <c r="AD5" i="31"/>
  <c r="AD6" i="31" s="1"/>
  <c r="AD7" i="31" s="1"/>
  <c r="AD8" i="31" s="1"/>
  <c r="AD9" i="31" s="1"/>
  <c r="AD10" i="31" s="1"/>
  <c r="AD11" i="31" s="1"/>
  <c r="AD12" i="31" s="1"/>
  <c r="AD13" i="31" s="1"/>
  <c r="AV29" i="31"/>
  <c r="E39" i="41"/>
  <c r="X4" i="7"/>
  <c r="I40" i="1"/>
  <c r="X5" i="7" s="1"/>
  <c r="C9" i="35"/>
  <c r="I9" i="35" s="1"/>
  <c r="C11" i="31"/>
  <c r="D11" i="31"/>
  <c r="BP40" i="5"/>
  <c r="BO45" i="5" s="1"/>
  <c r="N44" i="27"/>
  <c r="Z25" i="18"/>
  <c r="N25" i="18" s="1"/>
  <c r="N24" i="18"/>
  <c r="Z22" i="18"/>
  <c r="N22" i="18" s="1"/>
  <c r="Z9" i="18"/>
  <c r="N9" i="18" s="1"/>
  <c r="B7" i="3"/>
  <c r="C10" i="1"/>
  <c r="K8" i="35"/>
  <c r="BT2" i="7"/>
  <c r="BT3" i="7" s="1"/>
  <c r="BT4" i="7" s="1"/>
  <c r="BT5" i="7" s="1"/>
  <c r="G3" i="35"/>
  <c r="M4" i="35" s="1"/>
  <c r="O5" i="31"/>
  <c r="AJ5" i="31" s="1"/>
  <c r="AV5" i="31" s="1"/>
  <c r="P5" i="31"/>
  <c r="AP5" i="31" s="1"/>
  <c r="AL2" i="7"/>
  <c r="D60" i="41"/>
  <c r="R8" i="18"/>
  <c r="O8" i="18"/>
  <c r="D139" i="41"/>
  <c r="D135" i="41"/>
  <c r="D142" i="41" s="1"/>
  <c r="E5" i="36"/>
  <c r="AS29" i="31"/>
  <c r="AA5" i="31"/>
  <c r="AA6" i="31" s="1"/>
  <c r="AA7" i="31" s="1"/>
  <c r="AA8" i="31" s="1"/>
  <c r="AA9" i="31" s="1"/>
  <c r="AA10" i="31" s="1"/>
  <c r="AA11" i="31" s="1"/>
  <c r="AA12" i="31" s="1"/>
  <c r="AA13" i="31" s="1"/>
  <c r="I39" i="44"/>
  <c r="AA2" i="7"/>
  <c r="CP2" i="7"/>
  <c r="CP3" i="7" s="1"/>
  <c r="CP4" i="7" s="1"/>
  <c r="CP5" i="7" s="1"/>
  <c r="C40" i="29"/>
  <c r="H10" i="31"/>
  <c r="H6" i="31"/>
  <c r="AG6" i="31" s="1"/>
  <c r="AS6" i="31" s="1"/>
  <c r="H9" i="31"/>
  <c r="H11" i="31"/>
  <c r="M9" i="35"/>
  <c r="M10" i="35"/>
  <c r="I8" i="1"/>
  <c r="E61" i="41"/>
  <c r="AM3" i="7"/>
  <c r="S7" i="18"/>
  <c r="AD9" i="18"/>
  <c r="S9" i="18" s="1"/>
  <c r="C142" i="41"/>
  <c r="C6" i="3"/>
  <c r="F9" i="1"/>
  <c r="AN8" i="31"/>
  <c r="AT8" i="31" s="1"/>
  <c r="AB9" i="31"/>
  <c r="F8" i="31"/>
  <c r="AG8" i="31" s="1"/>
  <c r="P9" i="31"/>
  <c r="AP9" i="31" s="1"/>
  <c r="P7" i="31"/>
  <c r="AP7" i="31" s="1"/>
  <c r="P12" i="31"/>
  <c r="AP12" i="31" s="1"/>
  <c r="P10" i="31"/>
  <c r="P11" i="31"/>
  <c r="AP11" i="31" s="1"/>
  <c r="J11" i="35"/>
  <c r="D3" i="35"/>
  <c r="J4" i="35" s="1"/>
  <c r="H5" i="31"/>
  <c r="G5" i="31"/>
  <c r="F5" i="31"/>
  <c r="Y5" i="31"/>
  <c r="Y6" i="31" s="1"/>
  <c r="AQ29" i="31"/>
  <c r="E3" i="36"/>
  <c r="F3" i="36" s="1" a="1"/>
  <c r="F3" i="36" s="1"/>
  <c r="C15" i="29" s="1"/>
  <c r="F29" i="29"/>
  <c r="CM2" i="7" s="1"/>
  <c r="CM3" i="7" s="1"/>
  <c r="CM4" i="7" s="1"/>
  <c r="CM5" i="7" s="1"/>
  <c r="BQ2" i="7"/>
  <c r="BQ3" i="7" s="1"/>
  <c r="BQ4" i="7" s="1"/>
  <c r="BQ5" i="7" s="1"/>
  <c r="AN7" i="31"/>
  <c r="AT7" i="31" s="1"/>
  <c r="O11" i="31"/>
  <c r="AJ11" i="31" s="1"/>
  <c r="AV11" i="31" s="1"/>
  <c r="F44" i="1"/>
  <c r="Z5" i="7" s="1"/>
  <c r="Z4" i="7"/>
  <c r="Q11" i="18"/>
  <c r="AB12" i="18"/>
  <c r="Q12" i="18" s="1"/>
  <c r="E10" i="1"/>
  <c r="J10" i="1"/>
  <c r="AG2" i="7"/>
  <c r="G10" i="1"/>
  <c r="D6" i="36"/>
  <c r="E11" i="35"/>
  <c r="K11" i="35" s="1"/>
  <c r="M12" i="31"/>
  <c r="AL3" i="7"/>
  <c r="I7" i="1"/>
  <c r="E60" i="41"/>
  <c r="P6" i="31"/>
  <c r="AP6" i="31" s="1"/>
  <c r="Z23" i="18"/>
  <c r="N23" i="18" s="1"/>
  <c r="Z10" i="18"/>
  <c r="N10" i="18" s="1"/>
  <c r="F10" i="31"/>
  <c r="F7" i="31"/>
  <c r="AG7" i="31" s="1"/>
  <c r="AJ8" i="31"/>
  <c r="AV8" i="31" s="1"/>
  <c r="C10" i="31"/>
  <c r="D10" i="31"/>
  <c r="C8" i="35"/>
  <c r="F9" i="31"/>
  <c r="AG9" i="31" s="1"/>
  <c r="K5" i="35"/>
  <c r="AF7" i="31"/>
  <c r="U15" i="26"/>
  <c r="M15" i="26" s="1"/>
  <c r="U8" i="26"/>
  <c r="M8" i="26" s="1"/>
  <c r="U16" i="26"/>
  <c r="M16" i="26" s="1"/>
  <c r="U11" i="26"/>
  <c r="M11" i="26" s="1"/>
  <c r="U13" i="26"/>
  <c r="M13" i="26" s="1"/>
  <c r="U12" i="26"/>
  <c r="M12" i="26" s="1"/>
  <c r="U9" i="26"/>
  <c r="M9" i="26" s="1"/>
  <c r="U17" i="26"/>
  <c r="M17" i="26" s="1"/>
  <c r="U10" i="26"/>
  <c r="M10" i="26" s="1"/>
  <c r="U14" i="26"/>
  <c r="M14" i="26" s="1"/>
  <c r="O10" i="18"/>
  <c r="R10" i="18"/>
  <c r="W22" i="18"/>
  <c r="J22" i="18" s="1"/>
  <c r="W9" i="18"/>
  <c r="J9" i="18" s="1"/>
  <c r="W12" i="18"/>
  <c r="J12" i="18" s="1"/>
  <c r="J11" i="18"/>
  <c r="O11" i="18"/>
  <c r="R11" i="18"/>
  <c r="AC12" i="18"/>
  <c r="AM7" i="31"/>
  <c r="E43" i="1"/>
  <c r="D45" i="1"/>
  <c r="Y3" i="7"/>
  <c r="O9" i="31"/>
  <c r="AJ9" i="31" s="1"/>
  <c r="AV9" i="31" s="1"/>
  <c r="O7" i="31"/>
  <c r="AJ7" i="31" s="1"/>
  <c r="AV7" i="31" s="1"/>
  <c r="O12" i="31"/>
  <c r="AJ12" i="31" s="1"/>
  <c r="AV12" i="31" s="1"/>
  <c r="O6" i="31"/>
  <c r="AJ6" i="31" s="1"/>
  <c r="AV6" i="31" s="1"/>
  <c r="AD12" i="18"/>
  <c r="S12" i="18" s="1"/>
  <c r="S11" i="18"/>
  <c r="K11" i="18"/>
  <c r="X12" i="18"/>
  <c r="K12" i="18" s="1"/>
  <c r="D6" i="31"/>
  <c r="C4" i="35"/>
  <c r="I4" i="35" s="1"/>
  <c r="C6" i="31"/>
  <c r="G9" i="31"/>
  <c r="AM9" i="31" s="1"/>
  <c r="DP45" i="5"/>
  <c r="F12" i="31"/>
  <c r="AG12" i="31" s="1"/>
  <c r="E7" i="36"/>
  <c r="AC5" i="31"/>
  <c r="AC6" i="31" s="1"/>
  <c r="AC7" i="31" s="1"/>
  <c r="AC8" i="31" s="1"/>
  <c r="AC9" i="31" s="1"/>
  <c r="AC10" i="31" s="1"/>
  <c r="AC11" i="31" s="1"/>
  <c r="AC12" i="31" s="1"/>
  <c r="AC13" i="31" s="1"/>
  <c r="AU29" i="31"/>
  <c r="AC3" i="7"/>
  <c r="H6" i="1"/>
  <c r="M6" i="1"/>
  <c r="X9" i="18"/>
  <c r="K9" i="18" s="1"/>
  <c r="BM6" i="5"/>
  <c r="AC4" i="7"/>
  <c r="V22" i="18"/>
  <c r="I22" i="18" s="1"/>
  <c r="V9" i="18"/>
  <c r="I9" i="18" s="1"/>
  <c r="V25" i="18"/>
  <c r="I25" i="18" s="1"/>
  <c r="I24" i="18"/>
  <c r="Y25" i="18"/>
  <c r="M25" i="18" s="1"/>
  <c r="M24" i="18"/>
  <c r="Y9" i="18"/>
  <c r="M9" i="18" s="1"/>
  <c r="Y22" i="18"/>
  <c r="M22" i="18" s="1"/>
  <c r="Y23" i="18"/>
  <c r="M23" i="18" s="1"/>
  <c r="Y10" i="18"/>
  <c r="M10" i="18" s="1"/>
  <c r="E9" i="1"/>
  <c r="G9" i="1"/>
  <c r="J9" i="1"/>
  <c r="G12" i="31"/>
  <c r="AM12" i="31" s="1"/>
  <c r="G6" i="31"/>
  <c r="AM6" i="31" s="1"/>
  <c r="G10" i="31"/>
  <c r="BO2" i="7"/>
  <c r="BO3" i="7" s="1"/>
  <c r="BO4" i="7" s="1"/>
  <c r="BO5" i="7" s="1"/>
  <c r="F27" i="29"/>
  <c r="CK2" i="7" s="1"/>
  <c r="CK3" i="7" s="1"/>
  <c r="CK4" i="7" s="1"/>
  <c r="CK5" i="7" s="1"/>
  <c r="K7" i="1"/>
  <c r="O68" i="33" s="1"/>
  <c r="S68" i="33" s="1"/>
  <c r="AD4" i="7"/>
  <c r="BP44" i="5"/>
  <c r="BO10" i="5"/>
  <c r="R9" i="10"/>
  <c r="L9" i="10" s="1"/>
  <c r="R12" i="10"/>
  <c r="L12" i="10" s="1"/>
  <c r="R10" i="10"/>
  <c r="L10" i="10" s="1"/>
  <c r="R8" i="10"/>
  <c r="L8" i="10" s="1"/>
  <c r="R15" i="10"/>
  <c r="L15" i="10" s="1"/>
  <c r="R14" i="10"/>
  <c r="L14" i="10" s="1"/>
  <c r="R16" i="10"/>
  <c r="L16" i="10" s="1"/>
  <c r="R7" i="10"/>
  <c r="L7" i="10" s="1"/>
  <c r="R13" i="10"/>
  <c r="L13" i="10" s="1"/>
  <c r="R11" i="10"/>
  <c r="L11" i="10" s="1"/>
  <c r="R9" i="18"/>
  <c r="O9" i="18"/>
  <c r="G8" i="1"/>
  <c r="J8" i="1"/>
  <c r="E8" i="1"/>
  <c r="AF2" i="7"/>
  <c r="AE2" i="7"/>
  <c r="P34" i="44"/>
  <c r="Z8" i="44"/>
  <c r="M68" i="33"/>
  <c r="Q68" i="33" s="1"/>
  <c r="C12" i="31"/>
  <c r="D12" i="31"/>
  <c r="C10" i="35"/>
  <c r="P14" i="10"/>
  <c r="J14" i="10" s="1"/>
  <c r="P10" i="10"/>
  <c r="J10" i="10" s="1"/>
  <c r="P16" i="10"/>
  <c r="J16" i="10" s="1"/>
  <c r="P7" i="10"/>
  <c r="J7" i="10" s="1"/>
  <c r="P9" i="10"/>
  <c r="J9" i="10" s="1"/>
  <c r="P11" i="10"/>
  <c r="J11" i="10" s="1"/>
  <c r="P15" i="10"/>
  <c r="J15" i="10" s="1"/>
  <c r="P8" i="10"/>
  <c r="J8" i="10" s="1"/>
  <c r="P13" i="10"/>
  <c r="J13" i="10" s="1"/>
  <c r="P12" i="10"/>
  <c r="J12" i="10" s="1"/>
  <c r="V12" i="18"/>
  <c r="I12" i="18" s="1"/>
  <c r="I11" i="18"/>
  <c r="Y12" i="18"/>
  <c r="M12" i="18" s="1"/>
  <c r="M11" i="18"/>
  <c r="AR29" i="31"/>
  <c r="E4" i="36"/>
  <c r="Z5" i="31"/>
  <c r="Z6" i="31" s="1"/>
  <c r="Z7" i="31" s="1"/>
  <c r="B5" i="35"/>
  <c r="F11" i="31"/>
  <c r="AG11" i="31" s="1"/>
  <c r="AS11" i="31" s="1"/>
  <c r="AP8" i="31"/>
  <c r="H7" i="1"/>
  <c r="D12" i="43" a="1"/>
  <c r="D13" i="43" a="1"/>
  <c r="D11" i="43" a="1"/>
  <c r="D8" i="43" a="1"/>
  <c r="D13" i="43" l="1"/>
  <c r="D11" i="43"/>
  <c r="D12" i="43"/>
  <c r="D8" i="43"/>
  <c r="Z6" i="44"/>
  <c r="P35" i="44"/>
  <c r="M69" i="33"/>
  <c r="Q69" i="33" s="1"/>
  <c r="AF5" i="31"/>
  <c r="AS9" i="31"/>
  <c r="G6" i="36" a="1"/>
  <c r="G6" i="36" s="1"/>
  <c r="D18" i="29" s="1"/>
  <c r="BI2" i="7" s="1"/>
  <c r="BI3" i="7" s="1"/>
  <c r="BI4" i="7" s="1"/>
  <c r="BI5" i="7" s="1"/>
  <c r="J6" i="36"/>
  <c r="E27" i="29" s="1"/>
  <c r="CC2" i="7" s="1"/>
  <c r="CC3" i="7" s="1"/>
  <c r="CC4" i="7" s="1"/>
  <c r="CC5" i="7" s="1"/>
  <c r="Y7" i="31"/>
  <c r="AK6" i="31"/>
  <c r="AQ6" i="31" s="1"/>
  <c r="F6" i="36" a="1"/>
  <c r="F6" i="36" s="1"/>
  <c r="C18" i="29" s="1"/>
  <c r="BE2" i="7" s="1"/>
  <c r="BE3" i="7" s="1"/>
  <c r="BE4" i="7" s="1"/>
  <c r="BE5" i="7" s="1"/>
  <c r="K8" i="1"/>
  <c r="AF4" i="7"/>
  <c r="AE4" i="7"/>
  <c r="I8" i="35"/>
  <c r="I5" i="35"/>
  <c r="AG5" i="31"/>
  <c r="AS5" i="31" s="1"/>
  <c r="AP2" i="7"/>
  <c r="D64" i="41"/>
  <c r="Q34" i="44"/>
  <c r="N68" i="33"/>
  <c r="R68" i="33" s="1"/>
  <c r="AF3" i="7"/>
  <c r="M8" i="1"/>
  <c r="H8" i="1"/>
  <c r="AE3" i="7"/>
  <c r="AC14" i="31"/>
  <c r="AI13" i="31"/>
  <c r="AU13" i="31" s="1"/>
  <c r="AL5" i="31"/>
  <c r="AG115" i="31"/>
  <c r="I4" i="36"/>
  <c r="M10" i="1"/>
  <c r="AG3" i="7"/>
  <c r="H10" i="1"/>
  <c r="AM5" i="31"/>
  <c r="AO2" i="7"/>
  <c r="D63" i="41"/>
  <c r="AD14" i="31"/>
  <c r="AJ13" i="31"/>
  <c r="AV13" i="31" s="1"/>
  <c r="AP13" i="31"/>
  <c r="E64" i="41"/>
  <c r="I11" i="1"/>
  <c r="AP3" i="7"/>
  <c r="G7" i="36" a="1"/>
  <c r="G7" i="36" s="1"/>
  <c r="D19" i="29" s="1"/>
  <c r="BJ2" i="7" s="1"/>
  <c r="BJ3" i="7" s="1"/>
  <c r="BJ4" i="7" s="1"/>
  <c r="BJ5" i="7" s="1"/>
  <c r="F7" i="36" a="1"/>
  <c r="F7" i="36" s="1"/>
  <c r="C19" i="29" s="1"/>
  <c r="BF2" i="7" s="1"/>
  <c r="BF3" i="7" s="1"/>
  <c r="BF4" i="7" s="1"/>
  <c r="BF5" i="7" s="1"/>
  <c r="H4" i="36"/>
  <c r="J4" i="36" s="1"/>
  <c r="E25" i="29" s="1"/>
  <c r="CA2" i="7" s="1"/>
  <c r="CA3" i="7" s="1"/>
  <c r="CA4" i="7" s="1"/>
  <c r="CA5" i="7" s="1"/>
  <c r="AM13" i="31"/>
  <c r="AG13" i="31"/>
  <c r="AA14" i="31"/>
  <c r="G8" i="36" a="1"/>
  <c r="G8" i="36" s="1"/>
  <c r="D20" i="29" s="1"/>
  <c r="BK2" i="7" s="1"/>
  <c r="BK3" i="7" s="1"/>
  <c r="BK4" i="7" s="1"/>
  <c r="BK5" i="7" s="1"/>
  <c r="AM2" i="7"/>
  <c r="D61" i="41"/>
  <c r="AJ10" i="31"/>
  <c r="AV10" i="31" s="1"/>
  <c r="I9" i="1"/>
  <c r="AN3" i="7"/>
  <c r="E62" i="41"/>
  <c r="M78" i="10"/>
  <c r="AS12" i="31"/>
  <c r="J39" i="44"/>
  <c r="AA3" i="7"/>
  <c r="AG4" i="7"/>
  <c r="K10" i="1"/>
  <c r="O71" i="33" s="1"/>
  <c r="S71" i="33" s="1"/>
  <c r="E63" i="41"/>
  <c r="I10" i="1"/>
  <c r="AO3" i="7"/>
  <c r="Y4" i="7"/>
  <c r="F43" i="1"/>
  <c r="E45" i="1"/>
  <c r="AA4" i="7" s="1"/>
  <c r="AS7" i="31"/>
  <c r="Z7" i="44"/>
  <c r="P37" i="44"/>
  <c r="M71" i="33"/>
  <c r="Q71" i="33" s="1"/>
  <c r="G5" i="36" a="1"/>
  <c r="G5" i="36" s="1"/>
  <c r="D17" i="29" s="1"/>
  <c r="E12" i="1" s="1"/>
  <c r="M73" i="33" s="1"/>
  <c r="Q73" i="33" s="1"/>
  <c r="AH3" i="7"/>
  <c r="M11" i="1"/>
  <c r="H11" i="1"/>
  <c r="H5" i="35"/>
  <c r="H6" i="35"/>
  <c r="H5" i="36"/>
  <c r="J5" i="36" s="1"/>
  <c r="AG10" i="31"/>
  <c r="AM4" i="7"/>
  <c r="F61" i="41"/>
  <c r="L8" i="1"/>
  <c r="I12" i="1"/>
  <c r="K11" i="1"/>
  <c r="O72" i="33" s="1"/>
  <c r="S72" i="33" s="1"/>
  <c r="AH4" i="7"/>
  <c r="Z8" i="31"/>
  <c r="AL7" i="31"/>
  <c r="I5" i="36"/>
  <c r="AM10" i="31"/>
  <c r="AF6" i="31"/>
  <c r="AP10" i="31"/>
  <c r="I8" i="36"/>
  <c r="J8" i="36" s="1"/>
  <c r="E29" i="29" s="1"/>
  <c r="CE2" i="7" s="1"/>
  <c r="CE3" i="7" s="1"/>
  <c r="CE4" i="7" s="1"/>
  <c r="CE5" i="7" s="1"/>
  <c r="AM8" i="31"/>
  <c r="AS8" i="31" s="1"/>
  <c r="AR7" i="31"/>
  <c r="AH35" i="31"/>
  <c r="F4" i="36" a="1"/>
  <c r="F4" i="36" s="1"/>
  <c r="C16" i="29" s="1"/>
  <c r="D31" i="29" s="1"/>
  <c r="BY2" i="7" s="1"/>
  <c r="BY3" i="7" s="1"/>
  <c r="BY4" i="7" s="1"/>
  <c r="BY5" i="7" s="1"/>
  <c r="I11" i="35"/>
  <c r="I10" i="35"/>
  <c r="E11" i="1"/>
  <c r="BB2" i="7"/>
  <c r="BB3" i="7" s="1"/>
  <c r="BB4" i="7" s="1"/>
  <c r="BB5" i="7" s="1"/>
  <c r="AL6" i="31"/>
  <c r="F5" i="36" a="1"/>
  <c r="F5" i="36" s="1"/>
  <c r="C17" i="29" s="1"/>
  <c r="BD2" i="7" s="1"/>
  <c r="BD3" i="7" s="1"/>
  <c r="BD4" i="7" s="1"/>
  <c r="BD5" i="7" s="1"/>
  <c r="AK3" i="7"/>
  <c r="I6" i="1"/>
  <c r="E59" i="41"/>
  <c r="N10" i="35"/>
  <c r="N9" i="35" s="1"/>
  <c r="N8" i="35" s="1"/>
  <c r="E24" i="29"/>
  <c r="BZ2" i="7" s="1"/>
  <c r="BZ3" i="7" s="1"/>
  <c r="BZ4" i="7" s="1"/>
  <c r="BZ5" i="7" s="1"/>
  <c r="C13" i="1"/>
  <c r="AK2" i="7"/>
  <c r="D59" i="41"/>
  <c r="E6" i="1"/>
  <c r="CH2" i="7"/>
  <c r="CH3" i="7" s="1"/>
  <c r="CH4" i="7" s="1"/>
  <c r="CH5" i="7" s="1"/>
  <c r="H9" i="1"/>
  <c r="M9" i="1"/>
  <c r="R12" i="18"/>
  <c r="O12" i="18"/>
  <c r="F60" i="41"/>
  <c r="L7" i="1"/>
  <c r="AL4" i="7"/>
  <c r="F8" i="36" a="1"/>
  <c r="F8" i="36" s="1"/>
  <c r="C20" i="29" s="1"/>
  <c r="BG2" i="7" s="1"/>
  <c r="BG3" i="7" s="1"/>
  <c r="BG4" i="7" s="1"/>
  <c r="BG5" i="7" s="1"/>
  <c r="F30" i="29"/>
  <c r="CN2" i="7" s="1"/>
  <c r="CN3" i="7" s="1"/>
  <c r="CN4" i="7" s="1"/>
  <c r="CN5" i="7" s="1"/>
  <c r="CJ2" i="7"/>
  <c r="CJ3" i="7" s="1"/>
  <c r="CJ4" i="7" s="1"/>
  <c r="CJ5" i="7" s="1"/>
  <c r="Z4" i="44"/>
  <c r="P36" i="44"/>
  <c r="M70" i="33"/>
  <c r="Q70" i="33" s="1"/>
  <c r="AC5" i="7"/>
  <c r="AB10" i="31"/>
  <c r="AN9" i="31"/>
  <c r="AT9" i="31" s="1"/>
  <c r="D62" i="41"/>
  <c r="AN2" i="7"/>
  <c r="Q33" i="44"/>
  <c r="N67" i="33"/>
  <c r="R67" i="33" s="1"/>
  <c r="F10" i="35"/>
  <c r="M11" i="31"/>
  <c r="AI12" i="31"/>
  <c r="AU12" i="31" s="1"/>
  <c r="N12" i="31"/>
  <c r="L9" i="1" l="1"/>
  <c r="F62" i="41"/>
  <c r="AN4" i="7"/>
  <c r="L11" i="35"/>
  <c r="AR2" i="7"/>
  <c r="D66" i="41"/>
  <c r="P38" i="44"/>
  <c r="Z3" i="44"/>
  <c r="M72" i="33"/>
  <c r="Q72" i="33" s="1"/>
  <c r="L12" i="1"/>
  <c r="AQ4" i="7"/>
  <c r="F65" i="41"/>
  <c r="AD15" i="31"/>
  <c r="AJ14" i="31"/>
  <c r="AV14" i="31" s="1"/>
  <c r="AP14" i="31"/>
  <c r="M12" i="1"/>
  <c r="AI5" i="7" s="1"/>
  <c r="AF5" i="7"/>
  <c r="AE5" i="7"/>
  <c r="N8" i="1"/>
  <c r="Y8" i="31"/>
  <c r="AK7" i="31"/>
  <c r="AQ7" i="31" s="1"/>
  <c r="G61" i="41"/>
  <c r="AM5" i="7"/>
  <c r="Y5" i="7"/>
  <c r="F45" i="1"/>
  <c r="AA5" i="7" s="1"/>
  <c r="Q35" i="44"/>
  <c r="H12" i="1"/>
  <c r="N73" i="33" s="1"/>
  <c r="R73" i="33" s="1"/>
  <c r="N69" i="33"/>
  <c r="R69" i="33" s="1"/>
  <c r="J10" i="36"/>
  <c r="E31" i="29" s="1"/>
  <c r="CG2" i="7" s="1"/>
  <c r="CG3" i="7" s="1"/>
  <c r="CG4" i="7" s="1"/>
  <c r="CG5" i="7" s="1"/>
  <c r="C12" i="1"/>
  <c r="H13" i="1"/>
  <c r="N74" i="33" s="1"/>
  <c r="R74" i="33" s="1"/>
  <c r="H7" i="36"/>
  <c r="J7" i="36" s="1"/>
  <c r="E28" i="29" s="1"/>
  <c r="CD2" i="7" s="1"/>
  <c r="CD3" i="7" s="1"/>
  <c r="CD4" i="7" s="1"/>
  <c r="CD5" i="7" s="1"/>
  <c r="N7" i="35"/>
  <c r="N6" i="35" s="1"/>
  <c r="N5" i="35" s="1"/>
  <c r="N4" i="35" s="1"/>
  <c r="N3" i="35" s="1"/>
  <c r="BC2" i="7"/>
  <c r="BC3" i="7" s="1"/>
  <c r="BC4" i="7" s="1"/>
  <c r="BC5" i="7" s="1"/>
  <c r="G13" i="1"/>
  <c r="AJ3" i="7" s="1"/>
  <c r="AH33" i="31"/>
  <c r="AR5" i="31"/>
  <c r="K9" i="1"/>
  <c r="O70" i="33" s="1"/>
  <c r="S70" i="33" s="1"/>
  <c r="AS10" i="31"/>
  <c r="L10" i="1"/>
  <c r="AO4" i="7"/>
  <c r="F63" i="41"/>
  <c r="AA15" i="31"/>
  <c r="AG14" i="31"/>
  <c r="AM14" i="31"/>
  <c r="Q37" i="44"/>
  <c r="N71" i="33"/>
  <c r="R71" i="33" s="1"/>
  <c r="G60" i="41"/>
  <c r="AL5" i="7"/>
  <c r="N7" i="1"/>
  <c r="P68" i="33" s="1"/>
  <c r="T68" i="33" s="1"/>
  <c r="J9" i="36"/>
  <c r="E30" i="29" s="1"/>
  <c r="CF2" i="7" s="1"/>
  <c r="CF3" i="7" s="1"/>
  <c r="CF4" i="7" s="1"/>
  <c r="CF5" i="7" s="1"/>
  <c r="E26" i="29"/>
  <c r="CB2" i="7" s="1"/>
  <c r="CB3" i="7" s="1"/>
  <c r="CB4" i="7" s="1"/>
  <c r="CB5" i="7" s="1"/>
  <c r="AS13" i="31"/>
  <c r="AG5" i="7"/>
  <c r="N10" i="1"/>
  <c r="P71" i="33" s="1"/>
  <c r="T71" i="33" s="1"/>
  <c r="F13" i="1"/>
  <c r="AN10" i="31"/>
  <c r="AT10" i="31" s="1"/>
  <c r="AB11" i="31"/>
  <c r="L6" i="1"/>
  <c r="AK4" i="7"/>
  <c r="F59" i="41"/>
  <c r="I13" i="1"/>
  <c r="K6" i="1"/>
  <c r="Q38" i="44"/>
  <c r="N72" i="33"/>
  <c r="R72" i="33" s="1"/>
  <c r="F9" i="35"/>
  <c r="L10" i="35" s="1"/>
  <c r="M10" i="31"/>
  <c r="AI11" i="31"/>
  <c r="AU11" i="31" s="1"/>
  <c r="N11" i="31"/>
  <c r="M13" i="1"/>
  <c r="AJ5" i="7" s="1"/>
  <c r="N9" i="1"/>
  <c r="P70" i="33" s="1"/>
  <c r="T70" i="33" s="1"/>
  <c r="AH34" i="31"/>
  <c r="AR6" i="31"/>
  <c r="AH5" i="7"/>
  <c r="N11" i="1"/>
  <c r="P72" i="33" s="1"/>
  <c r="T72" i="33" s="1"/>
  <c r="J13" i="1"/>
  <c r="AJ4" i="7" s="1"/>
  <c r="Q36" i="44"/>
  <c r="N70" i="33"/>
  <c r="R70" i="33" s="1"/>
  <c r="F31" i="29"/>
  <c r="CO2" i="7" s="1"/>
  <c r="CO3" i="7" s="1"/>
  <c r="CO4" i="7" s="1"/>
  <c r="CO5" i="7" s="1"/>
  <c r="BH2" i="7"/>
  <c r="BH3" i="7" s="1"/>
  <c r="BH4" i="7" s="1"/>
  <c r="BH5" i="7" s="1"/>
  <c r="F12" i="1"/>
  <c r="D12" i="1"/>
  <c r="AI2" i="7" s="1"/>
  <c r="D30" i="29"/>
  <c r="BX2" i="7" s="1"/>
  <c r="BX3" i="7" s="1"/>
  <c r="BX4" i="7" s="1"/>
  <c r="BX5" i="7" s="1"/>
  <c r="O69" i="33"/>
  <c r="S69" i="33" s="1"/>
  <c r="K12" i="1"/>
  <c r="O73" i="33" s="1"/>
  <c r="S73" i="33" s="1"/>
  <c r="F64" i="41"/>
  <c r="L11" i="1"/>
  <c r="AP4" i="7"/>
  <c r="AC15" i="31"/>
  <c r="AI14" i="31"/>
  <c r="AU14" i="31" s="1"/>
  <c r="J12" i="1"/>
  <c r="AI4" i="7" s="1"/>
  <c r="Z5" i="44"/>
  <c r="P33" i="44"/>
  <c r="E13" i="1"/>
  <c r="M74" i="33" s="1"/>
  <c r="Q74" i="33" s="1"/>
  <c r="M67" i="33"/>
  <c r="Q67" i="33" s="1"/>
  <c r="D13" i="1"/>
  <c r="AJ2" i="7" s="1"/>
  <c r="Z9" i="31"/>
  <c r="AL8" i="31"/>
  <c r="AF8" i="31"/>
  <c r="G12" i="1"/>
  <c r="AI3" i="7" s="1"/>
  <c r="K13" i="1" l="1"/>
  <c r="O74" i="33" s="1"/>
  <c r="S74" i="33" s="1"/>
  <c r="O67" i="33"/>
  <c r="S67" i="33" s="1"/>
  <c r="AR4" i="7"/>
  <c r="F66" i="41"/>
  <c r="L13" i="1"/>
  <c r="D65" i="41"/>
  <c r="AQ2" i="7"/>
  <c r="AD16" i="31"/>
  <c r="AP15" i="31"/>
  <c r="AJ15" i="31"/>
  <c r="AV15" i="31" s="1"/>
  <c r="AS14" i="31"/>
  <c r="AK5" i="7"/>
  <c r="G59" i="41"/>
  <c r="N6" i="1"/>
  <c r="AM15" i="31"/>
  <c r="AA16" i="31"/>
  <c r="AG15" i="31"/>
  <c r="AB12" i="31"/>
  <c r="AN11" i="31"/>
  <c r="AT11" i="31" s="1"/>
  <c r="G65" i="41"/>
  <c r="AQ5" i="7"/>
  <c r="AC16" i="31"/>
  <c r="AI15" i="31"/>
  <c r="AU15" i="31" s="1"/>
  <c r="E66" i="41"/>
  <c r="AR3" i="7"/>
  <c r="G63" i="41"/>
  <c r="AO5" i="7"/>
  <c r="G64" i="41"/>
  <c r="AP5" i="7"/>
  <c r="Y9" i="31"/>
  <c r="AK8" i="31"/>
  <c r="AQ8" i="31" s="1"/>
  <c r="AH36" i="31"/>
  <c r="AR8" i="31"/>
  <c r="F8" i="35"/>
  <c r="M9" i="31"/>
  <c r="AI10" i="31"/>
  <c r="AU10" i="31" s="1"/>
  <c r="N10" i="31"/>
  <c r="P69" i="33"/>
  <c r="T69" i="33" s="1"/>
  <c r="N12" i="1"/>
  <c r="P73" i="33" s="1"/>
  <c r="T73" i="33" s="1"/>
  <c r="L9" i="35"/>
  <c r="Z10" i="31"/>
  <c r="AL9" i="31"/>
  <c r="AF9" i="31"/>
  <c r="AQ3" i="7"/>
  <c r="E65" i="41"/>
  <c r="G62" i="41"/>
  <c r="AN5" i="7"/>
  <c r="AA17" i="31" l="1"/>
  <c r="AM16" i="31"/>
  <c r="AG16" i="31"/>
  <c r="AS16" i="31" s="1"/>
  <c r="Y10" i="31"/>
  <c r="AK9" i="31"/>
  <c r="AQ9" i="31" s="1"/>
  <c r="Z11" i="31"/>
  <c r="AL10" i="31"/>
  <c r="AF10" i="31"/>
  <c r="AP16" i="31"/>
  <c r="AJ16" i="31"/>
  <c r="AV16" i="31" s="1"/>
  <c r="AD17" i="31"/>
  <c r="AC17" i="31"/>
  <c r="AI16" i="31"/>
  <c r="AU16" i="31" s="1"/>
  <c r="P67" i="33"/>
  <c r="T67" i="33" s="1"/>
  <c r="N13" i="1"/>
  <c r="P74" i="33" s="1"/>
  <c r="T74" i="33" s="1"/>
  <c r="AR5" i="7"/>
  <c r="G66" i="41"/>
  <c r="AH37" i="31"/>
  <c r="AR9" i="31"/>
  <c r="F7" i="35"/>
  <c r="AI9" i="31"/>
  <c r="AU9" i="31" s="1"/>
  <c r="M8" i="31"/>
  <c r="N9" i="31"/>
  <c r="L8" i="35"/>
  <c r="AB13" i="31"/>
  <c r="AN12" i="31"/>
  <c r="AT12" i="31" s="1"/>
  <c r="AS15" i="31"/>
  <c r="AR10" i="31" l="1"/>
  <c r="AH38" i="31"/>
  <c r="F6" i="35"/>
  <c r="N8" i="31"/>
  <c r="M7" i="31"/>
  <c r="AI8" i="31"/>
  <c r="AU8" i="31" s="1"/>
  <c r="Z12" i="31"/>
  <c r="AF11" i="31"/>
  <c r="AL11" i="31"/>
  <c r="AJ17" i="31"/>
  <c r="AV17" i="31" s="1"/>
  <c r="AD18" i="31"/>
  <c r="AP17" i="31"/>
  <c r="L7" i="35"/>
  <c r="Y11" i="31"/>
  <c r="AK10" i="31"/>
  <c r="AQ10" i="31" s="1"/>
  <c r="AC18" i="31"/>
  <c r="AI17" i="31"/>
  <c r="AU17" i="31" s="1"/>
  <c r="AN13" i="31"/>
  <c r="AT13" i="31" s="1"/>
  <c r="AB14" i="31"/>
  <c r="AG17" i="31"/>
  <c r="AM17" i="31"/>
  <c r="AA18" i="31"/>
  <c r="Y12" i="31" l="1"/>
  <c r="AK11" i="31"/>
  <c r="AQ11" i="31" s="1"/>
  <c r="AH39" i="31"/>
  <c r="AR11" i="31"/>
  <c r="Z13" i="31"/>
  <c r="AL12" i="31"/>
  <c r="AF12" i="31"/>
  <c r="AA19" i="31"/>
  <c r="AM18" i="31"/>
  <c r="AG18" i="31"/>
  <c r="AS18" i="31" s="1"/>
  <c r="AI7" i="31"/>
  <c r="AU7" i="31" s="1"/>
  <c r="F5" i="35"/>
  <c r="L6" i="35" s="1"/>
  <c r="M6" i="31"/>
  <c r="N7" i="31"/>
  <c r="AC19" i="31"/>
  <c r="AI18" i="31"/>
  <c r="AU18" i="31" s="1"/>
  <c r="AJ18" i="31"/>
  <c r="AV18" i="31" s="1"/>
  <c r="AP18" i="31"/>
  <c r="AD19" i="31"/>
  <c r="AS17" i="31"/>
  <c r="AN14" i="31"/>
  <c r="AT14" i="31" s="1"/>
  <c r="AB15" i="31"/>
  <c r="AG19" i="31" l="1"/>
  <c r="AA20" i="31"/>
  <c r="AM19" i="31"/>
  <c r="AR12" i="31"/>
  <c r="AH40" i="31"/>
  <c r="M5" i="31"/>
  <c r="F4" i="35"/>
  <c r="AI6" i="31"/>
  <c r="AU6" i="31" s="1"/>
  <c r="N6" i="31"/>
  <c r="AB16" i="31"/>
  <c r="AN15" i="31"/>
  <c r="AT15" i="31" s="1"/>
  <c r="AI19" i="31"/>
  <c r="AU19" i="31" s="1"/>
  <c r="AC20" i="31"/>
  <c r="AF13" i="31"/>
  <c r="AR13" i="31" s="1"/>
  <c r="AL13" i="31"/>
  <c r="Z14" i="31"/>
  <c r="AJ19" i="31"/>
  <c r="AV19" i="31" s="1"/>
  <c r="AP19" i="31"/>
  <c r="AD20" i="31"/>
  <c r="Y13" i="31"/>
  <c r="AK12" i="31"/>
  <c r="AQ12" i="31" s="1"/>
  <c r="AN16" i="31" l="1"/>
  <c r="AT16" i="31" s="1"/>
  <c r="AB17" i="31"/>
  <c r="AI5" i="31"/>
  <c r="AU5" i="31" s="1"/>
  <c r="F3" i="35"/>
  <c r="L4" i="35" s="1"/>
  <c r="N5" i="31"/>
  <c r="AL14" i="31"/>
  <c r="Z15" i="31"/>
  <c r="AF14" i="31"/>
  <c r="AR14" i="31" s="1"/>
  <c r="AK13" i="31"/>
  <c r="AQ13" i="31" s="1"/>
  <c r="Y14" i="31"/>
  <c r="L5" i="35"/>
  <c r="AP20" i="31"/>
  <c r="AJ20" i="31"/>
  <c r="AV20" i="31" s="1"/>
  <c r="AD21" i="31"/>
  <c r="AI20" i="31"/>
  <c r="AU20" i="31" s="1"/>
  <c r="AC21" i="31"/>
  <c r="AM20" i="31"/>
  <c r="AA21" i="31"/>
  <c r="AG20" i="31"/>
  <c r="AS20" i="31" s="1"/>
  <c r="AS19" i="31"/>
  <c r="Z16" i="31" l="1"/>
  <c r="AF15" i="31"/>
  <c r="AL15" i="31"/>
  <c r="AG21" i="31"/>
  <c r="AM21" i="31"/>
  <c r="AA22" i="31"/>
  <c r="AK14" i="31"/>
  <c r="AQ14" i="31" s="1"/>
  <c r="Y15" i="31"/>
  <c r="AN17" i="31"/>
  <c r="AT17" i="31" s="1"/>
  <c r="AB18" i="31"/>
  <c r="AJ21" i="31"/>
  <c r="AV21" i="31" s="1"/>
  <c r="AD22" i="31"/>
  <c r="AP21" i="31"/>
  <c r="AI21" i="31"/>
  <c r="AU21" i="31" s="1"/>
  <c r="AC22" i="31"/>
  <c r="AK15" i="31" l="1"/>
  <c r="AQ15" i="31" s="1"/>
  <c r="Y16" i="31"/>
  <c r="AI22" i="31"/>
  <c r="AU22" i="31" s="1"/>
  <c r="AC23" i="31"/>
  <c r="AP22" i="31"/>
  <c r="AJ22" i="31"/>
  <c r="AV22" i="31" s="1"/>
  <c r="AD23" i="31"/>
  <c r="AA23" i="31"/>
  <c r="AG22" i="31"/>
  <c r="AS22" i="31" s="1"/>
  <c r="AM22" i="31"/>
  <c r="AB19" i="31"/>
  <c r="AN18" i="31"/>
  <c r="AT18" i="31" s="1"/>
  <c r="AS21" i="31"/>
  <c r="AR15" i="31"/>
  <c r="AL16" i="31"/>
  <c r="Z17" i="31"/>
  <c r="AF16" i="31"/>
  <c r="AM23" i="31" l="1"/>
  <c r="AA24" i="31"/>
  <c r="AG23" i="31"/>
  <c r="AS23" i="31" s="1"/>
  <c r="AJ23" i="31"/>
  <c r="AV23" i="31" s="1"/>
  <c r="AD24" i="31"/>
  <c r="AP23" i="31"/>
  <c r="AB20" i="31"/>
  <c r="AN19" i="31"/>
  <c r="AT19" i="31" s="1"/>
  <c r="Z18" i="31"/>
  <c r="AL17" i="31"/>
  <c r="AF17" i="31"/>
  <c r="AR17" i="31" s="1"/>
  <c r="AI23" i="31"/>
  <c r="AU23" i="31" s="1"/>
  <c r="AC24" i="31"/>
  <c r="Y17" i="31"/>
  <c r="AK16" i="31"/>
  <c r="AQ16" i="31" s="1"/>
  <c r="AR16" i="31"/>
  <c r="AB21" i="31" l="1"/>
  <c r="AN20" i="31"/>
  <c r="AT20" i="31" s="1"/>
  <c r="AP24" i="31"/>
  <c r="AD25" i="31"/>
  <c r="AJ24" i="31"/>
  <c r="AV24" i="31" s="1"/>
  <c r="Y18" i="31"/>
  <c r="AK17" i="31"/>
  <c r="AQ17" i="31" s="1"/>
  <c r="AI24" i="31"/>
  <c r="AU24" i="31" s="1"/>
  <c r="AC25" i="31"/>
  <c r="AI25" i="31" s="1"/>
  <c r="AM24" i="31"/>
  <c r="AA25" i="31"/>
  <c r="AG24" i="31"/>
  <c r="AS24" i="31" s="1"/>
  <c r="Z19" i="31"/>
  <c r="AF18" i="31"/>
  <c r="AL18" i="31"/>
  <c r="Z20" i="31" l="1"/>
  <c r="AL19" i="31"/>
  <c r="AF19" i="31"/>
  <c r="AR19" i="31" s="1"/>
  <c r="AK18" i="31"/>
  <c r="AQ18" i="31" s="1"/>
  <c r="Y19" i="31"/>
  <c r="AP25" i="31"/>
  <c r="AJ25" i="31"/>
  <c r="M32" i="31"/>
  <c r="M33" i="31" s="1"/>
  <c r="AR18" i="31"/>
  <c r="AG25" i="31"/>
  <c r="AM25" i="31"/>
  <c r="AU25" i="31"/>
  <c r="AN21" i="31"/>
  <c r="AT21" i="31" s="1"/>
  <c r="AB22" i="31"/>
  <c r="AB23" i="31" l="1"/>
  <c r="AN22" i="31"/>
  <c r="AT22" i="31" s="1"/>
  <c r="AV25" i="31"/>
  <c r="Y20" i="31"/>
  <c r="AK19" i="31"/>
  <c r="AQ19" i="31" s="1"/>
  <c r="AS25" i="31"/>
  <c r="AL20" i="31"/>
  <c r="AF20" i="31"/>
  <c r="AR20" i="31" s="1"/>
  <c r="Z21" i="31"/>
  <c r="AG114" i="31"/>
  <c r="AF21" i="31" l="1"/>
  <c r="Z22" i="31"/>
  <c r="AL21" i="31"/>
  <c r="Y21" i="31"/>
  <c r="AK20" i="31"/>
  <c r="AQ20" i="31" s="1"/>
  <c r="AB24" i="31"/>
  <c r="AN23" i="31"/>
  <c r="AT23" i="31" s="1"/>
  <c r="AB25" i="31" l="1"/>
  <c r="AN25" i="31" s="1"/>
  <c r="AN24" i="31"/>
  <c r="AT24" i="31" s="1"/>
  <c r="AK21" i="31"/>
  <c r="AQ21" i="31" s="1"/>
  <c r="Y22" i="31"/>
  <c r="AL22" i="31"/>
  <c r="AF22" i="31"/>
  <c r="AR22" i="31" s="1"/>
  <c r="Z23" i="31"/>
  <c r="AR21" i="31"/>
  <c r="AF23" i="31" l="1"/>
  <c r="Z24" i="31"/>
  <c r="AL23" i="31"/>
  <c r="Y23" i="31"/>
  <c r="AK22" i="31"/>
  <c r="AQ22" i="31" s="1"/>
  <c r="AR38" i="31"/>
  <c r="AT25" i="31"/>
  <c r="AS38" i="31"/>
  <c r="AT38" i="31"/>
  <c r="AQ38" i="31"/>
  <c r="Y24" i="31" l="1"/>
  <c r="AK23" i="31"/>
  <c r="AQ23" i="31" s="1"/>
  <c r="AF24" i="31"/>
  <c r="AL24" i="31"/>
  <c r="Z25" i="31"/>
  <c r="AR23" i="31"/>
  <c r="AF25" i="31" l="1"/>
  <c r="AL25" i="31"/>
  <c r="AR24" i="31"/>
  <c r="Y25" i="31"/>
  <c r="AK25" i="31" s="1"/>
  <c r="AQ25" i="31" s="1"/>
  <c r="AK24" i="31"/>
  <c r="AQ24" i="31" s="1"/>
  <c r="AR42" i="31" l="1"/>
  <c r="AR25" i="31"/>
  <c r="AQ42" i="31"/>
  <c r="AH41" i="31"/>
  <c r="AT42" i="31"/>
  <c r="AU42" i="31"/>
  <c r="AV42" i="31"/>
  <c r="AS42" i="3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tc={2F7BD1B1-E32C-46FB-95E4-3A9B3D7AD0C6}</author>
  </authors>
  <commentList>
    <comment ref="H4" authorId="0" shapeId="0" xr:uid="{00000000-0006-0000-04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Bunker oil, used in water vessels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tc={CE56EC57-D502-41DB-B2DA-B3E663BB9691}</author>
  </authors>
  <commentList>
    <comment ref="J1" authorId="0" shapeId="0" xr:uid="{00000000-0006-0000-06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The same for households and industry because we are assuming constant proportions of consumption from 2022 data backwards.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tc={6849560F-64FB-4C02-8F32-4EFC4969F2ED}</author>
    <author>tc={7D2932BC-D291-40DE-9E03-E984F96F1136}</author>
    <author>tc={957A1D14-E9BB-40FF-AFA4-2EE53207C78E}</author>
    <author>tc={BA8FBC7C-E274-4C96-AE0E-787FB4D8ADF3}</author>
    <author>tc={A689E6A8-5D84-48BC-B831-492DE5CF0EEB}</author>
    <author>tc={C9458E99-5391-4BE7-BEDD-C650B5DCD971}</author>
    <author>tc={7C3A38E7-1FA1-4D98-A2A7-E78CC7222622}</author>
    <author>tc={440D8A55-64BB-4571-8FD0-D928B65D5C3F}</author>
    <author>tc={6ACFB0F3-C4CC-43FC-A963-878C5737750C}</author>
    <author>tc={DA034076-99BB-4525-898D-A1D9D5B02C68}</author>
    <author>tc={32918DEB-6FAB-4670-8702-72AC1988CFF5}</author>
    <author>tc={6A958F63-A9DF-4640-995E-813B1BE00F51}</author>
    <author>tc={818EA117-5CD9-4395-9CB6-C42AEE036AC7}</author>
    <author>tc={A02CB9E4-6F41-46FA-A153-690CF0FBD5CF}</author>
    <author>tc={33148B70-C139-42CF-99A3-CD6DD90E2190}</author>
    <author>tc={55A86357-DF75-4A92-97DE-DAB5C7E5C924}</author>
    <author>tc={80D35A6F-F3EA-4062-978A-A409A6F33DE3}</author>
    <author>tc={2BEB9E8D-0E56-4A4D-AC58-03161C4D2964}</author>
  </authors>
  <commentList>
    <comment ref="E3" authorId="0" shapeId="0" xr:uid="{00000000-0006-0000-07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Es a 25 o 0 grados</t>
      </text>
    </comment>
    <comment ref="I5" authorId="1" shapeId="0" xr:uid="{00000000-0006-0000-07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5" authorId="2" shapeId="0" xr:uid="{00000000-0006-0000-07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Y6" authorId="3" shapeId="0" xr:uid="{00000000-0006-0000-07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I12" authorId="4" shapeId="0" xr:uid="{00000000-0006-0000-07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2" authorId="5" shapeId="0" xr:uid="{00000000-0006-0000-07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I19" authorId="6" shapeId="0" xr:uid="{00000000-0006-0000-07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Don’t frais de passage en dépôt</t>
      </text>
    </comment>
    <comment ref="K19" authorId="7" shapeId="0" xr:uid="{00000000-0006-0000-07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F38" authorId="8" shapeId="0" xr:uid="{00000000-0006-0000-07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Assume as fixed tax. It is proportional to the taxable base. This assumption is minor because as tax rate it represents less than 1 percent of raw price</t>
      </text>
    </comment>
    <comment ref="K40" authorId="9" shapeId="0" xr:uid="{00000000-0006-0000-07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R41" authorId="10" shapeId="0" xr:uid="{00000000-0006-0000-07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http://news.adakar.com/h/110122.html</t>
      </text>
    </comment>
    <comment ref="K47" authorId="11" shapeId="0" xr:uid="{00000000-0006-0000-0700-00000C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48" authorId="12" shapeId="0" xr:uid="{00000000-0006-0000-0700-00000D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61" authorId="13" shapeId="0" xr:uid="{00000000-0006-0000-0700-00000E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K68" authorId="14" shapeId="0" xr:uid="{00000000-0006-0000-0700-00000F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69" authorId="15" shapeId="0" xr:uid="{00000000-0006-0000-0700-000010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 ref="K75" authorId="16" shapeId="0" xr:uid="{00000000-0006-0000-0700-00001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sum of MARGE GROSSISTE and MARGE DETAILLANT for 9Kg</t>
      </text>
    </comment>
    <comment ref="E76" authorId="17" shapeId="0" xr:uid="{00000000-0006-0000-0700-00001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price in Jun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tc={F22C2F34-7067-45AF-8657-0F26DDA0EC0E}</author>
    <author>tc={370EAAF4-67EF-4BCF-98F7-7420AD5BCD7B}</author>
    <author>tc={56F39F98-D051-4338-A321-8A097EB13E1E}</author>
    <author>tc={0252D1F6-9052-4022-89A4-B434D025DD4B}</author>
    <author>tc={5143F9AC-D3B9-4297-AA6F-D765370E1029}</author>
    <author>tc={F78DBF92-EC4D-45B0-9154-03E824D5E379}</author>
    <author>tc={C6B72089-7753-41AC-B363-8D2D72969B3B}</author>
    <author>tc={38FE80AC-A227-4B5C-BD19-383457E59E97}</author>
    <author>tc={DFB5DC85-87EF-4E2D-8EFA-218F83E75FBE}</author>
  </authors>
  <commentList>
    <comment ref="L5" authorId="0" shapeId="0" xr:uid="{00000000-0006-0000-08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Based on 2021 data</t>
      </text>
    </comment>
    <comment ref="AA5" authorId="1" shapeId="0" xr:uid="{00000000-0006-0000-08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tariffs range between 142-149, needs to be checked
Respuesta:
    same for all numbers in red</t>
      </text>
    </comment>
    <comment ref="BK5" authorId="2" shapeId="0" xr:uid="{00000000-0006-0000-08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BM5" authorId="3" shapeId="0" xr:uid="{00000000-0006-0000-08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DL5" authorId="4" shapeId="0" xr:uid="{00000000-0006-0000-08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data is inconsistent with the tariffs itself. Therefore we use Petra data for 2022 which is stable for 2020 as well</t>
      </text>
    </comment>
    <comment ref="DN5" authorId="5" shapeId="0" xr:uid="{00000000-0006-0000-08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Obtain as the average of Petra files</t>
      </text>
    </comment>
    <comment ref="AA10" authorId="6" shapeId="0" xr:uid="{00000000-0006-0000-08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figure should be 129, it is including the fix cost</t>
      </text>
    </comment>
    <comment ref="BA12" authorId="7" shapeId="0" xr:uid="{00000000-0006-0000-08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 ref="DB12" authorId="8" shapeId="0" xr:uid="{00000000-0006-0000-08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exlcuded DGP, PGP and High Voltage from the sum of the IMF of special clientele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tc={CA62C2DA-EB36-49BA-AF9C-C3DA57A1CE8A}</author>
    <author>tc={8B9D4290-72BE-4528-AFCF-470A2027F1F0}</author>
    <author>tc={FAAD538A-33D6-4CBC-8EAA-5661E9191F7A}</author>
    <author>tc={A9818014-3099-422C-86FB-23CCECF2C988}</author>
    <author>tc={A432D68D-1903-4D6A-8BDD-43ABE26C45E9}</author>
    <author>tc={B170CB59-E064-4C54-89AD-7E456CDD91FD}</author>
    <author>tc={7AAFDFE0-9C61-4826-874E-9AA54FB814DD}</author>
    <author>tc={4F6F22BA-C8E9-4A5C-916A-D1207BF86CCE}</author>
    <author>tc={FCC80CFF-F3E3-41D7-833D-90AA8165ECC3}</author>
    <author>tc={D8A0B302-51A7-4959-A9E7-8D4C5067B81D}</author>
    <author>tc={7406CA74-04FF-4539-9007-BB5B23B023D1}</author>
  </authors>
  <commentList>
    <comment ref="E6" authorId="0" shapeId="0" xr:uid="{00000000-0006-0000-0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55% according to the Ministry
Respuesta:
    And https://www.dakaractu.com/Hausse-sur-le-prix-du-gasoil-L-essence-pirogue-et-le-gaz-butane-exemptes_a228485.html</t>
      </text>
    </comment>
    <comment ref="D8" authorId="1" shapeId="0" xr:uid="{00000000-0006-0000-0D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1019 per liter in 2022, according to the Ministry</t>
      </text>
    </comment>
    <comment ref="E10" authorId="2" shapeId="0" xr:uid="{00000000-0006-0000-0D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34% selon https://www.dakaractu.com/Hausse-sur-le-prix-du-gasoil-L-essence-pirogue-et-le-gaz-butane-exemptes_a228485.html</t>
      </text>
    </comment>
    <comment ref="D11" authorId="3" shapeId="0" xr:uid="{00000000-0006-0000-0D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1063 per liter in 2022, according to the Ministry</t>
      </text>
    </comment>
    <comment ref="E19" authorId="4" shapeId="0" xr:uid="{00000000-0006-0000-0D00-000005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Values from Décision 2022-54 CRSE
Respuesta:
    And also Market prices of fuels using 2023 data</t>
      </text>
    </comment>
    <comment ref="G19" authorId="5" shapeId="0" xr:uid="{00000000-0006-0000-0D00-000006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Market prices of fuels using 2023 data</t>
      </text>
    </comment>
    <comment ref="I19" authorId="6" shapeId="0" xr:uid="{00000000-0006-0000-0D00-000007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Original values to reproduce the same results as previously</t>
      </text>
    </comment>
    <comment ref="C40" authorId="7" shapeId="0" xr:uid="{00000000-0006-0000-0D00-000008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//Note: global DGP_tar 114.58 // 2020 data: mean 115.54, sd 6.68 (excluding april because it was a complete outlier) paid by kwh in 2020 // 2022 data: mean 114.58, sd 2.27. Now included in the parameters</t>
      </text>
    </comment>
    <comment ref="E40" authorId="8" shapeId="0" xr:uid="{00000000-0006-0000-0D00-000009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http://documentation.2ie-edu.org/cdi2ie/opac_css/doc_num.php?explnum_id=3605 En el resumen hablan de que es 86% hors pointe y 14% aux heures de pointe en 2018.</t>
      </text>
    </comment>
    <comment ref="C43" authorId="9" shapeId="0" xr:uid="{00000000-0006-0000-0D00-00000A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3" authorId="10" shapeId="0" xr:uid="{00000000-0006-0000-0D00-00000B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tc={F803F062-9D14-4412-A65E-46813D9BE6B6}</author>
    <author>tc={137D161C-8946-49C2-8338-6E719EF6ABA3}</author>
    <author>tc={BBD2A494-18AE-4E5B-84FB-A96AEBE32739}</author>
    <author>tc={B9B8BD64-3642-4B69-9B0E-17230E0C419C}</author>
  </authors>
  <commentList>
    <comment ref="C8" authorId="0" shapeId="0" xr:uid="{00000000-0006-0000-0F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Add 1.13 if data is no uprated. Add 1 if data is uprated</t>
      </text>
    </comment>
    <comment ref="C9" authorId="1" shapeId="0" xr:uid="{00000000-0006-0000-0F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comes from the total Gwh sold by SENELEC in 2022 and 2019 (see décisions from CRSE https://www.crse.sn/decision )</t>
      </text>
    </comment>
    <comment ref="C10" authorId="2" shapeId="0" xr:uid="{00000000-0006-0000-0F00-000003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GDP 2021 was 15319.13
Respuesta:
    This comes from IMF projections (1SENFA2022003.pdf)</t>
      </text>
    </comment>
    <comment ref="C38" authorId="3" shapeId="0" xr:uid="{00000000-0006-0000-0F00-000004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tc={819DF941-1573-4D0B-8F89-C96299720866}</author>
    <author>tc={19C7E7B3-930A-4103-9C67-02562F30C1EB}</author>
  </authors>
  <commentList>
    <comment ref="C41" authorId="0" shapeId="0" xr:uid="{00000000-0006-0000-10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Using weights from 2022 was 141.5. Weights were
Low  0.286 
 Medium 0.565 
 HIgh 0.150
Respuesta:
    Daniel produced these estimates and are in the green table in elec_pmts_info</t>
      </text>
    </comment>
    <comment ref="F41" authorId="1" shapeId="0" xr:uid="{00000000-0006-0000-10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Use X10 for Petra weights, use X9 for IMF weights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tc={ECCACAAF-4E9B-439C-8492-5D093BA796B2}</author>
    <author>tc={88CFF6E3-BFF6-4EC7-A11F-AFC7C9E6999A}</author>
  </authors>
  <commentList>
    <comment ref="F5" authorId="0" shapeId="0" xr:uid="{00000000-0006-0000-1B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reduce to 1780 if exclude outliers</t>
      </text>
    </comment>
    <comment ref="F8" authorId="1" shapeId="0" xr:uid="{00000000-0006-0000-1B00-000002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THis takes decree 2022-30 total GwH by Kwh consume by domestic users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tc={1FA7536D-F7D5-496D-AAF6-09A2170368F9}</author>
  </authors>
  <commentList>
    <comment ref="O30" authorId="0" shapeId="0" xr:uid="{00000000-0006-0000-1D00-000001000000}">
      <text>
        <t>[Comentario encadenado]
Su versión de Excel le permite leer este comentario encadenado; sin embargo, las ediciones que se apliquen se quitarán si el archivo se abre en una versión más reciente de Excel. Más información: https://go.microsoft.com/fwlink/?linkid=870924
Comentario:
    Currently figure 6 but ideal if it could be integrated</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<sst xmlns="http://schemas.openxmlformats.org/spreadsheetml/2006/main" count="33919" uniqueCount="25907">
  <si>
    <t xml:space="preserve">Deflacted </t>
  </si>
  <si>
    <t>Deflactor</t>
  </si>
  <si>
    <t>Ta_T3</t>
  </si>
  <si>
    <t>Treshold T1</t>
  </si>
  <si>
    <t>Treshold T2</t>
  </si>
  <si>
    <t>Ta_T1</t>
  </si>
  <si>
    <t>Ta_T2</t>
  </si>
  <si>
    <t>Postpaid</t>
  </si>
  <si>
    <t>DPP</t>
  </si>
  <si>
    <t>DMP</t>
  </si>
  <si>
    <t>Prepaid</t>
  </si>
  <si>
    <t>DGP</t>
  </si>
  <si>
    <t>Vat_exe</t>
  </si>
  <si>
    <t>Cost</t>
  </si>
  <si>
    <t>Baseline</t>
  </si>
  <si>
    <t>Reform</t>
  </si>
  <si>
    <t>Tariffs kWh</t>
  </si>
  <si>
    <t>Tranche upper threshold (Bimonthly kWh)</t>
  </si>
  <si>
    <t>Households Low Voltage (Domestique Petite Puissance)</t>
  </si>
  <si>
    <t>Bracket 1</t>
  </si>
  <si>
    <t>Cost energy for producer</t>
  </si>
  <si>
    <t>Bracket 2</t>
  </si>
  <si>
    <t>Average tariff for producer</t>
  </si>
  <si>
    <t>Bracket 3</t>
  </si>
  <si>
    <t>Cost of production</t>
  </si>
  <si>
    <t>Households Medium Voltage (Domestique Moyane Puissance)</t>
  </si>
  <si>
    <t>Households Low Voltage (Domestique Moyane Puissance)</t>
  </si>
  <si>
    <t xml:space="preserve">Prepaid </t>
  </si>
  <si>
    <t xml:space="preserve">Postpaid </t>
  </si>
  <si>
    <t>Households Postpaid High Voltage (DGP)</t>
  </si>
  <si>
    <t>Base</t>
  </si>
  <si>
    <t>Baseline (CFA 2022)</t>
  </si>
  <si>
    <t>Reform  (CFA 2022)</t>
  </si>
  <si>
    <t>LPG (Butane)</t>
  </si>
  <si>
    <t>Premium Gasoline (Super Carburant)</t>
  </si>
  <si>
    <t>Regular Gasoline (Essence Ordinaire)</t>
  </si>
  <si>
    <t>Boat Gasoline (Essence Pirogue)</t>
  </si>
  <si>
    <t>Kerosene (Petrole Lamp)</t>
  </si>
  <si>
    <t>Diesel (Gasoil)</t>
  </si>
  <si>
    <t>SENEGAL</t>
  </si>
  <si>
    <t>CODE</t>
  </si>
  <si>
    <t>KKKSR2079A0BQ</t>
  </si>
  <si>
    <t>KKKSR2080A0BQ</t>
  </si>
  <si>
    <t>KKKSR2081A0BQ</t>
  </si>
  <si>
    <t>KKKSR2082A0BQ</t>
  </si>
  <si>
    <t>KKKSR2083A0BQ</t>
  </si>
  <si>
    <t>LIBELLE</t>
  </si>
  <si>
    <t>Consommation de petrole lampant</t>
  </si>
  <si>
    <t>Consommation d'essence</t>
  </si>
  <si>
    <t xml:space="preserve">Consommation de gazole </t>
  </si>
  <si>
    <t xml:space="preserve">Consommation de diesel-oil </t>
  </si>
  <si>
    <t xml:space="preserve">Consommation de fuel-oil </t>
  </si>
  <si>
    <t xml:space="preserve">Volume d’essence (ordinaire + Super) vendu </t>
  </si>
  <si>
    <t xml:space="preserve">Volume d’essence ordinaire vendu </t>
  </si>
  <si>
    <t xml:space="preserve">Volume d’essence Super vendu </t>
  </si>
  <si>
    <t xml:space="preserve">Volume automobile diesel vendu </t>
  </si>
  <si>
    <t xml:space="preserve">Volume de mazout lourd vendu </t>
  </si>
  <si>
    <t>Bouteilles de GPL vendues (38kg, 12,5kg, 9kg, 6kg, 2,7kg)</t>
  </si>
  <si>
    <r>
      <t>Prix de détail de l’essence supe</t>
    </r>
    <r>
      <rPr>
        <sz val="10.5"/>
        <color rgb="FFFF0000"/>
        <rFont val="Segoe UI"/>
        <family val="2"/>
      </rPr>
      <t>r (91 RON)</t>
    </r>
    <r>
      <rPr>
        <sz val="10.5"/>
        <color rgb="FF000000"/>
        <rFont val="Segoe UI"/>
        <family val="2"/>
      </rPr>
      <t> </t>
    </r>
  </si>
  <si>
    <t xml:space="preserve">Prix de détail de l’automobile diesel  </t>
  </si>
  <si>
    <t>Prix du fioul lourd (HTS)</t>
  </si>
  <si>
    <t>Prix de détail du GPL (6 kg)</t>
  </si>
  <si>
    <t>UNITE DE MESURE</t>
  </si>
  <si>
    <t>Metre cube</t>
  </si>
  <si>
    <t>Tonnes</t>
  </si>
  <si>
    <t>liters</t>
  </si>
  <si>
    <t>units</t>
  </si>
  <si>
    <t>LCU/liter</t>
  </si>
  <si>
    <t>LCU per Xkg bottle</t>
  </si>
  <si>
    <t>MAGNITUDE</t>
  </si>
  <si>
    <t>Unites</t>
  </si>
  <si>
    <t>aucune</t>
  </si>
  <si>
    <t>SOURCE</t>
  </si>
  <si>
    <t>Direction de la Statistique</t>
  </si>
  <si>
    <t>Ministere de l'energie</t>
  </si>
  <si>
    <t>Ministete de l'energie et des minnes</t>
  </si>
  <si>
    <t>TYPE SERIE</t>
  </si>
  <si>
    <t>Flux</t>
  </si>
  <si>
    <t>METHODE OBSERVATION</t>
  </si>
  <si>
    <t>Somme sur la periode</t>
  </si>
  <si>
    <t>en cours</t>
  </si>
  <si>
    <t xml:space="preserve">   en cours</t>
  </si>
  <si>
    <t>carburant</t>
  </si>
  <si>
    <t>masse volumique (kg/m3) @ 15C</t>
  </si>
  <si>
    <t>volume (m3/l)</t>
  </si>
  <si>
    <t>masse (t/kg)</t>
  </si>
  <si>
    <t>factor t/l</t>
  </si>
  <si>
    <t>essence</t>
  </si>
  <si>
    <t>butane</t>
  </si>
  <si>
    <t>gpl</t>
  </si>
  <si>
    <t>mazout</t>
  </si>
  <si>
    <t>diesel/gazole</t>
  </si>
  <si>
    <t>PL1</t>
  </si>
  <si>
    <t>PL2</t>
  </si>
  <si>
    <t>G1</t>
  </si>
  <si>
    <t>G2</t>
  </si>
  <si>
    <t>G3</t>
  </si>
  <si>
    <t>D1</t>
  </si>
  <si>
    <t>D2</t>
  </si>
  <si>
    <t>D3</t>
  </si>
  <si>
    <t>E1</t>
  </si>
  <si>
    <t>E2</t>
  </si>
  <si>
    <t>EP1</t>
  </si>
  <si>
    <t>EP2</t>
  </si>
  <si>
    <t>EO1</t>
  </si>
  <si>
    <t>SC1</t>
  </si>
  <si>
    <t>SC2</t>
  </si>
  <si>
    <t>FO1</t>
  </si>
  <si>
    <t>FO2</t>
  </si>
  <si>
    <t>FO3</t>
  </si>
  <si>
    <t>FO4</t>
  </si>
  <si>
    <t>Gasoline (Essence)</t>
  </si>
  <si>
    <t>Potential type</t>
  </si>
  <si>
    <t>Kerosene (Pétrole Lampant)</t>
  </si>
  <si>
    <t>Diesel (Gasoil/Gazole)</t>
  </si>
  <si>
    <t>Essence</t>
  </si>
  <si>
    <t>Premium Gasoline  (Super Carburant)</t>
  </si>
  <si>
    <t>Others (fuel oil/mazout)</t>
  </si>
  <si>
    <t>Name</t>
  </si>
  <si>
    <t>Bouteilles GPL vendues (38, 12,5, 9, 6, 2,7kg)</t>
  </si>
  <si>
    <t xml:space="preserve">Consommations annuelles de GPL </t>
  </si>
  <si>
    <t>Ventes de petrole</t>
  </si>
  <si>
    <t>Ventes de gasoil</t>
  </si>
  <si>
    <t>Diesel autres</t>
  </si>
  <si>
    <t>Essence ordinaire + pirogue + super carburant (assuming pirogue =approx. ordinaire)</t>
  </si>
  <si>
    <t>Approx. assuming that super+ordinaire+pirogue=essence</t>
  </si>
  <si>
    <t>Ventes d'essence (pirogue seulement?)</t>
  </si>
  <si>
    <t>Ventes de super</t>
  </si>
  <si>
    <t>FO (non SENELEC)</t>
  </si>
  <si>
    <t>FO (inc. SENELEC)</t>
  </si>
  <si>
    <t>FO 180</t>
  </si>
  <si>
    <t>FO 380 SENELEC</t>
  </si>
  <si>
    <t>FO 380 SENELEC/TOBENE</t>
  </si>
  <si>
    <t>FO 380 SENELEC/CONTOUR</t>
  </si>
  <si>
    <t>FO 380 KARPOWER</t>
  </si>
  <si>
    <t>FO 380 AUTRES</t>
  </si>
  <si>
    <t>Source</t>
  </si>
  <si>
    <t>Demande de donnés</t>
  </si>
  <si>
    <t>https://inis.iaea.org/collection/NCLCollectionStore/_Public/24/027/24027663.pdf</t>
  </si>
  <si>
    <t>BCEAO - Direction de la Statistique</t>
  </si>
  <si>
    <t>Ventes mensuelles 2022</t>
  </si>
  <si>
    <t>BCEAO - Ministere de l'energie</t>
  </si>
  <si>
    <t>Demande de donnés 2015-2021, Ventes mensuelles 2022</t>
  </si>
  <si>
    <t>BCEAO - Ministete de l'energie et des minnes</t>
  </si>
  <si>
    <t>Units</t>
  </si>
  <si>
    <t>liters 25°C</t>
  </si>
  <si>
    <t>tonnes</t>
  </si>
  <si>
    <t>Tonnes/m3 noirs/blancs</t>
  </si>
  <si>
    <t>liters 25C</t>
  </si>
  <si>
    <t>tonnes de GPL</t>
  </si>
  <si>
    <t>autres</t>
  </si>
  <si>
    <t>Senegal</t>
  </si>
  <si>
    <t>miss</t>
  </si>
  <si>
    <t>https://www.engineeringtoolbox.com/fuels-densities-specific-volumes-d_166.html</t>
  </si>
  <si>
    <t>pirogue+ordinaire+super=essence(bc)</t>
  </si>
  <si>
    <t>tonne</t>
  </si>
  <si>
    <t>m3 a 25C</t>
  </si>
  <si>
    <t>m3 a 15C</t>
  </si>
  <si>
    <t>liters a 25C</t>
  </si>
  <si>
    <t>Density (kg/m3) @15°C</t>
  </si>
  <si>
    <t>pirogue=essence(bc)-ordinaire-super</t>
  </si>
  <si>
    <t>Liquid Butane</t>
  </si>
  <si>
    <t>Super carburant</t>
  </si>
  <si>
    <t>Essence Ordinaire</t>
  </si>
  <si>
    <t>Essence pirogue</t>
  </si>
  <si>
    <t>Pétrole Lampant</t>
  </si>
  <si>
    <t>Gasoil</t>
  </si>
  <si>
    <t>r</t>
  </si>
  <si>
    <t>h</t>
  </si>
  <si>
    <t>vol (m3)</t>
  </si>
  <si>
    <t>peso kg</t>
  </si>
  <si>
    <t>density (kg/m3)</t>
  </si>
  <si>
    <t>http://www.avd-monde.org/wp-content/uploads/2017/12/Peg-Le-Sngal-rapport-final.pdf</t>
  </si>
  <si>
    <t>https://www.bioenergy-lamnet.org/database/energy/toe.html</t>
  </si>
  <si>
    <t>%ktep</t>
  </si>
  <si>
    <t>ktep</t>
  </si>
  <si>
    <t>t/ktep</t>
  </si>
  <si>
    <t>petrole lampant</t>
  </si>
  <si>
    <t>49.5 MJ/kg</t>
  </si>
  <si>
    <t>charbon mineral</t>
  </si>
  <si>
    <t>charbon de bois</t>
  </si>
  <si>
    <t>1 toe = 41.868 gigajoules (GJ)</t>
  </si>
  <si>
    <t>bois de feu</t>
  </si>
  <si>
    <t>electricite</t>
  </si>
  <si>
    <t>1000 MJ = 1 GJ</t>
  </si>
  <si>
    <t>autres prod petroliers</t>
  </si>
  <si>
    <t>fieul</t>
  </si>
  <si>
    <t>carbureacteur</t>
  </si>
  <si>
    <t>m3</t>
  </si>
  <si>
    <t>AUTRES PRODUITS PETROLIERS</t>
  </si>
  <si>
    <t>F/Kg</t>
  </si>
  <si>
    <t>F/l</t>
  </si>
  <si>
    <t>CONSUMPTION BASKETS USING MARKET PRICES 2022 (million FCFA)</t>
  </si>
  <si>
    <t>Produits</t>
  </si>
  <si>
    <t>BUTANE</t>
  </si>
  <si>
    <t>PETROLE</t>
  </si>
  <si>
    <t>GASOIL</t>
  </si>
  <si>
    <t>ESSENCE</t>
  </si>
  <si>
    <t>SUPER</t>
  </si>
  <si>
    <t>DIESEL AUTRES</t>
  </si>
  <si>
    <t>GASOIL SENELEC</t>
  </si>
  <si>
    <t>JET LOCAL</t>
  </si>
  <si>
    <t>JET INTERNATIONAL</t>
  </si>
  <si>
    <t>Market prices 2022</t>
  </si>
  <si>
    <t>INDUSTRIAL SECTOR</t>
  </si>
  <si>
    <t>HOUSEHOLDS</t>
  </si>
  <si>
    <t>ALL THE ECONOMY</t>
  </si>
  <si>
    <t>Débouchés</t>
  </si>
  <si>
    <t>Réseau</t>
  </si>
  <si>
    <t>Cons.</t>
  </si>
  <si>
    <t>Total</t>
  </si>
  <si>
    <t xml:space="preserve">Soutes </t>
  </si>
  <si>
    <t>Ordinaire</t>
  </si>
  <si>
    <t>Pirogue</t>
  </si>
  <si>
    <t>Butane</t>
  </si>
  <si>
    <t>Petrole</t>
  </si>
  <si>
    <t>Essence ordinaire</t>
  </si>
  <si>
    <t>Super</t>
  </si>
  <si>
    <t>Cumul 2022</t>
  </si>
  <si>
    <t>Avg. comp. 2022</t>
  </si>
  <si>
    <t>Legend:</t>
  </si>
  <si>
    <t>These numbers come from Ventes mensuelles.xlsx</t>
  </si>
  <si>
    <r>
      <t>These numbers come from demande de données.xlsx, converted from liters to m</t>
    </r>
    <r>
      <rPr>
        <vertAlign val="superscript"/>
        <sz val="11"/>
        <color rgb="FFFF0000"/>
        <rFont val="Calibri"/>
        <family val="2"/>
        <scheme val="minor"/>
      </rPr>
      <t>3</t>
    </r>
  </si>
  <si>
    <t>Prix au consommateur 2022</t>
  </si>
  <si>
    <t>litros</t>
  </si>
  <si>
    <t>These numbers are estimations, interpolations and extrapolations:</t>
  </si>
  <si>
    <t>Prix after reform (2023)</t>
  </si>
  <si>
    <t>valor</t>
  </si>
  <si>
    <t>Extrapolations before the first data point/after the last data point use the closest growth rate</t>
  </si>
  <si>
    <t>valor millones FCFA</t>
  </si>
  <si>
    <t>Interpolations between years with data are linear</t>
  </si>
  <si>
    <t>Divisions réseaux/consommateurs before 2021 are based on the avg. participations during 2022.</t>
  </si>
  <si>
    <t>Assumptions:</t>
  </si>
  <si>
    <t>Houehold weights for Fuel</t>
  </si>
  <si>
    <t>We will not take into account Autres produits petroliers</t>
  </si>
  <si>
    <t>(In the survey, we have information on "fuel", "pétrole lampant" and "butane")</t>
  </si>
  <si>
    <t>Réseau = firms, consommateurs = households</t>
  </si>
  <si>
    <t>Gasoil soutes = firms</t>
  </si>
  <si>
    <t>Butane is assumed to be demanded only by households</t>
  </si>
  <si>
    <t>Essence pirogue to firms</t>
  </si>
  <si>
    <t>Industry weights</t>
  </si>
  <si>
    <t>Essence ordinaire to households</t>
  </si>
  <si>
    <t xml:space="preserve">use "$path_ceq/2_pre_sim/08_subsidies_fuel.dta", clear </t>
  </si>
  <si>
    <t>Variable</t>
  </si>
  <si>
    <t>Obs</t>
  </si>
  <si>
    <t>Mean</t>
  </si>
  <si>
    <t>Std. dev.</t>
  </si>
  <si>
    <t>Min</t>
  </si>
  <si>
    <t>Max</t>
  </si>
  <si>
    <t>q_fuel</t>
  </si>
  <si>
    <t>q_pet_lamp</t>
  </si>
  <si>
    <t>kg</t>
  </si>
  <si>
    <t>q_butane</t>
  </si>
  <si>
    <t>q_total</t>
  </si>
  <si>
    <t>Proporciones si me quedo solo con los que tienen participación de más de un combustible</t>
  </si>
  <si>
    <t>Growth rates</t>
  </si>
  <si>
    <t>/\ /\ /\ We assume that pirogue's growth rate is the same as ordinaire before 2022</t>
  </si>
  <si>
    <t>Quantities 2022</t>
  </si>
  <si>
    <t>Shares Fuels</t>
  </si>
  <si>
    <t>Quantities 2019</t>
  </si>
  <si>
    <t>Uprating parameters</t>
  </si>
  <si>
    <t>Industry</t>
  </si>
  <si>
    <t>Households</t>
  </si>
  <si>
    <t>Household gasoline</t>
  </si>
  <si>
    <t>Industry fuel mix</t>
  </si>
  <si>
    <t>2023 Price structure (FCFA)</t>
  </si>
  <si>
    <t>International price per ton- 25⁰C</t>
  </si>
  <si>
    <t>Conversion factor</t>
  </si>
  <si>
    <t>Raw price per m3  25⁰C (2)</t>
  </si>
  <si>
    <t>Droits de porte (1)</t>
  </si>
  <si>
    <t>Taxe specifique (1)</t>
  </si>
  <si>
    <t>Marge distributeur (1)</t>
  </si>
  <si>
    <t>DONT: perequation transport (1)</t>
  </si>
  <si>
    <t>TVA (1)</t>
  </si>
  <si>
    <t>Marge Detaillant (1)</t>
  </si>
  <si>
    <t xml:space="preserve">Prix de vente au conssumateur </t>
  </si>
  <si>
    <t>International prices (est Jan 2023)</t>
  </si>
  <si>
    <t>prix par bouteille</t>
  </si>
  <si>
    <t>prix par kg butane</t>
  </si>
  <si>
    <t>prix par TM</t>
  </si>
  <si>
    <t>Subsidized prices baseline</t>
  </si>
  <si>
    <t>prix par kg</t>
  </si>
  <si>
    <t>Prix ex-distributeur</t>
  </si>
  <si>
    <t>marge grossiste</t>
  </si>
  <si>
    <t>marge detaillant</t>
  </si>
  <si>
    <t>prix au consommateur</t>
  </si>
  <si>
    <t>Subsidized prices reform</t>
  </si>
  <si>
    <t xml:space="preserve">Notes: (1) Cost structure to defined prices obtained from tables for Canal TTC of the the price structure report of April 2022.  The cost structure of Butane corresponds to  9Kg. </t>
  </si>
  <si>
    <t>`</t>
  </si>
  <si>
    <t>(2)  Market prices include the international prices plus the International and domestic fees of June 2022. Subsidized prices for both before and after the reform updated the data from PPI considéré reported by the cost structure of July 2022 using the increases nobserved in super carburant (July 2022 and January 2023) and  gasoil (January of 2023)</t>
  </si>
  <si>
    <t>Note: we take prices of Juin 2022 and increase the PPP considere of fuel such that the conssumer price increase up to 890</t>
  </si>
  <si>
    <t xml:space="preserve">Validation info on average cost </t>
  </si>
  <si>
    <t>https://www.sikafinance.com/marches/senegal-des-le-5-juin-le-prix-du-carburant-super-flambe-de-115-fcfa_34969</t>
  </si>
  <si>
    <t>https://www.sudquotidien.sn/ciblage-des-subventions-sociales-le-gouvernement-evoque-une-situation-internationale-defavorable/</t>
  </si>
  <si>
    <t>Source: Structure_des_prix_PP_samedi_7_janvier_2023_VF.pdf</t>
  </si>
  <si>
    <t>2019 Price structure (CFAF)</t>
  </si>
  <si>
    <t>Taking into account that the survey was conducted between 2018 and 2019, so sometimes we take into account 2018 info and weighted by the number of months in the survey</t>
  </si>
  <si>
    <t>Raw price per m3  0⁰C (2)</t>
  </si>
  <si>
    <t>DON’T: prequation transport (1)</t>
  </si>
  <si>
    <t>International prices survey year (2019)</t>
  </si>
  <si>
    <t>Ad-hoc correction given the change below</t>
  </si>
  <si>
    <t>Subsidized prices survey year (2019)</t>
  </si>
  <si>
    <t>Additional change to consider that before June was 595. BEFORE IT SAID 665 BUT ITS 655</t>
  </si>
  <si>
    <t>Pétrole</t>
  </si>
  <si>
    <t xml:space="preserve">Notes: (1) Cost structure to defined prices obtained from tables for Canal TTC of the the price structure report of April 2019.  The cost structure of Butane corresponds to  9Kg. </t>
  </si>
  <si>
    <t xml:space="preserve">(2)  Market prices include the international prices plus the International and domestic fees reported in the cost structure of 2019. </t>
  </si>
  <si>
    <t>2022 Price structure (FCFA)</t>
  </si>
  <si>
    <t>International prices (est Dec 2022)</t>
  </si>
  <si>
    <t>Avg. price 2022 (according to the policy note)</t>
  </si>
  <si>
    <t>Petra</t>
  </si>
  <si>
    <t>Average cost for non domestic subscribers</t>
  </si>
  <si>
    <t>Weights</t>
  </si>
  <si>
    <t xml:space="preserve">Production Cost </t>
  </si>
  <si>
    <t>Average Tariff</t>
  </si>
  <si>
    <t>Mwh Sold to firms</t>
  </si>
  <si>
    <t>Tariffs</t>
  </si>
  <si>
    <t>Tension</t>
  </si>
  <si>
    <t>Category</t>
  </si>
  <si>
    <t>Cost_reform</t>
  </si>
  <si>
    <t>Cost_2019</t>
  </si>
  <si>
    <t>Revenues_Kwh_2021</t>
  </si>
  <si>
    <t>growth_rate_baseline_reform</t>
  </si>
  <si>
    <t>Revenues_Kwh_reform</t>
  </si>
  <si>
    <t>Gwh_sold</t>
  </si>
  <si>
    <t>Weights_producers</t>
  </si>
  <si>
    <t>Weights_producers_by_tension_</t>
  </si>
  <si>
    <t>Gwh_sold_IMF</t>
  </si>
  <si>
    <t>Weights_producers_IMF</t>
  </si>
  <si>
    <t>Sales MWh 2021</t>
  </si>
  <si>
    <t>2022 BASELINE</t>
  </si>
  <si>
    <t>2022 REFORM</t>
  </si>
  <si>
    <t>Reform (average increases)</t>
  </si>
  <si>
    <t>Reform (Detailed)</t>
  </si>
  <si>
    <t>Low</t>
  </si>
  <si>
    <t>P_PPP</t>
  </si>
  <si>
    <t>Sales MWh 2021 IMF</t>
  </si>
  <si>
    <t>Sales MWh July 2022</t>
  </si>
  <si>
    <t>Sales CFA ('000s) July 2022</t>
  </si>
  <si>
    <t>N. of subscribers ('000) July 2022</t>
  </si>
  <si>
    <t>Sales CFA Mlln 2021 IMF</t>
  </si>
  <si>
    <t xml:space="preserve">Sales (GWh) 2019 </t>
  </si>
  <si>
    <t>Sales (GWh) 2022</t>
  </si>
  <si>
    <t>Production Cost 2019</t>
  </si>
  <si>
    <t>Production Cost 2022</t>
  </si>
  <si>
    <t>Price per Kwh 2019-2022</t>
  </si>
  <si>
    <t>Price per Kwh 2019-2022 using IMF</t>
  </si>
  <si>
    <t>Weights (IMF 2021)</t>
  </si>
  <si>
    <t>Price per Kwh 2019</t>
  </si>
  <si>
    <t>Low tension</t>
  </si>
  <si>
    <t>P_PMP</t>
  </si>
  <si>
    <t>Low Voltage</t>
  </si>
  <si>
    <t>Medium tension</t>
  </si>
  <si>
    <t>Medium</t>
  </si>
  <si>
    <t>P_PGP</t>
  </si>
  <si>
    <t>PPP</t>
  </si>
  <si>
    <t>High tension</t>
  </si>
  <si>
    <t>High</t>
  </si>
  <si>
    <t>W_PPP</t>
  </si>
  <si>
    <t>PMP</t>
  </si>
  <si>
    <t>All (IMF 2021 weights)</t>
  </si>
  <si>
    <t>All</t>
  </si>
  <si>
    <t>W_PMP</t>
  </si>
  <si>
    <t>All (Petra weights)</t>
  </si>
  <si>
    <t>EP</t>
  </si>
  <si>
    <t>Note: Low tension only considers tariffs sold to producers</t>
  </si>
  <si>
    <t>TCU - TCU</t>
  </si>
  <si>
    <t>PGP</t>
  </si>
  <si>
    <t>Si costo baja y precios cons. Suben, subsidio se vuelve impuesto</t>
  </si>
  <si>
    <t>TG - TG</t>
  </si>
  <si>
    <t>Medium Voltage</t>
  </si>
  <si>
    <t>Calcular con promedios simples de los niveles de tension</t>
  </si>
  <si>
    <t>TLU - TLU</t>
  </si>
  <si>
    <t>High Voltage</t>
  </si>
  <si>
    <t>CER</t>
  </si>
  <si>
    <t>HAUTE TENSION</t>
  </si>
  <si>
    <t>tariffs21</t>
  </si>
  <si>
    <t xml:space="preserve"> Special clientele </t>
  </si>
  <si>
    <t xml:space="preserve"> TCU - TCU </t>
  </si>
  <si>
    <t>Change: We were initially using the % changes, but now we use the mean increment in FCFA as reported in the note above.</t>
  </si>
  <si>
    <t xml:space="preserve"> TG - TG </t>
  </si>
  <si>
    <t xml:space="preserve"> TLU - TLU </t>
  </si>
  <si>
    <t xml:space="preserve"> .CER </t>
  </si>
  <si>
    <t>Por acá (datos Petra) debe estar el 95+*133 para calcular el DGP de 114 entre horas pico y horas valle</t>
  </si>
  <si>
    <t xml:space="preserve"> Ep </t>
  </si>
  <si>
    <t xml:space="preserve"> P_PGP </t>
  </si>
  <si>
    <t xml:space="preserve"> P_DGP </t>
  </si>
  <si>
    <t>Jan</t>
  </si>
  <si>
    <t>Months with data in 2021</t>
  </si>
  <si>
    <t>Weights from 2021 IMF</t>
  </si>
  <si>
    <t>Weighted average</t>
  </si>
  <si>
    <t>W_DMP</t>
  </si>
  <si>
    <t>MOYENNE TENSION</t>
  </si>
  <si>
    <t>Total price</t>
  </si>
  <si>
    <t>Legends</t>
  </si>
  <si>
    <t>policies</t>
  </si>
  <si>
    <t>Yaxis</t>
  </si>
  <si>
    <t>YaxisAI</t>
  </si>
  <si>
    <t>Scenarios</t>
  </si>
  <si>
    <t>ScenarioN</t>
  </si>
  <si>
    <t>ScenColFuels</t>
  </si>
  <si>
    <t>Xaxis</t>
  </si>
  <si>
    <t>XaxisLabel</t>
  </si>
  <si>
    <t>ColNames</t>
  </si>
  <si>
    <t>ColCodes</t>
  </si>
  <si>
    <t>Energies</t>
  </si>
  <si>
    <t>EnergiesN</t>
  </si>
  <si>
    <t>Electricity VAT</t>
  </si>
  <si>
    <t>Percentage of population who pays VAT on electricity</t>
  </si>
  <si>
    <t>Percentage of total tax</t>
  </si>
  <si>
    <t>C</t>
  </si>
  <si>
    <t>Bottom decile</t>
  </si>
  <si>
    <t>Deciles of Per Capita Disposable Income</t>
  </si>
  <si>
    <t>Electricity Subsidies</t>
  </si>
  <si>
    <t>Electricity Total</t>
  </si>
  <si>
    <t>Fuel VAT</t>
  </si>
  <si>
    <t>Fuel Subsidies</t>
  </si>
  <si>
    <t>Fuel Total</t>
  </si>
  <si>
    <t>All Policies</t>
  </si>
  <si>
    <t>Electricity</t>
  </si>
  <si>
    <t>elec</t>
  </si>
  <si>
    <t>Tranche1</t>
  </si>
  <si>
    <t>Percentage of population receiving electricity subsidies</t>
  </si>
  <si>
    <t>Percentage of total subsidy</t>
  </si>
  <si>
    <t>Reform 1</t>
  </si>
  <si>
    <t>F</t>
  </si>
  <si>
    <t>VAT</t>
  </si>
  <si>
    <t>Direct</t>
  </si>
  <si>
    <t>vat_elec</t>
  </si>
  <si>
    <t>subsidy_elec_direct</t>
  </si>
  <si>
    <t>vat_fuel</t>
  </si>
  <si>
    <t>subsidy_fuel_direct</t>
  </si>
  <si>
    <t>all_tax</t>
  </si>
  <si>
    <t>Fuel</t>
  </si>
  <si>
    <t>fuel</t>
  </si>
  <si>
    <t>Tranche2</t>
  </si>
  <si>
    <t>Percentage of Disposable Income</t>
  </si>
  <si>
    <t>Percentage of total benefits</t>
  </si>
  <si>
    <t>Reform 2</t>
  </si>
  <si>
    <t>I</t>
  </si>
  <si>
    <t>Indirect</t>
  </si>
  <si>
    <t>Subsidies</t>
  </si>
  <si>
    <t>subsidy_elec_indirect</t>
  </si>
  <si>
    <t>subsidy_elec</t>
  </si>
  <si>
    <t>subsidy_fuel_indirect</t>
  </si>
  <si>
    <t>subsidy_fuel</t>
  </si>
  <si>
    <t>all_subs</t>
  </si>
  <si>
    <t>Tranche3</t>
  </si>
  <si>
    <t>Reform 3</t>
  </si>
  <si>
    <t>L</t>
  </si>
  <si>
    <t>all_elec</t>
  </si>
  <si>
    <t>all_fuel</t>
  </si>
  <si>
    <t>all_policies</t>
  </si>
  <si>
    <t>Marginal Contribution on Poverty</t>
  </si>
  <si>
    <t>Marginal Contribution on Inequality</t>
  </si>
  <si>
    <t>Total vat collected</t>
  </si>
  <si>
    <t>Total subsidies</t>
  </si>
  <si>
    <t>MC to poverty headcount (percentage points)</t>
  </si>
  <si>
    <t>Top decile</t>
  </si>
  <si>
    <t>MC to inequality (Gini points)</t>
  </si>
  <si>
    <t>Total tax/subsidy (CFA bn)</t>
  </si>
  <si>
    <t>Total tax/subsidy as % of GDP</t>
  </si>
  <si>
    <t>Percentage of population who pays VAT on fuel</t>
  </si>
  <si>
    <t>Percentage of population receiving fuel subsidies</t>
  </si>
  <si>
    <t>scenario</t>
  </si>
  <si>
    <t>vatexempt_tra</t>
  </si>
  <si>
    <t>tariffs_pre_t1</t>
  </si>
  <si>
    <t>tariffs_pre_t2</t>
  </si>
  <si>
    <t>tariffs_pre_t3</t>
  </si>
  <si>
    <t>tranche1_pre</t>
  </si>
  <si>
    <t>tranche2_pre</t>
  </si>
  <si>
    <t>tariffs_post_t1</t>
  </si>
  <si>
    <t>tariffs_post_t2</t>
  </si>
  <si>
    <t>tariffs_post_t3</t>
  </si>
  <si>
    <t>tranche1_post</t>
  </si>
  <si>
    <t>tranche2_post</t>
  </si>
  <si>
    <t>cost</t>
  </si>
  <si>
    <t>dmp_pre_tar_t1</t>
  </si>
  <si>
    <t>dmp_pre_tar_t2</t>
  </si>
  <si>
    <t>dmp_pre_tar_t3</t>
  </si>
  <si>
    <t>dmp_pre_tra_t1</t>
  </si>
  <si>
    <t>dmp_pre_tra_t2</t>
  </si>
  <si>
    <t>dmp_post_tar_t1</t>
  </si>
  <si>
    <t>dmp_post_tar_t2</t>
  </si>
  <si>
    <t>dmp_post_tar_t3</t>
  </si>
  <si>
    <t>dmp_post_tra_t1</t>
  </si>
  <si>
    <t>dmp_post_tra_t2</t>
  </si>
  <si>
    <t>DGP_tar</t>
  </si>
  <si>
    <t>cost_firms</t>
  </si>
  <si>
    <t>tar_firms</t>
  </si>
  <si>
    <t>subsidy_firms</t>
  </si>
  <si>
    <t>share_elec_io</t>
  </si>
  <si>
    <t>mp_butane</t>
  </si>
  <si>
    <t>mp_pet_lamp</t>
  </si>
  <si>
    <t>mp_gasoil</t>
  </si>
  <si>
    <t>mp_ordinaire</t>
  </si>
  <si>
    <t>mp_pirogue</t>
  </si>
  <si>
    <t>mp_super</t>
  </si>
  <si>
    <t>mp_fuel</t>
  </si>
  <si>
    <t>mp_industryfuel</t>
  </si>
  <si>
    <t>sp_butane</t>
  </si>
  <si>
    <t>sp_pet_lamp</t>
  </si>
  <si>
    <t>sp_gasoil</t>
  </si>
  <si>
    <t>sp_ordinaire</t>
  </si>
  <si>
    <t>sp_pirogue</t>
  </si>
  <si>
    <t>sp_super</t>
  </si>
  <si>
    <t>sp_fuel</t>
  </si>
  <si>
    <t>sp_industryfuel</t>
  </si>
  <si>
    <t>margin_detaillant</t>
  </si>
  <si>
    <t>popgrowth_20</t>
  </si>
  <si>
    <t>popgrowth_21</t>
  </si>
  <si>
    <t>popgrowth_22</t>
  </si>
  <si>
    <t>inf_20</t>
  </si>
  <si>
    <t>inf_21</t>
  </si>
  <si>
    <t>inf_22</t>
  </si>
  <si>
    <t>elec_uprating</t>
  </si>
  <si>
    <t>gdp_22</t>
  </si>
  <si>
    <t>iwf_butane</t>
  </si>
  <si>
    <t>iwf_pet_lamp</t>
  </si>
  <si>
    <t>iwf_gasoil</t>
  </si>
  <si>
    <t>iwf_ordinaire</t>
  </si>
  <si>
    <t>iwf_pirogue</t>
  </si>
  <si>
    <t>iwf_super</t>
  </si>
  <si>
    <t>hwf_gasoil</t>
  </si>
  <si>
    <t>hwf_ordinaire</t>
  </si>
  <si>
    <t>hwf_pirogue</t>
  </si>
  <si>
    <t>hwf_super</t>
  </si>
  <si>
    <t>mp19_butane</t>
  </si>
  <si>
    <t>mp19_pet_lamp</t>
  </si>
  <si>
    <t>mp19_gasoil</t>
  </si>
  <si>
    <t>mp19_ordinaire</t>
  </si>
  <si>
    <t>mp19_pirogue</t>
  </si>
  <si>
    <t>mp19_super</t>
  </si>
  <si>
    <t>sp19_butane</t>
  </si>
  <si>
    <t>sp19_pet_lamp</t>
  </si>
  <si>
    <t>sp19_gasoil</t>
  </si>
  <si>
    <t>sp19_ordinaire</t>
  </si>
  <si>
    <t>sp19_pirogue</t>
  </si>
  <si>
    <t>sp19_super</t>
  </si>
  <si>
    <t>sp19_fuel</t>
  </si>
  <si>
    <t>sp19_industryfuel</t>
  </si>
  <si>
    <t>butane_uprating</t>
  </si>
  <si>
    <t>pet_lamp_uprating</t>
  </si>
  <si>
    <t>gasoil_uprating</t>
  </si>
  <si>
    <t>ordinaire_uprating</t>
  </si>
  <si>
    <t>pirogue_uprating</t>
  </si>
  <si>
    <t>super_uprating</t>
  </si>
  <si>
    <t>fuel_uprating</t>
  </si>
  <si>
    <t>industryfuel_uprating</t>
  </si>
  <si>
    <t>butane_sub_svy</t>
  </si>
  <si>
    <t>pet_lamp_sub_svy</t>
  </si>
  <si>
    <t>gasoil_sub_svy</t>
  </si>
  <si>
    <t>ordinaire_sub_svy</t>
  </si>
  <si>
    <t>pirogue_sub_svy</t>
  </si>
  <si>
    <t>super_sub_svy</t>
  </si>
  <si>
    <t>fuel_sub_svy</t>
  </si>
  <si>
    <t>industryfuel_sub_svy</t>
  </si>
  <si>
    <t>cost_firms_svy</t>
  </si>
  <si>
    <t>tar_firms_svy</t>
  </si>
  <si>
    <t>share_elec_io_base</t>
  </si>
  <si>
    <t>Bimonthly kWh Threshold</t>
  </si>
  <si>
    <t>Tariff as % of cost</t>
  </si>
  <si>
    <t>VAT rate</t>
  </si>
  <si>
    <t>0-300</t>
  </si>
  <si>
    <t>300-500</t>
  </si>
  <si>
    <t>500+</t>
  </si>
  <si>
    <t>0-150</t>
  </si>
  <si>
    <t>150-250</t>
  </si>
  <si>
    <t>250+</t>
  </si>
  <si>
    <t>Baseline 1</t>
  </si>
  <si>
    <t>Baseline 2</t>
  </si>
  <si>
    <t>Baseline 3</t>
  </si>
  <si>
    <t>Household Gasoline</t>
  </si>
  <si>
    <t>Industry Fuel Mix</t>
  </si>
  <si>
    <t>elasticidades</t>
  </si>
  <si>
    <t>gasolina</t>
  </si>
  <si>
    <t>y/g</t>
  </si>
  <si>
    <t>p/y</t>
  </si>
  <si>
    <t>pobreza</t>
  </si>
  <si>
    <t>yngreso</t>
  </si>
  <si>
    <t>To do list:</t>
  </si>
  <si>
    <t>En electricity, actualizar la tarifa promedio pagada por las empresas (no residential users) para cada tension level.</t>
  </si>
  <si>
    <t>Insumo: tabla de consumo en MwH provista por IMF llamada IMFrequest.docx</t>
  </si>
  <si>
    <t>docs/electricity</t>
  </si>
  <si>
    <t xml:space="preserve">Usar pesos y data de Petra, y el IMF Request.docx </t>
  </si>
  <si>
    <t>do file: scripts/pre analysis/Calibration prices ventes rev</t>
  </si>
  <si>
    <t>Usar data de Petra (que no separa tranches explícito) hasta donde posible, y tomar datos IMF para esa distribución interna</t>
  </si>
  <si>
    <t xml:space="preserve">Buscar en CSRE </t>
  </si>
  <si>
    <t>Changes to VAT policy tranche 3</t>
  </si>
  <si>
    <t>En Word, hacer tabla y bullets de supuestos y fuentes de información de lo que se hizo</t>
  </si>
  <si>
    <t>Uprating y pesos con lo que hablamos hoy metidos en la tool (reform 1) y en el código</t>
  </si>
  <si>
    <t>Pesos fijos y si algo hacemos varias tool con pesos distintos</t>
  </si>
  <si>
    <t xml:space="preserve">Para pensarlo: </t>
  </si>
  <si>
    <t>Irnos a 2018</t>
  </si>
  <si>
    <t>El uprating es el weighted average de los uprating individuales</t>
  </si>
  <si>
    <t>Hacer fuel &amp; electricity al tiempo? Porque los efectos no son aditivos</t>
  </si>
  <si>
    <t>Steps:</t>
  </si>
  <si>
    <t>Fuel:</t>
  </si>
  <si>
    <t>1. Uprating de cantidades</t>
  </si>
  <si>
    <t>2. El grossing-up corregido usando el dato con precios de 2019 (que ya debe estar)</t>
  </si>
  <si>
    <t>3. Modificar el código de efectos indirectos fuels para usar los pesos que calculamos</t>
  </si>
  <si>
    <t xml:space="preserve">Recalcular las cantidades del composite price usando pesos: revisar el do file 08_fuel_subsidies de pre_sim para </t>
  </si>
  <si>
    <t>Price and cost of fuel products, FCFA 2022</t>
  </si>
  <si>
    <t>Subsidized price</t>
  </si>
  <si>
    <t>Market price</t>
  </si>
  <si>
    <t>Subsidy as % of market price</t>
  </si>
  <si>
    <r>
      <t xml:space="preserve">LPG </t>
    </r>
    <r>
      <rPr>
        <i/>
        <sz val="11"/>
        <color theme="1"/>
        <rFont val="Calibri"/>
        <family val="2"/>
        <scheme val="minor"/>
      </rPr>
      <t>(Butane)</t>
    </r>
  </si>
  <si>
    <r>
      <t xml:space="preserve">Kerosene </t>
    </r>
    <r>
      <rPr>
        <i/>
        <sz val="11"/>
        <color theme="1"/>
        <rFont val="Calibri"/>
        <family val="2"/>
        <scheme val="minor"/>
      </rPr>
      <t>(Pétrole Lampant)</t>
    </r>
  </si>
  <si>
    <r>
      <t xml:space="preserve">Diesel </t>
    </r>
    <r>
      <rPr>
        <i/>
        <sz val="11"/>
        <color theme="1"/>
        <rFont val="Calibri"/>
        <family val="2"/>
        <scheme val="minor"/>
      </rPr>
      <t>(Gasoil)</t>
    </r>
  </si>
  <si>
    <r>
      <rPr>
        <sz val="11"/>
        <color theme="1"/>
        <rFont val="Calibri"/>
        <family val="2"/>
        <scheme val="minor"/>
      </rPr>
      <t>Regular Gasoline</t>
    </r>
    <r>
      <rPr>
        <i/>
        <sz val="11"/>
        <color theme="1"/>
        <rFont val="Calibri"/>
        <family val="2"/>
        <scheme val="minor"/>
      </rPr>
      <t xml:space="preserve"> (Essence Ordinaire)</t>
    </r>
  </si>
  <si>
    <r>
      <rPr>
        <sz val="11"/>
        <color theme="1"/>
        <rFont val="Calibri"/>
        <family val="2"/>
        <scheme val="minor"/>
      </rPr>
      <t>Boat Gasoline</t>
    </r>
    <r>
      <rPr>
        <i/>
        <sz val="11"/>
        <color theme="1"/>
        <rFont val="Calibri"/>
        <family val="2"/>
        <scheme val="minor"/>
      </rPr>
      <t xml:space="preserve"> (Essence Pirogue)</t>
    </r>
  </si>
  <si>
    <r>
      <rPr>
        <sz val="11"/>
        <color theme="1"/>
        <rFont val="Calibri"/>
        <family val="2"/>
        <scheme val="minor"/>
      </rPr>
      <t xml:space="preserve">Premium Gasoline </t>
    </r>
    <r>
      <rPr>
        <i/>
        <sz val="11"/>
        <color theme="1"/>
        <rFont val="Calibri"/>
        <family val="2"/>
        <scheme val="minor"/>
      </rPr>
      <t xml:space="preserve"> (Super Carburant)</t>
    </r>
  </si>
  <si>
    <t>Note: Price of gasoline (fuel) is a weighted average of fuels using household weights from the 'uprating pmts' sheet.</t>
  </si>
  <si>
    <t>Electricity Products, FCFA 2022</t>
  </si>
  <si>
    <t>Households Medium Voltage (Domestique Moyenne Puissance)</t>
  </si>
  <si>
    <t>Households Postpaid High Voltage (Domestique Grande Puissance)</t>
  </si>
  <si>
    <t xml:space="preserve">Production sector </t>
  </si>
  <si>
    <t>Production cost energy for firms</t>
  </si>
  <si>
    <t>Average tariff for firms</t>
  </si>
  <si>
    <t>Subsidy rate as percentage or mkt price</t>
  </si>
  <si>
    <t>% of electricity IO sector</t>
  </si>
  <si>
    <t>Note: all values are calculated using Petra weights for basse/moyenne/haute tension.</t>
  </si>
  <si>
    <t>Other Parameters</t>
  </si>
  <si>
    <t xml:space="preserve">VAT policy </t>
  </si>
  <si>
    <t>Production Cost Energy Households</t>
  </si>
  <si>
    <t>Margin not subject to TVA</t>
  </si>
  <si>
    <t>Note: VAT is only paid when total consumption falls into tranche 3. The following are the policies that can be simulated  00 = no VAT exemptions; 01= VAT exemption for tranche 1 consumption; 12 VAT exemption for the consumption tranches 1 and 2.</t>
  </si>
  <si>
    <t>Model Parameters</t>
  </si>
  <si>
    <t>Population growth (%)</t>
  </si>
  <si>
    <t>Inflation (%)</t>
  </si>
  <si>
    <t>Inflation 2022-2018</t>
  </si>
  <si>
    <t>Electricity consumption uprating</t>
  </si>
  <si>
    <t>GDP 2022 (Billions FCFA)</t>
  </si>
  <si>
    <t>Fuel Parameters</t>
  </si>
  <si>
    <t>Before:</t>
  </si>
  <si>
    <t xml:space="preserve">Weights </t>
  </si>
  <si>
    <t>Note for the household column: These are shares of "fuel", because "butane" and "pétrole lampant" are accounted separately in the survey.</t>
  </si>
  <si>
    <t>Uprating factors and subsidies% for the grossing-up of indirect effects</t>
  </si>
  <si>
    <t>Market prices 2019</t>
  </si>
  <si>
    <t>Subsidized prices 2019</t>
  </si>
  <si>
    <t>Uprating factor</t>
  </si>
  <si>
    <t>|Subsidy as % of market price in 2019|</t>
  </si>
  <si>
    <t>Electricity Parameters</t>
  </si>
  <si>
    <t>Summary of the Reforms</t>
  </si>
  <si>
    <r>
      <rPr>
        <b/>
        <sz val="11"/>
        <color theme="1"/>
        <rFont val="Calibri"/>
        <family val="2"/>
        <scheme val="minor"/>
      </rPr>
      <t>Reform 1:</t>
    </r>
    <r>
      <rPr>
        <sz val="11"/>
        <color theme="1"/>
        <rFont val="Calibri"/>
        <family val="2"/>
        <scheme val="minor"/>
      </rPr>
      <t xml:space="preserve"> Changes fuel prices and changes electricity tariffs according to décision 2022-54 (that have larger tariffs in general and that converts the subsidy in a tax in the case of firms).</t>
    </r>
  </si>
  <si>
    <r>
      <rPr>
        <b/>
        <sz val="11"/>
        <color theme="1"/>
        <rFont val="Calibri"/>
        <family val="2"/>
        <scheme val="minor"/>
      </rPr>
      <t>Reform 3:</t>
    </r>
    <r>
      <rPr>
        <sz val="11"/>
        <color theme="1"/>
        <rFont val="Calibri"/>
        <family val="2"/>
        <scheme val="minor"/>
      </rPr>
      <t xml:space="preserve"> Very similar to baseline, except that the new Super carburant price is 755, as it was before June 2022. This is to check what Gaby mentioned last week (about evaluating the effect of that past policy). Note: Reform 3 is the situation before the reform and Baseline is the situation after June 2022.</t>
    </r>
  </si>
  <si>
    <t>Electricity reforms</t>
  </si>
  <si>
    <t>Changes since last version:</t>
  </si>
  <si>
    <t>Tariffs from Reform 2 were calculated using percent changes instead of FCFA values.</t>
  </si>
  <si>
    <t>Daniel calculated new values for production cost and average tariffs for firms.</t>
  </si>
  <si>
    <t>Households High Voltage (Domestique Grande Puissance)</t>
  </si>
  <si>
    <t>Fuel reforms</t>
  </si>
  <si>
    <r>
      <rPr>
        <b/>
        <sz val="11"/>
        <color theme="1"/>
        <rFont val="Calibri"/>
        <family val="2"/>
        <scheme val="minor"/>
      </rPr>
      <t>Reform 3</t>
    </r>
    <r>
      <rPr>
        <sz val="11"/>
        <color theme="1"/>
        <rFont val="Calibri"/>
        <family val="2"/>
        <scheme val="minor"/>
      </rPr>
      <t xml:space="preserve"> is equal to Baseline except for Super, whose price is lowered to 755 to simulate the situation before June 2022.</t>
    </r>
  </si>
  <si>
    <r>
      <rPr>
        <b/>
        <sz val="11"/>
        <color theme="1"/>
        <rFont val="Calibri"/>
        <family val="2"/>
        <scheme val="minor"/>
      </rPr>
      <t>Reform 1</t>
    </r>
    <r>
      <rPr>
        <sz val="11"/>
        <color theme="1"/>
        <rFont val="Calibri"/>
        <family val="2"/>
        <scheme val="minor"/>
      </rPr>
      <t xml:space="preserve"> increases prices according to the policy change.</t>
    </r>
  </si>
  <si>
    <t>Market price 2023</t>
  </si>
  <si>
    <t>Main Results</t>
  </si>
  <si>
    <t>Gini Disposable Income</t>
  </si>
  <si>
    <t>_yd_pc_gini__yd_0</t>
  </si>
  <si>
    <t>_inc_all_elec_gini__yd_0</t>
  </si>
  <si>
    <t>Gini (fuel)</t>
  </si>
  <si>
    <t>_inc_all_fuel_gini__yd_0</t>
  </si>
  <si>
    <t>_inc_all_policies_gini__yd_0</t>
  </si>
  <si>
    <t>Poverty (Headcount ratio, %) DY</t>
  </si>
  <si>
    <t>_yd_pc_fgt0__yd_0</t>
  </si>
  <si>
    <t>_inc_all_elec_fgt0__yd_0</t>
  </si>
  <si>
    <t>Poverty (Headcount ratio, %) (fuel)</t>
  </si>
  <si>
    <t>_inc_all_fuel_fgt0__yd_0</t>
  </si>
  <si>
    <t>_inc_all_policies_fgt0__yd_0</t>
  </si>
  <si>
    <t>_all_elec_pc_benefits__yd_0</t>
  </si>
  <si>
    <t>-Revenue (billion FCFA) (fuel)</t>
  </si>
  <si>
    <t>_all_fuel_pc_benefits__yd_0</t>
  </si>
  <si>
    <t>-Revenue (billion FCFA) (all policies)</t>
  </si>
  <si>
    <t>_all_policies_pc_benefits__yd_0</t>
  </si>
  <si>
    <t>Revenue (% GDP) (fuel)</t>
  </si>
  <si>
    <t>Select scenario:</t>
  </si>
  <si>
    <t>vat</t>
  </si>
  <si>
    <t>subsidy</t>
  </si>
  <si>
    <t>labels!C2</t>
  </si>
  <si>
    <t>labels!C3</t>
  </si>
  <si>
    <t>Series</t>
  </si>
  <si>
    <t>labels!A3</t>
  </si>
  <si>
    <t>labels!A4</t>
  </si>
  <si>
    <t>labels!A5</t>
  </si>
  <si>
    <t>Key Size</t>
  </si>
  <si>
    <t>Key word</t>
  </si>
  <si>
    <t>ApiladasMultipleSerie1</t>
  </si>
  <si>
    <t>Y-axis</t>
  </si>
  <si>
    <t>Percentage of consumption by VAT incidence</t>
  </si>
  <si>
    <t>Scenario:</t>
  </si>
  <si>
    <t>Scenario code:</t>
  </si>
  <si>
    <t>vat_fuel_pc_coverage__yd_</t>
  </si>
  <si>
    <t>subsidy_fuel_direct_pc_coverage__yd_</t>
  </si>
  <si>
    <t>labels!C15</t>
  </si>
  <si>
    <t>labels!C16</t>
  </si>
  <si>
    <t>Select indicator:</t>
  </si>
  <si>
    <t>labels!H2</t>
  </si>
  <si>
    <t>labels!H3</t>
  </si>
  <si>
    <t>labels!H4</t>
  </si>
  <si>
    <t>labels!H5</t>
  </si>
  <si>
    <t>labels!H6</t>
  </si>
  <si>
    <t>labels!H7</t>
  </si>
  <si>
    <t>labels!H8</t>
  </si>
  <si>
    <t>labels!H9</t>
  </si>
  <si>
    <t>labels!H10</t>
  </si>
  <si>
    <t>labels!H11</t>
  </si>
  <si>
    <t>labels!I2</t>
  </si>
  <si>
    <t>labels!C4</t>
  </si>
  <si>
    <t>Select good:</t>
  </si>
  <si>
    <t>cond_netcash_</t>
  </si>
  <si>
    <t>Percentage of disposable income</t>
  </si>
  <si>
    <t>PolicyLabel</t>
  </si>
  <si>
    <t>total</t>
  </si>
  <si>
    <t>yd_pc_fgt0__yd_0</t>
  </si>
  <si>
    <t>yd_pc_gini__yd_0</t>
  </si>
  <si>
    <t>Electricity and Fuels</t>
  </si>
  <si>
    <t>vat_elec_pc_</t>
  </si>
  <si>
    <t>subsidy_elec_pc_</t>
  </si>
  <si>
    <t>all_elec_pc_</t>
  </si>
  <si>
    <t>vat_fuel_pc_</t>
  </si>
  <si>
    <t>subsidy_fuel_pc_</t>
  </si>
  <si>
    <t>all_fuel_pc_</t>
  </si>
  <si>
    <t>all_tax_pc_</t>
  </si>
  <si>
    <t>all_subs_pc_</t>
  </si>
  <si>
    <t>all_policies_pc_</t>
  </si>
  <si>
    <t xml:space="preserve">VAT </t>
  </si>
  <si>
    <t>inc_vat_elec_</t>
  </si>
  <si>
    <t>inc_subsidy_elec_</t>
  </si>
  <si>
    <t>inc_all_elec_</t>
  </si>
  <si>
    <t>inc_vat_fuel_</t>
  </si>
  <si>
    <t>inc_subsidy_fuel_</t>
  </si>
  <si>
    <t>inc_all_fuel_</t>
  </si>
  <si>
    <t>inc_all_tax_</t>
  </si>
  <si>
    <t>inc_all_subs_</t>
  </si>
  <si>
    <t>inc_all_policies_</t>
  </si>
  <si>
    <t>Disposable income poverty with the tax/subsidy</t>
  </si>
  <si>
    <t>fgt0__yd_0</t>
  </si>
  <si>
    <t>Disposable income Inequality with the tax/subsidy</t>
  </si>
  <si>
    <t>gini__yd_0</t>
  </si>
  <si>
    <t>labels!F11</t>
  </si>
  <si>
    <t>labels!F12</t>
  </si>
  <si>
    <t>labels!F13</t>
  </si>
  <si>
    <t>benefits__yd_0</t>
  </si>
  <si>
    <t>labels!F14</t>
  </si>
  <si>
    <t>inc_subsidy_elec_direct</t>
  </si>
  <si>
    <t>subsidy_elec_direct_pc_</t>
  </si>
  <si>
    <t>subsidy_elec_indirect_pc_</t>
  </si>
  <si>
    <t>subsidy_fuel_direct_pc_</t>
  </si>
  <si>
    <t>subsidy_fuel_indirect_pc_</t>
  </si>
  <si>
    <t>inc_subsidy_elec_direct_</t>
  </si>
  <si>
    <t>inc_subsidy_elec_indirect_</t>
  </si>
  <si>
    <t>inc_subsidy_fuel_direct_</t>
  </si>
  <si>
    <t>inc_subsidy_fuel_indirect_</t>
  </si>
  <si>
    <t>Electricité : + 266 milliards de compensation</t>
  </si>
  <si>
    <t>Objectif visé par le réajustement</t>
  </si>
  <si>
    <t>Electricité : 99,7 milliards • Carburant : 158,5 milliards</t>
  </si>
  <si>
    <t>Carburant : + 484 milliards de compensation</t>
  </si>
  <si>
    <t>Carburant : 158,5 milliards</t>
  </si>
  <si>
    <t>Scenario to compare:</t>
  </si>
  <si>
    <t>Market prices</t>
  </si>
  <si>
    <t>Fiscal gains from the policy reform (additional taxes plus savings in subsidies)</t>
  </si>
  <si>
    <t>All Economy</t>
  </si>
  <si>
    <t>House-holds</t>
  </si>
  <si>
    <t>Billion CFA</t>
  </si>
  <si>
    <t>% of GDP</t>
  </si>
  <si>
    <t>PIB (projection 2021) (Milliards FCFA):</t>
  </si>
  <si>
    <t>Revenue Gains, bn FCFA</t>
  </si>
  <si>
    <t>_all_tax_pc_benefits__yd_0</t>
  </si>
  <si>
    <t>_all_subs_pc_benefits__yd_0</t>
  </si>
  <si>
    <t>all</t>
  </si>
  <si>
    <t>Indicator:</t>
  </si>
  <si>
    <t>RI</t>
  </si>
  <si>
    <t>Policy:</t>
  </si>
  <si>
    <t>Both</t>
  </si>
  <si>
    <t>Invert taxes in RI</t>
  </si>
  <si>
    <t>pc_netcash</t>
  </si>
  <si>
    <t>AI</t>
  </si>
  <si>
    <t>pc_ai</t>
  </si>
  <si>
    <t>labels!D2</t>
  </si>
  <si>
    <t>labels!D3</t>
  </si>
  <si>
    <t>pc_benefits</t>
  </si>
  <si>
    <t>labels!D9</t>
  </si>
  <si>
    <t>labels!D10</t>
  </si>
  <si>
    <t>Net (subsidy-tax)</t>
  </si>
  <si>
    <t>tranche3_tool</t>
  </si>
  <si>
    <t>tranche2_tool</t>
  </si>
  <si>
    <t>tranche1_tool</t>
  </si>
  <si>
    <t>consumption_electricite (MhW)</t>
  </si>
  <si>
    <t xml:space="preserve">Bracket 1 </t>
  </si>
  <si>
    <t>cons_elec</t>
  </si>
  <si>
    <t>T3</t>
  </si>
  <si>
    <t>T2</t>
  </si>
  <si>
    <t>T1</t>
  </si>
  <si>
    <t>2019 data</t>
  </si>
  <si>
    <t>raw microdata</t>
  </si>
  <si>
    <t>type</t>
  </si>
  <si>
    <t>subs</t>
  </si>
  <si>
    <t>Uprating</t>
  </si>
  <si>
    <t>Only uprated by prepaid composition</t>
  </si>
  <si>
    <t>Uprating + scaling</t>
  </si>
  <si>
    <t>Uprated by all components</t>
  </si>
  <si>
    <t>IMF 2021</t>
  </si>
  <si>
    <t>Administrative data (IMF 2022)</t>
  </si>
  <si>
    <t>WorldBank_2022 (Using shares of 2021 IMF and Gov data for total of 2022)</t>
  </si>
  <si>
    <t>Poverty</t>
  </si>
  <si>
    <t>Good:</t>
  </si>
  <si>
    <t xml:space="preserve">Baseline </t>
  </si>
  <si>
    <t>[1]</t>
  </si>
  <si>
    <t>[2]</t>
  </si>
  <si>
    <t>[3]</t>
  </si>
  <si>
    <t>[4]</t>
  </si>
  <si>
    <t>[4] - [2]</t>
  </si>
  <si>
    <t>Inequality</t>
  </si>
  <si>
    <t>Gini points</t>
  </si>
  <si>
    <t>Change w.r.t. DI (Gini points)</t>
  </si>
  <si>
    <t>Change due to the reform (Gini points)</t>
  </si>
  <si>
    <t>Inequality (gini points)</t>
  </si>
  <si>
    <t>Disposable income (DI)</t>
  </si>
  <si>
    <t>yd_pc</t>
  </si>
  <si>
    <t>Headcount ratio (%)</t>
  </si>
  <si>
    <t>Change w.r.t. DI (pp)</t>
  </si>
  <si>
    <t>Change due to the reform (pp)</t>
  </si>
  <si>
    <t>poverty (percentage points)</t>
  </si>
  <si>
    <t>-VAT</t>
  </si>
  <si>
    <t>+Subsidies</t>
  </si>
  <si>
    <t>-VAT+Subsidies</t>
  </si>
  <si>
    <t>Results per Policy</t>
  </si>
  <si>
    <t>inc_subsidy_elec</t>
  </si>
  <si>
    <t>inc_subsidy_fuel</t>
  </si>
  <si>
    <t>All subsidies</t>
  </si>
  <si>
    <t>inc_all_subs</t>
  </si>
  <si>
    <t>inc_vat_elec</t>
  </si>
  <si>
    <t>inc_vat_fuel</t>
  </si>
  <si>
    <t>All taxes</t>
  </si>
  <si>
    <t>inc_all_tax</t>
  </si>
  <si>
    <t>Change</t>
  </si>
  <si>
    <t>Effect of subsidies and VAT</t>
  </si>
  <si>
    <t>inc_all_elec</t>
  </si>
  <si>
    <t>inc_all_fuel</t>
  </si>
  <si>
    <t>Fuel and Electricity</t>
  </si>
  <si>
    <t>inc_all_policies</t>
  </si>
  <si>
    <t>Effect of subsidies and VAT on poverty (percentage points)</t>
  </si>
  <si>
    <t>Figure1</t>
  </si>
  <si>
    <t>Figure 3</t>
  </si>
  <si>
    <t>Figure 4 Panel A</t>
  </si>
  <si>
    <t>Fuel Products</t>
  </si>
  <si>
    <t>Level of Subsidy</t>
  </si>
  <si>
    <t>Tension levels</t>
  </si>
  <si>
    <t>Simple average of growth rate</t>
  </si>
  <si>
    <t>Prepaid monthly blocks</t>
  </si>
  <si>
    <t>0 - 150</t>
  </si>
  <si>
    <t>GDP (Prel 2021)</t>
  </si>
  <si>
    <t>150 - 250</t>
  </si>
  <si>
    <t>Postpaid monthly blocks</t>
  </si>
  <si>
    <t xml:space="preserve"> Domestic Small Power (DPP)</t>
  </si>
  <si>
    <t>X-axis</t>
  </si>
  <si>
    <t>GDP (Proj nominal 2022)</t>
  </si>
  <si>
    <t xml:space="preserve">250 + </t>
  </si>
  <si>
    <t>Tariff</t>
  </si>
  <si>
    <t xml:space="preserve"> Domestic Medium Power (DMP)</t>
  </si>
  <si>
    <t>labels!I3</t>
  </si>
  <si>
    <t xml:space="preserve"> </t>
  </si>
  <si>
    <t xml:space="preserve">Subsidies as share of  GDP </t>
  </si>
  <si>
    <t>Postpaid bi-monthly blocks</t>
  </si>
  <si>
    <t>Subsidy rate (right axis)</t>
  </si>
  <si>
    <t>labels!I4</t>
  </si>
  <si>
    <t xml:space="preserve"> Domestic High Power (DGP)</t>
  </si>
  <si>
    <t>labels!C18</t>
  </si>
  <si>
    <t>labels!C19</t>
  </si>
  <si>
    <t>labels!C20</t>
  </si>
  <si>
    <t>labels!C21</t>
  </si>
  <si>
    <t>labels!C22</t>
  </si>
  <si>
    <t>labels!C23</t>
  </si>
  <si>
    <t>labels!C24</t>
  </si>
  <si>
    <t>labels!C25</t>
  </si>
  <si>
    <t>labels!C26</t>
  </si>
  <si>
    <t>labels!C27</t>
  </si>
  <si>
    <t>labels!C28</t>
  </si>
  <si>
    <t>labels!C29</t>
  </si>
  <si>
    <t>Figure 5 Panel A</t>
  </si>
  <si>
    <t>Figure 5 Panel B</t>
  </si>
  <si>
    <t>Figure 4 Panel B</t>
  </si>
  <si>
    <t xml:space="preserve"> $</t>
  </si>
  <si>
    <t>Subsidy as share of price (cost)</t>
  </si>
  <si>
    <t>Hoseholds</t>
  </si>
  <si>
    <t>LPG</t>
  </si>
  <si>
    <t>Kerosene</t>
  </si>
  <si>
    <t>Percentage of subsidy</t>
  </si>
  <si>
    <t>Gasoline</t>
  </si>
  <si>
    <t>Gasoline includes: Gasoil, essence pirogue, premium, regular)</t>
  </si>
  <si>
    <t>Regular</t>
  </si>
  <si>
    <t>Firms</t>
  </si>
  <si>
    <t>Menos gasoline* from parameters</t>
  </si>
  <si>
    <t>Non residential</t>
  </si>
  <si>
    <t>Premium Gasoline (Super)</t>
  </si>
  <si>
    <t>Table A1</t>
  </si>
  <si>
    <t>Figure A1</t>
  </si>
  <si>
    <t>Subsidy as share of cost</t>
  </si>
  <si>
    <t>Consumption assumed: 600 kWh</t>
  </si>
  <si>
    <t>Tariffs Kwh</t>
  </si>
  <si>
    <t>Consumption</t>
  </si>
  <si>
    <t>Payment by tranche</t>
  </si>
  <si>
    <t>Total paid without taxes</t>
  </si>
  <si>
    <t>Total paid</t>
  </si>
  <si>
    <t>kWh consumed</t>
  </si>
  <si>
    <t>Sold units (bouteilles)</t>
  </si>
  <si>
    <t>According to</t>
  </si>
  <si>
    <t>https://www.tresor.economie.gouv.fr/Articles/11e09942-7250-4626-8f4b-7d415d860a14/files/0363ad4a-a3ef-4b97-98fe-baab979150d3</t>
  </si>
  <si>
    <t>we have to assume that the average bouteille contains</t>
  </si>
  <si>
    <t xml:space="preserve">164000 tonnes of butane were consumed in Senegal in 2018. To match this value, </t>
  </si>
  <si>
    <t>2022p</t>
  </si>
  <si>
    <t>kg (which is in line with the</t>
  </si>
  <si>
    <t>available sizes of bouteilles)</t>
  </si>
  <si>
    <t>Tonnes of butane sold</t>
  </si>
  <si>
    <t>tonnes (assuming avg bottle is 6.17kg)</t>
  </si>
  <si>
    <t>This is in line with</t>
  </si>
  <si>
    <t>https://www.seneplus.com/economie/penurie-du-gaz-dans-plusieurs-points-de-vente</t>
  </si>
  <si>
    <t>who says that 200.000 tonnes</t>
  </si>
  <si>
    <t>were sold in 2021.</t>
  </si>
  <si>
    <t>Titulo</t>
  </si>
  <si>
    <t>Total VAT collected from households (billion CFA)</t>
  </si>
  <si>
    <t>Total subsidy to households (billion CFA)</t>
  </si>
  <si>
    <t>Baseline (Direct Effect)</t>
  </si>
  <si>
    <t>Reform (Direct Effect)</t>
  </si>
  <si>
    <t>Weight</t>
  </si>
  <si>
    <t>p_fuel</t>
  </si>
  <si>
    <t>p_pet_lamp</t>
  </si>
  <si>
    <t>p_butane</t>
  </si>
  <si>
    <t>No electricity spending</t>
  </si>
  <si>
    <t>Tranche 1</t>
  </si>
  <si>
    <t>Tranche 2</t>
  </si>
  <si>
    <t>Tranche 3</t>
  </si>
  <si>
    <t>Region/Departement</t>
  </si>
  <si>
    <t>Nombre de bénéficiares (2018)</t>
  </si>
  <si>
    <t xml:space="preserve">Montant du transfert par an </t>
  </si>
  <si>
    <t>departement</t>
  </si>
  <si>
    <t xml:space="preserve"> Departement Dakar</t>
  </si>
  <si>
    <t xml:space="preserve"> Departement Pikine</t>
  </si>
  <si>
    <t xml:space="preserve"> Departement Rufisque</t>
  </si>
  <si>
    <t xml:space="preserve"> Departement Guediawaye</t>
  </si>
  <si>
    <t xml:space="preserve">       Region Dakar</t>
  </si>
  <si>
    <t xml:space="preserve"> Departement Bignona</t>
  </si>
  <si>
    <t xml:space="preserve"> Departement Oussouye</t>
  </si>
  <si>
    <t xml:space="preserve"> Departement Ziguinchor</t>
  </si>
  <si>
    <t xml:space="preserve">      Region Ziguinchor</t>
  </si>
  <si>
    <t xml:space="preserve"> Departement Bambey</t>
  </si>
  <si>
    <t xml:space="preserve"> Departement Diourbel</t>
  </si>
  <si>
    <t xml:space="preserve"> Departement Mbacke</t>
  </si>
  <si>
    <t xml:space="preserve">      Region Diourbel</t>
  </si>
  <si>
    <t xml:space="preserve"> Departement Dagana</t>
  </si>
  <si>
    <t xml:space="preserve"> Departement Podor</t>
  </si>
  <si>
    <t xml:space="preserve"> Departement Saint Louis</t>
  </si>
  <si>
    <t xml:space="preserve">      Region Saint Louis</t>
  </si>
  <si>
    <t xml:space="preserve"> Departement Bake</t>
  </si>
  <si>
    <t xml:space="preserve"> Departement Tambacounda</t>
  </si>
  <si>
    <t xml:space="preserve"> Departement Goudiry</t>
  </si>
  <si>
    <t xml:space="preserve"> Departement Koumpentoum</t>
  </si>
  <si>
    <t xml:space="preserve">      Region Tambacounda</t>
  </si>
  <si>
    <t xml:space="preserve"> Departement Kaolack</t>
  </si>
  <si>
    <t xml:space="preserve"> Departement Nioro</t>
  </si>
  <si>
    <t xml:space="preserve"> Departement Guinguineo</t>
  </si>
  <si>
    <t xml:space="preserve">      Region Kaolack</t>
  </si>
  <si>
    <t xml:space="preserve"> Departement Mbour</t>
  </si>
  <si>
    <t xml:space="preserve"> Departement Thies</t>
  </si>
  <si>
    <t xml:space="preserve"> Departement Tivaouane</t>
  </si>
  <si>
    <t xml:space="preserve">      Region Thies</t>
  </si>
  <si>
    <t xml:space="preserve"> Departement Kebemer</t>
  </si>
  <si>
    <t xml:space="preserve"> Departement Linguere</t>
  </si>
  <si>
    <t xml:space="preserve"> Departement Louga</t>
  </si>
  <si>
    <t xml:space="preserve">      Region Louga</t>
  </si>
  <si>
    <t xml:space="preserve"> Departement Fatick</t>
  </si>
  <si>
    <t xml:space="preserve"> Departement Foundiougne</t>
  </si>
  <si>
    <t xml:space="preserve"> Departement Gossas</t>
  </si>
  <si>
    <t xml:space="preserve">      Region Fatick</t>
  </si>
  <si>
    <t xml:space="preserve"> Departement Kolda</t>
  </si>
  <si>
    <t xml:space="preserve"> Departement Velingara</t>
  </si>
  <si>
    <t xml:space="preserve"> Departement Medina Yoro Foulah</t>
  </si>
  <si>
    <t xml:space="preserve">      Region Kolda</t>
  </si>
  <si>
    <t xml:space="preserve"> Departement Matam</t>
  </si>
  <si>
    <t xml:space="preserve"> Departement Kanel</t>
  </si>
  <si>
    <t xml:space="preserve"> Departement Ranerou</t>
  </si>
  <si>
    <t xml:space="preserve">      Region Matam</t>
  </si>
  <si>
    <t xml:space="preserve"> Departement Kafrine</t>
  </si>
  <si>
    <t xml:space="preserve"> Departement Birkelane</t>
  </si>
  <si>
    <t xml:space="preserve"> Departement Koungheu</t>
  </si>
  <si>
    <t xml:space="preserve"> Departement Malem Hoddar</t>
  </si>
  <si>
    <t xml:space="preserve">      Region Kaffrine</t>
  </si>
  <si>
    <t xml:space="preserve"> Departement Kedougou</t>
  </si>
  <si>
    <t xml:space="preserve"> Departement Salemata</t>
  </si>
  <si>
    <t xml:space="preserve"> Departement Saraya</t>
  </si>
  <si>
    <t xml:space="preserve">      Region Kedougou</t>
  </si>
  <si>
    <t xml:space="preserve"> Departement Sedhiou</t>
  </si>
  <si>
    <t xml:space="preserve"> Departement Bounkiling</t>
  </si>
  <si>
    <t xml:space="preserve"> Departement Goudomp</t>
  </si>
  <si>
    <t xml:space="preserve">      Region Sedhiou</t>
  </si>
  <si>
    <t xml:space="preserve"> General</t>
  </si>
  <si>
    <t>Simulation Parameters PNBSF</t>
  </si>
  <si>
    <t>Mitigation Measures</t>
  </si>
  <si>
    <t>Mitigation policy parameters</t>
  </si>
  <si>
    <t>Increase in PNBSF annual transfers</t>
  </si>
  <si>
    <t>yd_deciles_pc</t>
  </si>
  <si>
    <t>share_cost_elec_pc</t>
  </si>
  <si>
    <t>Public transport subsidies</t>
  </si>
  <si>
    <t>Yes</t>
  </si>
  <si>
    <t>No</t>
  </si>
  <si>
    <t>PNBSF_benef_increase</t>
  </si>
  <si>
    <t>subs_public_transport</t>
  </si>
  <si>
    <t>PNBSF_transfer_increase</t>
  </si>
  <si>
    <t>All Policies+Mitigation</t>
  </si>
  <si>
    <t>Mitigation PNBSF</t>
  </si>
  <si>
    <t>Total+PNBSF</t>
  </si>
  <si>
    <t>all_policies_miti</t>
  </si>
  <si>
    <t>am_new_pnbsf</t>
  </si>
  <si>
    <t>_inc_all_policies_miti_fgt0__yd_0</t>
  </si>
  <si>
    <t>_all_policies_miti_pc_benefits__yd_0</t>
  </si>
  <si>
    <t>Poverty (Headcount ratio, %) (BSF expansion)</t>
  </si>
  <si>
    <t>-Revenue (billion FCFA) (BSF expansion)</t>
  </si>
  <si>
    <t>Revenue (% GDP) (BSF expansion)</t>
  </si>
  <si>
    <t>_inc_am_new_pnbsf_fgt0__yd_0</t>
  </si>
  <si>
    <t>_am_new_pnbsf_pc_benefits__yd_0</t>
  </si>
  <si>
    <r>
      <rPr>
        <b/>
        <sz val="11"/>
        <color theme="1"/>
        <rFont val="Calibri"/>
        <family val="2"/>
        <scheme val="minor"/>
      </rPr>
      <t>Reform 2</t>
    </r>
    <r>
      <rPr>
        <sz val="11"/>
        <color theme="1"/>
        <rFont val="Calibri"/>
        <family val="2"/>
        <scheme val="minor"/>
      </rPr>
      <t xml:space="preserve"> increases prices according to the policy change, and includes mitigation measures.</t>
    </r>
  </si>
  <si>
    <r>
      <rPr>
        <b/>
        <sz val="11"/>
        <color theme="1"/>
        <rFont val="Calibri"/>
        <family val="2"/>
        <scheme val="minor"/>
      </rPr>
      <t>Reform 2:</t>
    </r>
    <r>
      <rPr>
        <sz val="11"/>
        <color theme="1"/>
        <rFont val="Calibri"/>
        <family val="2"/>
        <scheme val="minor"/>
      </rPr>
      <t xml:space="preserve"> Same as Reform 1, but we increase the value of the PNBSF transfer and the number of beneficiaries. We also disconnect indirect effects of the fuel subsidy removal on some public transport expenditure (buses and fluvial) to simulate the effect of a subsidy to some parts of the transport sector.</t>
    </r>
  </si>
  <si>
    <t>Mitigation measures</t>
  </si>
  <si>
    <t>Y_N</t>
  </si>
  <si>
    <t>PNBSF_assign</t>
  </si>
  <si>
    <t>Random</t>
  </si>
  <si>
    <t>PMT</t>
  </si>
  <si>
    <t>Targeting mechanism</t>
  </si>
  <si>
    <t>Increase in beneficiaries (≥1)</t>
  </si>
  <si>
    <t>PMT_targeting_BSF</t>
  </si>
  <si>
    <t>Total energy policies</t>
  </si>
  <si>
    <t>labels!D15</t>
  </si>
  <si>
    <t>labels!D16</t>
  </si>
  <si>
    <t>Percentage of PNBSF funds</t>
  </si>
  <si>
    <t>Percentage of all benefits and transfers</t>
  </si>
  <si>
    <t>Gini (BSF expansion)</t>
  </si>
  <si>
    <t>_inc_am_new_pnbsf_gini__yd_0</t>
  </si>
  <si>
    <t>_inc_all_policies_miti_gini__yd_0</t>
  </si>
  <si>
    <t>12</t>
  </si>
  <si>
    <t>Idealmente quiero (i) impacto en pobreza y Gini, y (ii) costo de los programas sociales. Con esto se debería poder calcular el impacto neto fiscal que es el ahorro debido a la reducción de subsidios, más el costo de estos 2 impactos.</t>
  </si>
  <si>
    <t>Net fiscal impact</t>
  </si>
  <si>
    <t>Savings in electricity subsidies</t>
  </si>
  <si>
    <t>Savings in fuel (includes extra exp. in transport subsidies)</t>
  </si>
  <si>
    <t>Cost of expanding PNBSF</t>
  </si>
  <si>
    <t>Net fiscal impact [-(1)-(2)+(3)]</t>
  </si>
  <si>
    <t>Billions FCFA</t>
  </si>
  <si>
    <t>Changes wrt baseline</t>
  </si>
  <si>
    <t>Delayed payments from 2022</t>
  </si>
  <si>
    <t>DPP-T1 tariff without social tranche</t>
  </si>
  <si>
    <t>delayed_PNBSF</t>
  </si>
  <si>
    <t>tariffs_t1_no_socialt</t>
  </si>
  <si>
    <t>Gini (electricity - no social tranche)</t>
  </si>
  <si>
    <t>Gini (electricity + social tranche)</t>
  </si>
  <si>
    <t>Gini (all policies + social tranche)</t>
  </si>
  <si>
    <t>Gini (Subsidy to public transport)</t>
  </si>
  <si>
    <t>Gini (Delayed PNBSF payments)</t>
  </si>
  <si>
    <t>_inc_all_elec_noST_gini__yd_0</t>
  </si>
  <si>
    <t>Gini (all policies + all mitigations)</t>
  </si>
  <si>
    <t>_inc_subs_public_transport_gini__yd_0</t>
  </si>
  <si>
    <t>_inc_am_delayed_pnbsf_gini__yd_0</t>
  </si>
  <si>
    <t>Poverty (Headcount ratio, %) (electricity - no social tranche)</t>
  </si>
  <si>
    <t>-Revenue (billion FCFA) (electricity - no social tranche)</t>
  </si>
  <si>
    <t>Revenue (% GDP) (electricity - no social tranche)</t>
  </si>
  <si>
    <t>Poverty (Headcount ratio, %) (electricity + social tranche)</t>
  </si>
  <si>
    <t>-Revenue (billion FCFA) (electricity + social tranche)</t>
  </si>
  <si>
    <t>Revenue (% GDP) (electricity + social tranche)</t>
  </si>
  <si>
    <t>Poverty (Headcount ratio, %) (all policies + social tranche)</t>
  </si>
  <si>
    <t>Revenue (% GDP) (all policies + social tranche)</t>
  </si>
  <si>
    <t>Poverty (Headcount ratio, %) (Subsidy to public transport)</t>
  </si>
  <si>
    <t>Poverty (Headcount ratio, %) (Delayed PNBSF payments)</t>
  </si>
  <si>
    <t>-Revenue (billion FCFA) (Subsidy to public transport)</t>
  </si>
  <si>
    <t>-Revenue (billion FCFA) (Delayed PNBSF payments)</t>
  </si>
  <si>
    <t>Revenue (% GDP) (Subsidy to public transport)</t>
  </si>
  <si>
    <t>Revenue (% GDP) (Delayed PNBSF payments)</t>
  </si>
  <si>
    <t>_inc_all_elec_noST_fgt0__yd_0</t>
  </si>
  <si>
    <t>_inc_subs_public_transport_fgt0__yd_0</t>
  </si>
  <si>
    <t>Poverty (Headcount ratio, %) (all policies + all mitigations)</t>
  </si>
  <si>
    <t>-Revenue (billion FCFA) (all policies + all mitigations)</t>
  </si>
  <si>
    <t>Revenue (% GDP) (all policies + all mitigations)</t>
  </si>
  <si>
    <t>_all_elec_noST_pc_benefits__yd_0</t>
  </si>
  <si>
    <t>_inc_am_delayed_pnbsf_fgt0__yd_0</t>
  </si>
  <si>
    <t>_subs_public_transport_pc_benefits__yd_0</t>
  </si>
  <si>
    <t>_am_delayed_pnbsf_pc_benefits__yd_0</t>
  </si>
  <si>
    <t>inc_am_new_pnbsf</t>
  </si>
  <si>
    <t>inc_am_delayed_pnbsf</t>
  </si>
  <si>
    <t>inc_subs_public_transport</t>
  </si>
  <si>
    <t>inc_all_policies_miti</t>
  </si>
  <si>
    <t>Revenue (% GDP) (social tranche)</t>
  </si>
  <si>
    <t>-Revenue (billion FCFA) (social tranche)</t>
  </si>
  <si>
    <t>Poverty (Headcount ratio, %) (social tranche)</t>
  </si>
  <si>
    <t>Gini (social tranche)</t>
  </si>
  <si>
    <t>_inc_social_tranche_gini__yd_0</t>
  </si>
  <si>
    <t>_inc_social_tranche_fgt0__yd_0</t>
  </si>
  <si>
    <t>_social_tranche_pc_benefits__yd_0</t>
  </si>
  <si>
    <t>BSF expansion</t>
  </si>
  <si>
    <t>Subsidy to public transport</t>
  </si>
  <si>
    <t>Delayed PNBSF payments</t>
  </si>
  <si>
    <t>All policies &amp; mitigations</t>
  </si>
  <si>
    <t>All mitigations</t>
  </si>
  <si>
    <t>inc_all_miti_noST</t>
  </si>
  <si>
    <t>Electricity (w/ social tariff)</t>
  </si>
  <si>
    <t>concat</t>
  </si>
  <si>
    <t>1_subsidy_fuel_direct_pc_beneficiaries__yd_1</t>
  </si>
  <si>
    <t>1_subsidy_fuel_direct_pc_benefits__yd_1</t>
  </si>
  <si>
    <t>1_subsidy_fuel_direct_pc_coverage__yd_1</t>
  </si>
  <si>
    <t>1_subsidy_fuel_direct_pc_mean__yd_1</t>
  </si>
  <si>
    <t>1_am_delayed_pnbsf_pc_beneficiaries__yd_1</t>
  </si>
  <si>
    <t>1_am_delayed_pnbsf_pc_benefits__yd_1</t>
  </si>
  <si>
    <t>1_am_delayed_pnbsf_pc_coverage__yd_1</t>
  </si>
  <si>
    <t>1_am_delayed_pnbsf_pc_mean__yd_1</t>
  </si>
  <si>
    <t>1_social_tranche_pc_beneficiaries__yd_1</t>
  </si>
  <si>
    <t>1_social_tranche_pc_benefits__yd_1</t>
  </si>
  <si>
    <t>1_social_tranche_pc_coverage__yd_1</t>
  </si>
  <si>
    <t>1_social_tranche_pc_mean__yd_1</t>
  </si>
  <si>
    <t>1_subs_public_transport_pc_beneficiaries__yd_1</t>
  </si>
  <si>
    <t>1_subs_public_transport_pc_benefits__yd_1</t>
  </si>
  <si>
    <t>1_subs_public_transport_pc_coverage__yd_1</t>
  </si>
  <si>
    <t>1_subs_public_transport_pc_mean__yd_1</t>
  </si>
  <si>
    <t>1_am_pnbsf_transferinc_pc_beneficiaries__yd_1</t>
  </si>
  <si>
    <t>1_am_pnbsf_transferinc_pc_benefits__yd_1</t>
  </si>
  <si>
    <t>1_am_pnbsf_transferinc_pc_coverage__yd_1</t>
  </si>
  <si>
    <t>1_am_pnbsf_transferinc_pc_mean__yd_1</t>
  </si>
  <si>
    <t>1_am_pnbsf_newbenefs_pc_beneficiaries__yd_1</t>
  </si>
  <si>
    <t>1_am_pnbsf_newbenefs_pc_benefits__yd_1</t>
  </si>
  <si>
    <t>1_am_pnbsf_newbenefs_pc_coverage__yd_1</t>
  </si>
  <si>
    <t>1_am_pnbsf_newbenefs_pc_mean__yd_1</t>
  </si>
  <si>
    <t>1_all_miti_pc_beneficiaries__yd_1</t>
  </si>
  <si>
    <t>1_all_miti_pc_benefits__yd_1</t>
  </si>
  <si>
    <t>1_all_miti_pc_coverage__yd_1</t>
  </si>
  <si>
    <t>1_all_miti_pc_mean__yd_1</t>
  </si>
  <si>
    <t>1_all_miti_noST_pc_beneficiaries__yd_1</t>
  </si>
  <si>
    <t>1_all_miti_noST_pc_benefits__yd_1</t>
  </si>
  <si>
    <t>1_all_miti_noST_pc_coverage__yd_1</t>
  </si>
  <si>
    <t>1_all_miti_noST_pc_mean__yd_1</t>
  </si>
  <si>
    <t>1_all_policies_miti_pc_beneficiaries__yd_1</t>
  </si>
  <si>
    <t>1_all_policies_miti_pc_benefits__yd_1</t>
  </si>
  <si>
    <t>1_all_policies_miti_pc_coverage__yd_1</t>
  </si>
  <si>
    <t>1_all_policies_miti_pc_mean__yd_1</t>
  </si>
  <si>
    <t>1_all_policies_noST_pc_beneficiaries__yd_1</t>
  </si>
  <si>
    <t>1_all_policies_noST_pc_benefits__yd_1</t>
  </si>
  <si>
    <t>1_all_policies_noST_pc_coverage__yd_1</t>
  </si>
  <si>
    <t>1_all_policies_noST_pc_mean__yd_1</t>
  </si>
  <si>
    <t>1_all_policies_pc_beneficiaries__yd_1</t>
  </si>
  <si>
    <t>1_all_policies_pc_benefits__yd_1</t>
  </si>
  <si>
    <t>1_all_policies_pc_coverage__yd_1</t>
  </si>
  <si>
    <t>1_all_policies_pc_mean__yd_1</t>
  </si>
  <si>
    <t>1_subsidy_fuel_indirect_pc_beneficiaries__yd_1</t>
  </si>
  <si>
    <t>1_subsidy_fuel_indirect_pc_benefits__yd_1</t>
  </si>
  <si>
    <t>1_subsidy_fuel_indirect_pc_coverage__yd_1</t>
  </si>
  <si>
    <t>1_subsidy_fuel_indirect_pc_mean__yd_1</t>
  </si>
  <si>
    <t>1_all_tax_pc_beneficiaries__yd_1</t>
  </si>
  <si>
    <t>1_all_tax_pc_benefits__yd_1</t>
  </si>
  <si>
    <t>1_all_tax_pc_coverage__yd_1</t>
  </si>
  <si>
    <t>1_all_tax_pc_mean__yd_1</t>
  </si>
  <si>
    <t>1_all_subs_noST_pc_beneficiaries__yd_1</t>
  </si>
  <si>
    <t>1_all_subs_noST_pc_benefits__yd_1</t>
  </si>
  <si>
    <t>1_all_subs_noST_pc_coverage__yd_1</t>
  </si>
  <si>
    <t>1_all_subs_noST_pc_mean__yd_1</t>
  </si>
  <si>
    <t>1_all_subs_pc_beneficiaries__yd_1</t>
  </si>
  <si>
    <t>1_all_subs_pc_benefits__yd_1</t>
  </si>
  <si>
    <t>1_all_subs_pc_coverage__yd_1</t>
  </si>
  <si>
    <t>1_all_subs_pc_mean__yd_1</t>
  </si>
  <si>
    <t>1_all_elec_noST_pc_beneficiaries__yd_1</t>
  </si>
  <si>
    <t>1_all_elec_noST_pc_benefits__yd_1</t>
  </si>
  <si>
    <t>1_all_elec_noST_pc_coverage__yd_1</t>
  </si>
  <si>
    <t>1_all_elec_noST_pc_mean__yd_1</t>
  </si>
  <si>
    <t>1_all_elec_pc_beneficiaries__yd_1</t>
  </si>
  <si>
    <t>1_all_elec_pc_benefits__yd_1</t>
  </si>
  <si>
    <t>1_all_elec_pc_coverage__yd_1</t>
  </si>
  <si>
    <t>1_all_elec_pc_mean__yd_1</t>
  </si>
  <si>
    <t>1_all_fuel_pc_beneficiaries__yd_1</t>
  </si>
  <si>
    <t>1_all_fuel_pc_benefits__yd_1</t>
  </si>
  <si>
    <t>1_all_fuel_pc_coverage__yd_1</t>
  </si>
  <si>
    <t>1_all_fuel_pc_mean__yd_1</t>
  </si>
  <si>
    <t>1_subsidy_fuel_pc_beneficiaries__yd_1</t>
  </si>
  <si>
    <t>1_subsidy_fuel_pc_benefits__yd_1</t>
  </si>
  <si>
    <t>1_subsidy_fuel_pc_coverage__yd_1</t>
  </si>
  <si>
    <t>1_subsidy_fuel_pc_mean__yd_1</t>
  </si>
  <si>
    <t>1_subsidy_elec_direct_pc_beneficiaries__yd_1</t>
  </si>
  <si>
    <t>1_subsidy_elec_direct_pc_benefits__yd_1</t>
  </si>
  <si>
    <t>1_subsidy_elec_direct_pc_coverage__yd_1</t>
  </si>
  <si>
    <t>1_subsidy_elec_direct_pc_mean__yd_1</t>
  </si>
  <si>
    <t>1_subsidy_elec_indirect_pc_beneficiaries__yd_1</t>
  </si>
  <si>
    <t>1_subsidy_elec_indirect_pc_benefits__yd_1</t>
  </si>
  <si>
    <t>1_subsidy_elec_indirect_pc_coverage__yd_1</t>
  </si>
  <si>
    <t>1_subsidy_elec_indirect_pc_mean__yd_1</t>
  </si>
  <si>
    <t>1_subsidy_elec_pc_beneficiaries__yd_1</t>
  </si>
  <si>
    <t>1_subsidy_elec_pc_benefits__yd_1</t>
  </si>
  <si>
    <t>1_subsidy_elec_pc_coverage__yd_1</t>
  </si>
  <si>
    <t>1_subsidy_elec_pc_mean__yd_1</t>
  </si>
  <si>
    <t>1_vat_elec_pc_beneficiaries__yd_1</t>
  </si>
  <si>
    <t>1_vat_elec_pc_benefits__yd_1</t>
  </si>
  <si>
    <t>1_vat_elec_pc_coverage__yd_1</t>
  </si>
  <si>
    <t>1_vat_elec_pc_mean__yd_1</t>
  </si>
  <si>
    <t>1_vat_fuel_pc_beneficiaries__yd_1</t>
  </si>
  <si>
    <t>1_vat_fuel_pc_benefits__yd_1</t>
  </si>
  <si>
    <t>1_vat_fuel_pc_coverage__yd_1</t>
  </si>
  <si>
    <t>1_vat_fuel_pc_mean__yd_1</t>
  </si>
  <si>
    <t>1_am_new_pnbsf_pc_beneficiaries__yd_1</t>
  </si>
  <si>
    <t>1_am_new_pnbsf_pc_benefits__yd_1</t>
  </si>
  <si>
    <t>1_am_new_pnbsf_pc_coverage__yd_1</t>
  </si>
  <si>
    <t>1_am_new_pnbsf_pc_mean__yd_1</t>
  </si>
  <si>
    <t>1_subsidy_fuel_direct_pc_beneficiaries__yd_2</t>
  </si>
  <si>
    <t>1_subsidy_fuel_direct_pc_benefits__yd_2</t>
  </si>
  <si>
    <t>1_subsidy_fuel_direct_pc_coverage__yd_2</t>
  </si>
  <si>
    <t>1_subsidy_fuel_direct_pc_mean__yd_2</t>
  </si>
  <si>
    <t>1_am_delayed_pnbsf_pc_beneficiaries__yd_2</t>
  </si>
  <si>
    <t>1_am_delayed_pnbsf_pc_benefits__yd_2</t>
  </si>
  <si>
    <t>1_am_delayed_pnbsf_pc_coverage__yd_2</t>
  </si>
  <si>
    <t>1_am_delayed_pnbsf_pc_mean__yd_2</t>
  </si>
  <si>
    <t>1_social_tranche_pc_beneficiaries__yd_2</t>
  </si>
  <si>
    <t>1_social_tranche_pc_benefits__yd_2</t>
  </si>
  <si>
    <t>1_social_tranche_pc_coverage__yd_2</t>
  </si>
  <si>
    <t>1_social_tranche_pc_mean__yd_2</t>
  </si>
  <si>
    <t>1_subs_public_transport_pc_beneficiaries__yd_2</t>
  </si>
  <si>
    <t>1_subs_public_transport_pc_benefits__yd_2</t>
  </si>
  <si>
    <t>1_subs_public_transport_pc_coverage__yd_2</t>
  </si>
  <si>
    <t>1_subs_public_transport_pc_mean__yd_2</t>
  </si>
  <si>
    <t>1_am_pnbsf_transferinc_pc_beneficiaries__yd_2</t>
  </si>
  <si>
    <t>1_am_pnbsf_transferinc_pc_benefits__yd_2</t>
  </si>
  <si>
    <t>1_am_pnbsf_transferinc_pc_coverage__yd_2</t>
  </si>
  <si>
    <t>1_am_pnbsf_transferinc_pc_mean__yd_2</t>
  </si>
  <si>
    <t>1_am_pnbsf_newbenefs_pc_beneficiaries__yd_2</t>
  </si>
  <si>
    <t>1_am_pnbsf_newbenefs_pc_benefits__yd_2</t>
  </si>
  <si>
    <t>1_am_pnbsf_newbenefs_pc_coverage__yd_2</t>
  </si>
  <si>
    <t>1_am_pnbsf_newbenefs_pc_mean__yd_2</t>
  </si>
  <si>
    <t>1_all_miti_pc_beneficiaries__yd_2</t>
  </si>
  <si>
    <t>1_all_miti_pc_benefits__yd_2</t>
  </si>
  <si>
    <t>1_all_miti_pc_coverage__yd_2</t>
  </si>
  <si>
    <t>1_all_miti_pc_mean__yd_2</t>
  </si>
  <si>
    <t>1_all_miti_noST_pc_beneficiaries__yd_2</t>
  </si>
  <si>
    <t>1_all_miti_noST_pc_benefits__yd_2</t>
  </si>
  <si>
    <t>1_all_miti_noST_pc_coverage__yd_2</t>
  </si>
  <si>
    <t>1_all_miti_noST_pc_mean__yd_2</t>
  </si>
  <si>
    <t>1_all_policies_miti_pc_beneficiaries__yd_2</t>
  </si>
  <si>
    <t>1_all_policies_miti_pc_benefits__yd_2</t>
  </si>
  <si>
    <t>1_all_policies_miti_pc_coverage__yd_2</t>
  </si>
  <si>
    <t>1_all_policies_miti_pc_mean__yd_2</t>
  </si>
  <si>
    <t>1_all_policies_noST_pc_beneficiaries__yd_2</t>
  </si>
  <si>
    <t>1_all_policies_noST_pc_benefits__yd_2</t>
  </si>
  <si>
    <t>1_all_policies_noST_pc_coverage__yd_2</t>
  </si>
  <si>
    <t>1_all_policies_noST_pc_mean__yd_2</t>
  </si>
  <si>
    <t>1_all_policies_pc_beneficiaries__yd_2</t>
  </si>
  <si>
    <t>1_all_policies_pc_benefits__yd_2</t>
  </si>
  <si>
    <t>1_all_policies_pc_coverage__yd_2</t>
  </si>
  <si>
    <t>1_all_policies_pc_mean__yd_2</t>
  </si>
  <si>
    <t>1_subsidy_fuel_indirect_pc_beneficiaries__yd_2</t>
  </si>
  <si>
    <t>1_subsidy_fuel_indirect_pc_benefits__yd_2</t>
  </si>
  <si>
    <t>1_subsidy_fuel_indirect_pc_coverage__yd_2</t>
  </si>
  <si>
    <t>1_subsidy_fuel_indirect_pc_mean__yd_2</t>
  </si>
  <si>
    <t>1_all_tax_pc_beneficiaries__yd_2</t>
  </si>
  <si>
    <t>1_all_tax_pc_benefits__yd_2</t>
  </si>
  <si>
    <t>1_all_tax_pc_coverage__yd_2</t>
  </si>
  <si>
    <t>1_all_tax_pc_mean__yd_2</t>
  </si>
  <si>
    <t>1_all_subs_noST_pc_beneficiaries__yd_2</t>
  </si>
  <si>
    <t>1_all_subs_noST_pc_benefits__yd_2</t>
  </si>
  <si>
    <t>1_all_subs_noST_pc_coverage__yd_2</t>
  </si>
  <si>
    <t>1_all_subs_noST_pc_mean__yd_2</t>
  </si>
  <si>
    <t>1_all_subs_pc_beneficiaries__yd_2</t>
  </si>
  <si>
    <t>1_all_subs_pc_benefits__yd_2</t>
  </si>
  <si>
    <t>1_all_subs_pc_coverage__yd_2</t>
  </si>
  <si>
    <t>1_all_subs_pc_mean__yd_2</t>
  </si>
  <si>
    <t>1_all_elec_noST_pc_beneficiaries__yd_2</t>
  </si>
  <si>
    <t>1_all_elec_noST_pc_benefits__yd_2</t>
  </si>
  <si>
    <t>1_all_elec_noST_pc_coverage__yd_2</t>
  </si>
  <si>
    <t>1_all_elec_noST_pc_mean__yd_2</t>
  </si>
  <si>
    <t>1_all_elec_pc_beneficiaries__yd_2</t>
  </si>
  <si>
    <t>1_all_elec_pc_benefits__yd_2</t>
  </si>
  <si>
    <t>1_all_elec_pc_coverage__yd_2</t>
  </si>
  <si>
    <t>1_all_elec_pc_mean__yd_2</t>
  </si>
  <si>
    <t>1_all_fuel_pc_beneficiaries__yd_2</t>
  </si>
  <si>
    <t>1_all_fuel_pc_benefits__yd_2</t>
  </si>
  <si>
    <t>1_all_fuel_pc_coverage__yd_2</t>
  </si>
  <si>
    <t>1_all_fuel_pc_mean__yd_2</t>
  </si>
  <si>
    <t>1_subsidy_fuel_pc_beneficiaries__yd_2</t>
  </si>
  <si>
    <t>1_subsidy_fuel_pc_benefits__yd_2</t>
  </si>
  <si>
    <t>1_subsidy_fuel_pc_coverage__yd_2</t>
  </si>
  <si>
    <t>1_subsidy_fuel_pc_mean__yd_2</t>
  </si>
  <si>
    <t>1_subsidy_elec_direct_pc_beneficiaries__yd_2</t>
  </si>
  <si>
    <t>1_subsidy_elec_direct_pc_benefits__yd_2</t>
  </si>
  <si>
    <t>1_subsidy_elec_direct_pc_coverage__yd_2</t>
  </si>
  <si>
    <t>1_subsidy_elec_direct_pc_mean__yd_2</t>
  </si>
  <si>
    <t>1_subsidy_elec_indirect_pc_beneficiaries__yd_2</t>
  </si>
  <si>
    <t>1_subsidy_elec_indirect_pc_benefits__yd_2</t>
  </si>
  <si>
    <t>1_subsidy_elec_indirect_pc_coverage__yd_2</t>
  </si>
  <si>
    <t>1_subsidy_elec_indirect_pc_mean__yd_2</t>
  </si>
  <si>
    <t>1_subsidy_elec_pc_beneficiaries__yd_2</t>
  </si>
  <si>
    <t>1_subsidy_elec_pc_benefits__yd_2</t>
  </si>
  <si>
    <t>1_subsidy_elec_pc_coverage__yd_2</t>
  </si>
  <si>
    <t>1_subsidy_elec_pc_mean__yd_2</t>
  </si>
  <si>
    <t>1_vat_elec_pc_beneficiaries__yd_2</t>
  </si>
  <si>
    <t>1_vat_elec_pc_benefits__yd_2</t>
  </si>
  <si>
    <t>1_vat_elec_pc_coverage__yd_2</t>
  </si>
  <si>
    <t>1_vat_elec_pc_mean__yd_2</t>
  </si>
  <si>
    <t>1_vat_fuel_pc_beneficiaries__yd_2</t>
  </si>
  <si>
    <t>1_vat_fuel_pc_benefits__yd_2</t>
  </si>
  <si>
    <t>1_vat_fuel_pc_coverage__yd_2</t>
  </si>
  <si>
    <t>1_vat_fuel_pc_mean__yd_2</t>
  </si>
  <si>
    <t>1_am_new_pnbsf_pc_beneficiaries__yd_2</t>
  </si>
  <si>
    <t>1_am_new_pnbsf_pc_benefits__yd_2</t>
  </si>
  <si>
    <t>1_am_new_pnbsf_pc_coverage__yd_2</t>
  </si>
  <si>
    <t>1_am_new_pnbsf_pc_mean__yd_2</t>
  </si>
  <si>
    <t>1_subsidy_fuel_direct_pc_beneficiaries__yd_3</t>
  </si>
  <si>
    <t>1_subsidy_fuel_direct_pc_benefits__yd_3</t>
  </si>
  <si>
    <t>1_subsidy_fuel_direct_pc_coverage__yd_3</t>
  </si>
  <si>
    <t>1_subsidy_fuel_direct_pc_mean__yd_3</t>
  </si>
  <si>
    <t>1_am_delayed_pnbsf_pc_beneficiaries__yd_3</t>
  </si>
  <si>
    <t>1_am_delayed_pnbsf_pc_benefits__yd_3</t>
  </si>
  <si>
    <t>1_am_delayed_pnbsf_pc_coverage__yd_3</t>
  </si>
  <si>
    <t>1_am_delayed_pnbsf_pc_mean__yd_3</t>
  </si>
  <si>
    <t>1_social_tranche_pc_beneficiaries__yd_3</t>
  </si>
  <si>
    <t>1_social_tranche_pc_benefits__yd_3</t>
  </si>
  <si>
    <t>1_social_tranche_pc_coverage__yd_3</t>
  </si>
  <si>
    <t>1_social_tranche_pc_mean__yd_3</t>
  </si>
  <si>
    <t>1_subs_public_transport_pc_beneficiaries__yd_3</t>
  </si>
  <si>
    <t>1_subs_public_transport_pc_benefits__yd_3</t>
  </si>
  <si>
    <t>1_subs_public_transport_pc_coverage__yd_3</t>
  </si>
  <si>
    <t>1_subs_public_transport_pc_mean__yd_3</t>
  </si>
  <si>
    <t>1_am_pnbsf_transferinc_pc_beneficiaries__yd_3</t>
  </si>
  <si>
    <t>1_am_pnbsf_transferinc_pc_benefits__yd_3</t>
  </si>
  <si>
    <t>1_am_pnbsf_transferinc_pc_coverage__yd_3</t>
  </si>
  <si>
    <t>1_am_pnbsf_transferinc_pc_mean__yd_3</t>
  </si>
  <si>
    <t>1_am_pnbsf_newbenefs_pc_beneficiaries__yd_3</t>
  </si>
  <si>
    <t>1_am_pnbsf_newbenefs_pc_benefits__yd_3</t>
  </si>
  <si>
    <t>1_am_pnbsf_newbenefs_pc_coverage__yd_3</t>
  </si>
  <si>
    <t>1_am_pnbsf_newbenefs_pc_mean__yd_3</t>
  </si>
  <si>
    <t>1_all_miti_pc_beneficiaries__yd_3</t>
  </si>
  <si>
    <t>1_all_miti_pc_benefits__yd_3</t>
  </si>
  <si>
    <t>1_all_miti_pc_coverage__yd_3</t>
  </si>
  <si>
    <t>1_all_miti_pc_mean__yd_3</t>
  </si>
  <si>
    <t>1_all_miti_noST_pc_beneficiaries__yd_3</t>
  </si>
  <si>
    <t>1_all_miti_noST_pc_benefits__yd_3</t>
  </si>
  <si>
    <t>1_all_miti_noST_pc_coverage__yd_3</t>
  </si>
  <si>
    <t>1_all_miti_noST_pc_mean__yd_3</t>
  </si>
  <si>
    <t>1_all_policies_miti_pc_beneficiaries__yd_3</t>
  </si>
  <si>
    <t>1_all_policies_miti_pc_benefits__yd_3</t>
  </si>
  <si>
    <t>1_all_policies_miti_pc_coverage__yd_3</t>
  </si>
  <si>
    <t>1_all_policies_miti_pc_mean__yd_3</t>
  </si>
  <si>
    <t>1_all_policies_noST_pc_beneficiaries__yd_3</t>
  </si>
  <si>
    <t>1_all_policies_noST_pc_benefits__yd_3</t>
  </si>
  <si>
    <t>1_all_policies_noST_pc_coverage__yd_3</t>
  </si>
  <si>
    <t>1_all_policies_noST_pc_mean__yd_3</t>
  </si>
  <si>
    <t>1_all_policies_pc_beneficiaries__yd_3</t>
  </si>
  <si>
    <t>1_all_policies_pc_benefits__yd_3</t>
  </si>
  <si>
    <t>1_all_policies_pc_coverage__yd_3</t>
  </si>
  <si>
    <t>1_all_policies_pc_mean__yd_3</t>
  </si>
  <si>
    <t>1_subsidy_fuel_indirect_pc_beneficiaries__yd_3</t>
  </si>
  <si>
    <t>1_subsidy_fuel_indirect_pc_benefits__yd_3</t>
  </si>
  <si>
    <t>1_subsidy_fuel_indirect_pc_coverage__yd_3</t>
  </si>
  <si>
    <t>1_subsidy_fuel_indirect_pc_mean__yd_3</t>
  </si>
  <si>
    <t>1_all_tax_pc_beneficiaries__yd_3</t>
  </si>
  <si>
    <t>1_all_tax_pc_benefits__yd_3</t>
  </si>
  <si>
    <t>1_all_tax_pc_coverage__yd_3</t>
  </si>
  <si>
    <t>1_all_tax_pc_mean__yd_3</t>
  </si>
  <si>
    <t>1_all_subs_noST_pc_beneficiaries__yd_3</t>
  </si>
  <si>
    <t>1_all_subs_noST_pc_benefits__yd_3</t>
  </si>
  <si>
    <t>1_all_subs_noST_pc_coverage__yd_3</t>
  </si>
  <si>
    <t>1_all_subs_noST_pc_mean__yd_3</t>
  </si>
  <si>
    <t>1_all_subs_pc_beneficiaries__yd_3</t>
  </si>
  <si>
    <t>1_all_subs_pc_benefits__yd_3</t>
  </si>
  <si>
    <t>1_all_subs_pc_coverage__yd_3</t>
  </si>
  <si>
    <t>1_all_subs_pc_mean__yd_3</t>
  </si>
  <si>
    <t>1_all_elec_noST_pc_beneficiaries__yd_3</t>
  </si>
  <si>
    <t>1_all_elec_noST_pc_benefits__yd_3</t>
  </si>
  <si>
    <t>1_all_elec_noST_pc_coverage__yd_3</t>
  </si>
  <si>
    <t>1_all_elec_noST_pc_mean__yd_3</t>
  </si>
  <si>
    <t>1_all_elec_pc_beneficiaries__yd_3</t>
  </si>
  <si>
    <t>1_all_elec_pc_benefits__yd_3</t>
  </si>
  <si>
    <t>1_all_elec_pc_coverage__yd_3</t>
  </si>
  <si>
    <t>1_all_elec_pc_mean__yd_3</t>
  </si>
  <si>
    <t>1_all_fuel_pc_beneficiaries__yd_3</t>
  </si>
  <si>
    <t>1_all_fuel_pc_benefits__yd_3</t>
  </si>
  <si>
    <t>1_all_fuel_pc_coverage__yd_3</t>
  </si>
  <si>
    <t>1_all_fuel_pc_mean__yd_3</t>
  </si>
  <si>
    <t>1_subsidy_fuel_pc_beneficiaries__yd_3</t>
  </si>
  <si>
    <t>1_subsidy_fuel_pc_benefits__yd_3</t>
  </si>
  <si>
    <t>1_subsidy_fuel_pc_coverage__yd_3</t>
  </si>
  <si>
    <t>1_subsidy_fuel_pc_mean__yd_3</t>
  </si>
  <si>
    <t>1_subsidy_elec_direct_pc_beneficiaries__yd_3</t>
  </si>
  <si>
    <t>1_subsidy_elec_direct_pc_benefits__yd_3</t>
  </si>
  <si>
    <t>1_subsidy_elec_direct_pc_coverage__yd_3</t>
  </si>
  <si>
    <t>1_subsidy_elec_direct_pc_mean__yd_3</t>
  </si>
  <si>
    <t>1_subsidy_elec_indirect_pc_beneficiaries__yd_3</t>
  </si>
  <si>
    <t>1_subsidy_elec_indirect_pc_benefits__yd_3</t>
  </si>
  <si>
    <t>1_subsidy_elec_indirect_pc_coverage__yd_3</t>
  </si>
  <si>
    <t>1_subsidy_elec_indirect_pc_mean__yd_3</t>
  </si>
  <si>
    <t>1_subsidy_elec_pc_beneficiaries__yd_3</t>
  </si>
  <si>
    <t>1_subsidy_elec_pc_benefits__yd_3</t>
  </si>
  <si>
    <t>1_subsidy_elec_pc_coverage__yd_3</t>
  </si>
  <si>
    <t>1_subsidy_elec_pc_mean__yd_3</t>
  </si>
  <si>
    <t>1_vat_elec_pc_beneficiaries__yd_3</t>
  </si>
  <si>
    <t>1_vat_elec_pc_benefits__yd_3</t>
  </si>
  <si>
    <t>1_vat_elec_pc_coverage__yd_3</t>
  </si>
  <si>
    <t>1_vat_elec_pc_mean__yd_3</t>
  </si>
  <si>
    <t>1_vat_fuel_pc_beneficiaries__yd_3</t>
  </si>
  <si>
    <t>1_vat_fuel_pc_benefits__yd_3</t>
  </si>
  <si>
    <t>1_vat_fuel_pc_coverage__yd_3</t>
  </si>
  <si>
    <t>1_vat_fuel_pc_mean__yd_3</t>
  </si>
  <si>
    <t>1_am_new_pnbsf_pc_beneficiaries__yd_3</t>
  </si>
  <si>
    <t>1_am_new_pnbsf_pc_benefits__yd_3</t>
  </si>
  <si>
    <t>1_am_new_pnbsf_pc_coverage__yd_3</t>
  </si>
  <si>
    <t>1_am_new_pnbsf_pc_mean__yd_3</t>
  </si>
  <si>
    <t>1_subsidy_fuel_direct_pc_beneficiaries__yd_4</t>
  </si>
  <si>
    <t>1_subsidy_fuel_direct_pc_benefits__yd_4</t>
  </si>
  <si>
    <t>1_subsidy_fuel_direct_pc_coverage__yd_4</t>
  </si>
  <si>
    <t>1_subsidy_fuel_direct_pc_mean__yd_4</t>
  </si>
  <si>
    <t>1_am_delayed_pnbsf_pc_beneficiaries__yd_4</t>
  </si>
  <si>
    <t>1_am_delayed_pnbsf_pc_benefits__yd_4</t>
  </si>
  <si>
    <t>1_am_delayed_pnbsf_pc_coverage__yd_4</t>
  </si>
  <si>
    <t>1_am_delayed_pnbsf_pc_mean__yd_4</t>
  </si>
  <si>
    <t>1_social_tranche_pc_beneficiaries__yd_4</t>
  </si>
  <si>
    <t>1_social_tranche_pc_benefits__yd_4</t>
  </si>
  <si>
    <t>1_social_tranche_pc_coverage__yd_4</t>
  </si>
  <si>
    <t>1_social_tranche_pc_mean__yd_4</t>
  </si>
  <si>
    <t>1_subs_public_transport_pc_beneficiaries__yd_4</t>
  </si>
  <si>
    <t>1_subs_public_transport_pc_benefits__yd_4</t>
  </si>
  <si>
    <t>1_subs_public_transport_pc_coverage__yd_4</t>
  </si>
  <si>
    <t>1_subs_public_transport_pc_mean__yd_4</t>
  </si>
  <si>
    <t>1_am_pnbsf_transferinc_pc_beneficiaries__yd_4</t>
  </si>
  <si>
    <t>1_am_pnbsf_transferinc_pc_benefits__yd_4</t>
  </si>
  <si>
    <t>1_am_pnbsf_transferinc_pc_coverage__yd_4</t>
  </si>
  <si>
    <t>1_am_pnbsf_transferinc_pc_mean__yd_4</t>
  </si>
  <si>
    <t>1_am_pnbsf_newbenefs_pc_beneficiaries__yd_4</t>
  </si>
  <si>
    <t>1_am_pnbsf_newbenefs_pc_benefits__yd_4</t>
  </si>
  <si>
    <t>1_am_pnbsf_newbenefs_pc_coverage__yd_4</t>
  </si>
  <si>
    <t>1_am_pnbsf_newbenefs_pc_mean__yd_4</t>
  </si>
  <si>
    <t>1_all_miti_pc_beneficiaries__yd_4</t>
  </si>
  <si>
    <t>1_all_miti_pc_benefits__yd_4</t>
  </si>
  <si>
    <t>1_all_miti_pc_coverage__yd_4</t>
  </si>
  <si>
    <t>1_all_miti_pc_mean__yd_4</t>
  </si>
  <si>
    <t>1_all_miti_noST_pc_beneficiaries__yd_4</t>
  </si>
  <si>
    <t>1_all_miti_noST_pc_benefits__yd_4</t>
  </si>
  <si>
    <t>1_all_miti_noST_pc_coverage__yd_4</t>
  </si>
  <si>
    <t>1_all_miti_noST_pc_mean__yd_4</t>
  </si>
  <si>
    <t>1_all_policies_miti_pc_beneficiaries__yd_4</t>
  </si>
  <si>
    <t>1_all_policies_miti_pc_benefits__yd_4</t>
  </si>
  <si>
    <t>1_all_policies_miti_pc_coverage__yd_4</t>
  </si>
  <si>
    <t>1_all_policies_miti_pc_mean__yd_4</t>
  </si>
  <si>
    <t>1_all_policies_noST_pc_beneficiaries__yd_4</t>
  </si>
  <si>
    <t>1_all_policies_noST_pc_benefits__yd_4</t>
  </si>
  <si>
    <t>1_all_policies_noST_pc_coverage__yd_4</t>
  </si>
  <si>
    <t>1_all_policies_noST_pc_mean__yd_4</t>
  </si>
  <si>
    <t>1_all_policies_pc_beneficiaries__yd_4</t>
  </si>
  <si>
    <t>1_all_policies_pc_benefits__yd_4</t>
  </si>
  <si>
    <t>1_all_policies_pc_coverage__yd_4</t>
  </si>
  <si>
    <t>1_all_policies_pc_mean__yd_4</t>
  </si>
  <si>
    <t>1_subsidy_fuel_indirect_pc_beneficiaries__yd_4</t>
  </si>
  <si>
    <t>1_subsidy_fuel_indirect_pc_benefits__yd_4</t>
  </si>
  <si>
    <t>1_subsidy_fuel_indirect_pc_coverage__yd_4</t>
  </si>
  <si>
    <t>1_subsidy_fuel_indirect_pc_mean__yd_4</t>
  </si>
  <si>
    <t>1_all_tax_pc_beneficiaries__yd_4</t>
  </si>
  <si>
    <t>1_all_tax_pc_benefits__yd_4</t>
  </si>
  <si>
    <t>1_all_tax_pc_coverage__yd_4</t>
  </si>
  <si>
    <t>1_all_tax_pc_mean__yd_4</t>
  </si>
  <si>
    <t>1_all_subs_noST_pc_beneficiaries__yd_4</t>
  </si>
  <si>
    <t>1_all_subs_noST_pc_benefits__yd_4</t>
  </si>
  <si>
    <t>1_all_subs_noST_pc_coverage__yd_4</t>
  </si>
  <si>
    <t>1_all_subs_noST_pc_mean__yd_4</t>
  </si>
  <si>
    <t>1_all_subs_pc_beneficiaries__yd_4</t>
  </si>
  <si>
    <t>1_all_subs_pc_benefits__yd_4</t>
  </si>
  <si>
    <t>1_all_subs_pc_coverage__yd_4</t>
  </si>
  <si>
    <t>1_all_subs_pc_mean__yd_4</t>
  </si>
  <si>
    <t>1_all_elec_noST_pc_beneficiaries__yd_4</t>
  </si>
  <si>
    <t>1_all_elec_noST_pc_benefits__yd_4</t>
  </si>
  <si>
    <t>1_all_elec_noST_pc_coverage__yd_4</t>
  </si>
  <si>
    <t>1_all_elec_noST_pc_mean__yd_4</t>
  </si>
  <si>
    <t>1_all_elec_pc_beneficiaries__yd_4</t>
  </si>
  <si>
    <t>1_all_elec_pc_benefits__yd_4</t>
  </si>
  <si>
    <t>1_all_elec_pc_coverage__yd_4</t>
  </si>
  <si>
    <t>1_all_elec_pc_mean__yd_4</t>
  </si>
  <si>
    <t>1_all_fuel_pc_beneficiaries__yd_4</t>
  </si>
  <si>
    <t>1_all_fuel_pc_benefits__yd_4</t>
  </si>
  <si>
    <t>1_all_fuel_pc_coverage__yd_4</t>
  </si>
  <si>
    <t>1_all_fuel_pc_mean__yd_4</t>
  </si>
  <si>
    <t>1_subsidy_fuel_pc_beneficiaries__yd_4</t>
  </si>
  <si>
    <t>1_subsidy_fuel_pc_benefits__yd_4</t>
  </si>
  <si>
    <t>1_subsidy_fuel_pc_coverage__yd_4</t>
  </si>
  <si>
    <t>1_subsidy_fuel_pc_mean__yd_4</t>
  </si>
  <si>
    <t>1_subsidy_elec_direct_pc_beneficiaries__yd_4</t>
  </si>
  <si>
    <t>1_subsidy_elec_direct_pc_benefits__yd_4</t>
  </si>
  <si>
    <t>1_subsidy_elec_direct_pc_coverage__yd_4</t>
  </si>
  <si>
    <t>1_subsidy_elec_direct_pc_mean__yd_4</t>
  </si>
  <si>
    <t>1_subsidy_elec_indirect_pc_beneficiaries__yd_4</t>
  </si>
  <si>
    <t>1_subsidy_elec_indirect_pc_benefits__yd_4</t>
  </si>
  <si>
    <t>1_subsidy_elec_indirect_pc_coverage__yd_4</t>
  </si>
  <si>
    <t>1_subsidy_elec_indirect_pc_mean__yd_4</t>
  </si>
  <si>
    <t>1_subsidy_elec_pc_beneficiaries__yd_4</t>
  </si>
  <si>
    <t>1_subsidy_elec_pc_benefits__yd_4</t>
  </si>
  <si>
    <t>1_subsidy_elec_pc_coverage__yd_4</t>
  </si>
  <si>
    <t>1_subsidy_elec_pc_mean__yd_4</t>
  </si>
  <si>
    <t>1_vat_elec_pc_beneficiaries__yd_4</t>
  </si>
  <si>
    <t>1_vat_elec_pc_benefits__yd_4</t>
  </si>
  <si>
    <t>1_vat_elec_pc_coverage__yd_4</t>
  </si>
  <si>
    <t>1_vat_elec_pc_mean__yd_4</t>
  </si>
  <si>
    <t>1_vat_fuel_pc_beneficiaries__yd_4</t>
  </si>
  <si>
    <t>1_vat_fuel_pc_benefits__yd_4</t>
  </si>
  <si>
    <t>1_vat_fuel_pc_coverage__yd_4</t>
  </si>
  <si>
    <t>1_vat_fuel_pc_mean__yd_4</t>
  </si>
  <si>
    <t>1_am_new_pnbsf_pc_beneficiaries__yd_4</t>
  </si>
  <si>
    <t>1_am_new_pnbsf_pc_benefits__yd_4</t>
  </si>
  <si>
    <t>1_am_new_pnbsf_pc_coverage__yd_4</t>
  </si>
  <si>
    <t>1_am_new_pnbsf_pc_mean__yd_4</t>
  </si>
  <si>
    <t>1_subsidy_fuel_direct_pc_beneficiaries__yd_5</t>
  </si>
  <si>
    <t>1_subsidy_fuel_direct_pc_benefits__yd_5</t>
  </si>
  <si>
    <t>1_subsidy_fuel_direct_pc_coverage__yd_5</t>
  </si>
  <si>
    <t>1_subsidy_fuel_direct_pc_mean__yd_5</t>
  </si>
  <si>
    <t>1_am_delayed_pnbsf_pc_beneficiaries__yd_5</t>
  </si>
  <si>
    <t>1_am_delayed_pnbsf_pc_benefits__yd_5</t>
  </si>
  <si>
    <t>1_am_delayed_pnbsf_pc_coverage__yd_5</t>
  </si>
  <si>
    <t>1_am_delayed_pnbsf_pc_mean__yd_5</t>
  </si>
  <si>
    <t>1_social_tranche_pc_beneficiaries__yd_5</t>
  </si>
  <si>
    <t>1_social_tranche_pc_benefits__yd_5</t>
  </si>
  <si>
    <t>1_social_tranche_pc_coverage__yd_5</t>
  </si>
  <si>
    <t>1_social_tranche_pc_mean__yd_5</t>
  </si>
  <si>
    <t>1_subs_public_transport_pc_beneficiaries__yd_5</t>
  </si>
  <si>
    <t>1_subs_public_transport_pc_benefits__yd_5</t>
  </si>
  <si>
    <t>1_subs_public_transport_pc_coverage__yd_5</t>
  </si>
  <si>
    <t>1_subs_public_transport_pc_mean__yd_5</t>
  </si>
  <si>
    <t>1_am_pnbsf_transferinc_pc_beneficiaries__yd_5</t>
  </si>
  <si>
    <t>1_am_pnbsf_transferinc_pc_benefits__yd_5</t>
  </si>
  <si>
    <t>1_am_pnbsf_transferinc_pc_coverage__yd_5</t>
  </si>
  <si>
    <t>1_am_pnbsf_transferinc_pc_mean__yd_5</t>
  </si>
  <si>
    <t>1_am_pnbsf_newbenefs_pc_beneficiaries__yd_5</t>
  </si>
  <si>
    <t>1_am_pnbsf_newbenefs_pc_benefits__yd_5</t>
  </si>
  <si>
    <t>1_am_pnbsf_newbenefs_pc_coverage__yd_5</t>
  </si>
  <si>
    <t>1_am_pnbsf_newbenefs_pc_mean__yd_5</t>
  </si>
  <si>
    <t>1_all_miti_pc_beneficiaries__yd_5</t>
  </si>
  <si>
    <t>1_all_miti_pc_benefits__yd_5</t>
  </si>
  <si>
    <t>1_all_miti_pc_coverage__yd_5</t>
  </si>
  <si>
    <t>1_all_miti_pc_mean__yd_5</t>
  </si>
  <si>
    <t>1_all_miti_noST_pc_beneficiaries__yd_5</t>
  </si>
  <si>
    <t>1_all_miti_noST_pc_benefits__yd_5</t>
  </si>
  <si>
    <t>1_all_miti_noST_pc_coverage__yd_5</t>
  </si>
  <si>
    <t>1_all_miti_noST_pc_mean__yd_5</t>
  </si>
  <si>
    <t>1_all_policies_miti_pc_beneficiaries__yd_5</t>
  </si>
  <si>
    <t>1_all_policies_miti_pc_benefits__yd_5</t>
  </si>
  <si>
    <t>1_all_policies_miti_pc_coverage__yd_5</t>
  </si>
  <si>
    <t>1_all_policies_miti_pc_mean__yd_5</t>
  </si>
  <si>
    <t>1_all_policies_noST_pc_beneficiaries__yd_5</t>
  </si>
  <si>
    <t>1_all_policies_noST_pc_benefits__yd_5</t>
  </si>
  <si>
    <t>1_all_policies_noST_pc_coverage__yd_5</t>
  </si>
  <si>
    <t>1_all_policies_noST_pc_mean__yd_5</t>
  </si>
  <si>
    <t>1_all_policies_pc_beneficiaries__yd_5</t>
  </si>
  <si>
    <t>1_all_policies_pc_benefits__yd_5</t>
  </si>
  <si>
    <t>1_all_policies_pc_coverage__yd_5</t>
  </si>
  <si>
    <t>1_all_policies_pc_mean__yd_5</t>
  </si>
  <si>
    <t>1_subsidy_fuel_indirect_pc_beneficiaries__yd_5</t>
  </si>
  <si>
    <t>1_subsidy_fuel_indirect_pc_benefits__yd_5</t>
  </si>
  <si>
    <t>1_subsidy_fuel_indirect_pc_coverage__yd_5</t>
  </si>
  <si>
    <t>1_subsidy_fuel_indirect_pc_mean__yd_5</t>
  </si>
  <si>
    <t>1_all_tax_pc_beneficiaries__yd_5</t>
  </si>
  <si>
    <t>1_all_tax_pc_benefits__yd_5</t>
  </si>
  <si>
    <t>1_all_tax_pc_coverage__yd_5</t>
  </si>
  <si>
    <t>1_all_tax_pc_mean__yd_5</t>
  </si>
  <si>
    <t>1_all_subs_noST_pc_beneficiaries__yd_5</t>
  </si>
  <si>
    <t>1_all_subs_noST_pc_benefits__yd_5</t>
  </si>
  <si>
    <t>1_all_subs_noST_pc_coverage__yd_5</t>
  </si>
  <si>
    <t>1_all_subs_noST_pc_mean__yd_5</t>
  </si>
  <si>
    <t>1_all_subs_pc_beneficiaries__yd_5</t>
  </si>
  <si>
    <t>1_all_subs_pc_benefits__yd_5</t>
  </si>
  <si>
    <t>1_all_subs_pc_coverage__yd_5</t>
  </si>
  <si>
    <t>1_all_subs_pc_mean__yd_5</t>
  </si>
  <si>
    <t>1_all_elec_noST_pc_beneficiaries__yd_5</t>
  </si>
  <si>
    <t>1_all_elec_noST_pc_benefits__yd_5</t>
  </si>
  <si>
    <t>1_all_elec_noST_pc_coverage__yd_5</t>
  </si>
  <si>
    <t>1_all_elec_noST_pc_mean__yd_5</t>
  </si>
  <si>
    <t>1_all_elec_pc_beneficiaries__yd_5</t>
  </si>
  <si>
    <t>1_all_elec_pc_benefits__yd_5</t>
  </si>
  <si>
    <t>1_all_elec_pc_coverage__yd_5</t>
  </si>
  <si>
    <t>1_all_elec_pc_mean__yd_5</t>
  </si>
  <si>
    <t>1_all_fuel_pc_beneficiaries__yd_5</t>
  </si>
  <si>
    <t>1_all_fuel_pc_benefits__yd_5</t>
  </si>
  <si>
    <t>1_all_fuel_pc_coverage__yd_5</t>
  </si>
  <si>
    <t>1_all_fuel_pc_mean__yd_5</t>
  </si>
  <si>
    <t>1_subsidy_fuel_pc_beneficiaries__yd_5</t>
  </si>
  <si>
    <t>1_subsidy_fuel_pc_benefits__yd_5</t>
  </si>
  <si>
    <t>1_subsidy_fuel_pc_coverage__yd_5</t>
  </si>
  <si>
    <t>1_subsidy_fuel_pc_mean__yd_5</t>
  </si>
  <si>
    <t>1_subsidy_elec_direct_pc_beneficiaries__yd_5</t>
  </si>
  <si>
    <t>1_subsidy_elec_direct_pc_benefits__yd_5</t>
  </si>
  <si>
    <t>1_subsidy_elec_direct_pc_coverage__yd_5</t>
  </si>
  <si>
    <t>1_subsidy_elec_direct_pc_mean__yd_5</t>
  </si>
  <si>
    <t>1_subsidy_elec_indirect_pc_beneficiaries__yd_5</t>
  </si>
  <si>
    <t>1_subsidy_elec_indirect_pc_benefits__yd_5</t>
  </si>
  <si>
    <t>1_subsidy_elec_indirect_pc_coverage__yd_5</t>
  </si>
  <si>
    <t>1_subsidy_elec_indirect_pc_mean__yd_5</t>
  </si>
  <si>
    <t>1_subsidy_elec_pc_beneficiaries__yd_5</t>
  </si>
  <si>
    <t>1_subsidy_elec_pc_benefits__yd_5</t>
  </si>
  <si>
    <t>1_subsidy_elec_pc_coverage__yd_5</t>
  </si>
  <si>
    <t>1_subsidy_elec_pc_mean__yd_5</t>
  </si>
  <si>
    <t>1_vat_elec_pc_beneficiaries__yd_5</t>
  </si>
  <si>
    <t>1_vat_elec_pc_benefits__yd_5</t>
  </si>
  <si>
    <t>1_vat_elec_pc_coverage__yd_5</t>
  </si>
  <si>
    <t>1_vat_elec_pc_mean__yd_5</t>
  </si>
  <si>
    <t>1_vat_fuel_pc_beneficiaries__yd_5</t>
  </si>
  <si>
    <t>1_vat_fuel_pc_benefits__yd_5</t>
  </si>
  <si>
    <t>1_vat_fuel_pc_coverage__yd_5</t>
  </si>
  <si>
    <t>1_vat_fuel_pc_mean__yd_5</t>
  </si>
  <si>
    <t>1_am_new_pnbsf_pc_beneficiaries__yd_5</t>
  </si>
  <si>
    <t>1_am_new_pnbsf_pc_benefits__yd_5</t>
  </si>
  <si>
    <t>1_am_new_pnbsf_pc_coverage__yd_5</t>
  </si>
  <si>
    <t>1_am_new_pnbsf_pc_mean__yd_5</t>
  </si>
  <si>
    <t>1_subsidy_fuel_direct_pc_beneficiaries__yd_6</t>
  </si>
  <si>
    <t>1_subsidy_fuel_direct_pc_benefits__yd_6</t>
  </si>
  <si>
    <t>1_subsidy_fuel_direct_pc_coverage__yd_6</t>
  </si>
  <si>
    <t>1_subsidy_fuel_direct_pc_mean__yd_6</t>
  </si>
  <si>
    <t>1_am_delayed_pnbsf_pc_beneficiaries__yd_6</t>
  </si>
  <si>
    <t>1_am_delayed_pnbsf_pc_benefits__yd_6</t>
  </si>
  <si>
    <t>1_am_delayed_pnbsf_pc_coverage__yd_6</t>
  </si>
  <si>
    <t>1_am_delayed_pnbsf_pc_mean__yd_6</t>
  </si>
  <si>
    <t>1_social_tranche_pc_beneficiaries__yd_6</t>
  </si>
  <si>
    <t>1_social_tranche_pc_benefits__yd_6</t>
  </si>
  <si>
    <t>1_social_tranche_pc_coverage__yd_6</t>
  </si>
  <si>
    <t>1_social_tranche_pc_mean__yd_6</t>
  </si>
  <si>
    <t>1_subs_public_transport_pc_beneficiaries__yd_6</t>
  </si>
  <si>
    <t>1_subs_public_transport_pc_benefits__yd_6</t>
  </si>
  <si>
    <t>1_subs_public_transport_pc_coverage__yd_6</t>
  </si>
  <si>
    <t>1_subs_public_transport_pc_mean__yd_6</t>
  </si>
  <si>
    <t>1_am_pnbsf_transferinc_pc_beneficiaries__yd_6</t>
  </si>
  <si>
    <t>1_am_pnbsf_transferinc_pc_benefits__yd_6</t>
  </si>
  <si>
    <t>1_am_pnbsf_transferinc_pc_coverage__yd_6</t>
  </si>
  <si>
    <t>1_am_pnbsf_transferinc_pc_mean__yd_6</t>
  </si>
  <si>
    <t>1_am_pnbsf_newbenefs_pc_beneficiaries__yd_6</t>
  </si>
  <si>
    <t>1_am_pnbsf_newbenefs_pc_benefits__yd_6</t>
  </si>
  <si>
    <t>1_am_pnbsf_newbenefs_pc_coverage__yd_6</t>
  </si>
  <si>
    <t>1_am_pnbsf_newbenefs_pc_mean__yd_6</t>
  </si>
  <si>
    <t>1_all_miti_pc_beneficiaries__yd_6</t>
  </si>
  <si>
    <t>1_all_miti_pc_benefits__yd_6</t>
  </si>
  <si>
    <t>1_all_miti_pc_coverage__yd_6</t>
  </si>
  <si>
    <t>1_all_miti_pc_mean__yd_6</t>
  </si>
  <si>
    <t>1_all_miti_noST_pc_beneficiaries__yd_6</t>
  </si>
  <si>
    <t>1_all_miti_noST_pc_benefits__yd_6</t>
  </si>
  <si>
    <t>1_all_miti_noST_pc_coverage__yd_6</t>
  </si>
  <si>
    <t>1_all_miti_noST_pc_mean__yd_6</t>
  </si>
  <si>
    <t>1_all_policies_miti_pc_beneficiaries__yd_6</t>
  </si>
  <si>
    <t>1_all_policies_miti_pc_benefits__yd_6</t>
  </si>
  <si>
    <t>1_all_policies_miti_pc_coverage__yd_6</t>
  </si>
  <si>
    <t>1_all_policies_miti_pc_mean__yd_6</t>
  </si>
  <si>
    <t>1_all_policies_noST_pc_beneficiaries__yd_6</t>
  </si>
  <si>
    <t>1_all_policies_noST_pc_benefits__yd_6</t>
  </si>
  <si>
    <t>1_all_policies_noST_pc_coverage__yd_6</t>
  </si>
  <si>
    <t>1_all_policies_noST_pc_mean__yd_6</t>
  </si>
  <si>
    <t>1_all_policies_pc_beneficiaries__yd_6</t>
  </si>
  <si>
    <t>1_all_policies_pc_benefits__yd_6</t>
  </si>
  <si>
    <t>1_all_policies_pc_coverage__yd_6</t>
  </si>
  <si>
    <t>1_all_policies_pc_mean__yd_6</t>
  </si>
  <si>
    <t>1_subsidy_fuel_indirect_pc_beneficiaries__yd_6</t>
  </si>
  <si>
    <t>1_subsidy_fuel_indirect_pc_benefits__yd_6</t>
  </si>
  <si>
    <t>1_subsidy_fuel_indirect_pc_coverage__yd_6</t>
  </si>
  <si>
    <t>1_subsidy_fuel_indirect_pc_mean__yd_6</t>
  </si>
  <si>
    <t>1_all_tax_pc_beneficiaries__yd_6</t>
  </si>
  <si>
    <t>1_all_tax_pc_benefits__yd_6</t>
  </si>
  <si>
    <t>1_all_tax_pc_coverage__yd_6</t>
  </si>
  <si>
    <t>1_all_tax_pc_mean__yd_6</t>
  </si>
  <si>
    <t>1_all_subs_noST_pc_beneficiaries__yd_6</t>
  </si>
  <si>
    <t>1_all_subs_noST_pc_benefits__yd_6</t>
  </si>
  <si>
    <t>1_all_subs_noST_pc_coverage__yd_6</t>
  </si>
  <si>
    <t>1_all_subs_noST_pc_mean__yd_6</t>
  </si>
  <si>
    <t>1_all_subs_pc_beneficiaries__yd_6</t>
  </si>
  <si>
    <t>1_all_subs_pc_benefits__yd_6</t>
  </si>
  <si>
    <t>1_all_subs_pc_coverage__yd_6</t>
  </si>
  <si>
    <t>1_all_subs_pc_mean__yd_6</t>
  </si>
  <si>
    <t>1_all_elec_noST_pc_beneficiaries__yd_6</t>
  </si>
  <si>
    <t>1_all_elec_noST_pc_benefits__yd_6</t>
  </si>
  <si>
    <t>1_all_elec_noST_pc_coverage__yd_6</t>
  </si>
  <si>
    <t>1_all_elec_noST_pc_mean__yd_6</t>
  </si>
  <si>
    <t>1_all_elec_pc_beneficiaries__yd_6</t>
  </si>
  <si>
    <t>1_all_elec_pc_benefits__yd_6</t>
  </si>
  <si>
    <t>1_all_elec_pc_coverage__yd_6</t>
  </si>
  <si>
    <t>1_all_elec_pc_mean__yd_6</t>
  </si>
  <si>
    <t>1_all_fuel_pc_beneficiaries__yd_6</t>
  </si>
  <si>
    <t>1_all_fuel_pc_benefits__yd_6</t>
  </si>
  <si>
    <t>1_all_fuel_pc_coverage__yd_6</t>
  </si>
  <si>
    <t>1_all_fuel_pc_mean__yd_6</t>
  </si>
  <si>
    <t>1_subsidy_fuel_pc_beneficiaries__yd_6</t>
  </si>
  <si>
    <t>1_subsidy_fuel_pc_benefits__yd_6</t>
  </si>
  <si>
    <t>1_subsidy_fuel_pc_coverage__yd_6</t>
  </si>
  <si>
    <t>1_subsidy_fuel_pc_mean__yd_6</t>
  </si>
  <si>
    <t>1_subsidy_elec_direct_pc_beneficiaries__yd_6</t>
  </si>
  <si>
    <t>1_subsidy_elec_direct_pc_benefits__yd_6</t>
  </si>
  <si>
    <t>1_subsidy_elec_direct_pc_coverage__yd_6</t>
  </si>
  <si>
    <t>1_subsidy_elec_direct_pc_mean__yd_6</t>
  </si>
  <si>
    <t>1_subsidy_elec_indirect_pc_beneficiaries__yd_6</t>
  </si>
  <si>
    <t>1_subsidy_elec_indirect_pc_benefits__yd_6</t>
  </si>
  <si>
    <t>1_subsidy_elec_indirect_pc_coverage__yd_6</t>
  </si>
  <si>
    <t>1_subsidy_elec_indirect_pc_mean__yd_6</t>
  </si>
  <si>
    <t>1_subsidy_elec_pc_beneficiaries__yd_6</t>
  </si>
  <si>
    <t>1_subsidy_elec_pc_benefits__yd_6</t>
  </si>
  <si>
    <t>1_subsidy_elec_pc_coverage__yd_6</t>
  </si>
  <si>
    <t>1_subsidy_elec_pc_mean__yd_6</t>
  </si>
  <si>
    <t>1_vat_elec_pc_beneficiaries__yd_6</t>
  </si>
  <si>
    <t>1_vat_elec_pc_benefits__yd_6</t>
  </si>
  <si>
    <t>1_vat_elec_pc_coverage__yd_6</t>
  </si>
  <si>
    <t>1_vat_elec_pc_mean__yd_6</t>
  </si>
  <si>
    <t>1_vat_fuel_pc_beneficiaries__yd_6</t>
  </si>
  <si>
    <t>1_vat_fuel_pc_benefits__yd_6</t>
  </si>
  <si>
    <t>1_vat_fuel_pc_coverage__yd_6</t>
  </si>
  <si>
    <t>1_vat_fuel_pc_mean__yd_6</t>
  </si>
  <si>
    <t>1_am_new_pnbsf_pc_beneficiaries__yd_6</t>
  </si>
  <si>
    <t>1_am_new_pnbsf_pc_benefits__yd_6</t>
  </si>
  <si>
    <t>1_am_new_pnbsf_pc_coverage__yd_6</t>
  </si>
  <si>
    <t>1_am_new_pnbsf_pc_mean__yd_6</t>
  </si>
  <si>
    <t>1_subsidy_fuel_direct_pc_beneficiaries__yd_7</t>
  </si>
  <si>
    <t>1_subsidy_fuel_direct_pc_benefits__yd_7</t>
  </si>
  <si>
    <t>1_subsidy_fuel_direct_pc_coverage__yd_7</t>
  </si>
  <si>
    <t>1_subsidy_fuel_direct_pc_mean__yd_7</t>
  </si>
  <si>
    <t>1_am_delayed_pnbsf_pc_beneficiaries__yd_7</t>
  </si>
  <si>
    <t>1_am_delayed_pnbsf_pc_benefits__yd_7</t>
  </si>
  <si>
    <t>1_am_delayed_pnbsf_pc_coverage__yd_7</t>
  </si>
  <si>
    <t>1_am_delayed_pnbsf_pc_mean__yd_7</t>
  </si>
  <si>
    <t>1_social_tranche_pc_beneficiaries__yd_7</t>
  </si>
  <si>
    <t>1_social_tranche_pc_benefits__yd_7</t>
  </si>
  <si>
    <t>1_social_tranche_pc_coverage__yd_7</t>
  </si>
  <si>
    <t>1_social_tranche_pc_mean__yd_7</t>
  </si>
  <si>
    <t>1_subs_public_transport_pc_beneficiaries__yd_7</t>
  </si>
  <si>
    <t>1_subs_public_transport_pc_benefits__yd_7</t>
  </si>
  <si>
    <t>1_subs_public_transport_pc_coverage__yd_7</t>
  </si>
  <si>
    <t>1_subs_public_transport_pc_mean__yd_7</t>
  </si>
  <si>
    <t>1_am_pnbsf_transferinc_pc_beneficiaries__yd_7</t>
  </si>
  <si>
    <t>1_am_pnbsf_transferinc_pc_benefits__yd_7</t>
  </si>
  <si>
    <t>1_am_pnbsf_transferinc_pc_coverage__yd_7</t>
  </si>
  <si>
    <t>1_am_pnbsf_transferinc_pc_mean__yd_7</t>
  </si>
  <si>
    <t>1_am_pnbsf_newbenefs_pc_beneficiaries__yd_7</t>
  </si>
  <si>
    <t>1_am_pnbsf_newbenefs_pc_benefits__yd_7</t>
  </si>
  <si>
    <t>1_am_pnbsf_newbenefs_pc_coverage__yd_7</t>
  </si>
  <si>
    <t>1_am_pnbsf_newbenefs_pc_mean__yd_7</t>
  </si>
  <si>
    <t>1_all_miti_pc_beneficiaries__yd_7</t>
  </si>
  <si>
    <t>1_all_miti_pc_benefits__yd_7</t>
  </si>
  <si>
    <t>1_all_miti_pc_coverage__yd_7</t>
  </si>
  <si>
    <t>1_all_miti_pc_mean__yd_7</t>
  </si>
  <si>
    <t>1_all_miti_noST_pc_beneficiaries__yd_7</t>
  </si>
  <si>
    <t>1_all_miti_noST_pc_benefits__yd_7</t>
  </si>
  <si>
    <t>1_all_miti_noST_pc_coverage__yd_7</t>
  </si>
  <si>
    <t>1_all_miti_noST_pc_mean__yd_7</t>
  </si>
  <si>
    <t>1_all_policies_miti_pc_beneficiaries__yd_7</t>
  </si>
  <si>
    <t>1_all_policies_miti_pc_benefits__yd_7</t>
  </si>
  <si>
    <t>1_all_policies_miti_pc_coverage__yd_7</t>
  </si>
  <si>
    <t>1_all_policies_miti_pc_mean__yd_7</t>
  </si>
  <si>
    <t>1_all_policies_noST_pc_beneficiaries__yd_7</t>
  </si>
  <si>
    <t>1_all_policies_noST_pc_benefits__yd_7</t>
  </si>
  <si>
    <t>1_all_policies_noST_pc_coverage__yd_7</t>
  </si>
  <si>
    <t>1_all_policies_noST_pc_mean__yd_7</t>
  </si>
  <si>
    <t>1_all_policies_pc_beneficiaries__yd_7</t>
  </si>
  <si>
    <t>1_all_policies_pc_benefits__yd_7</t>
  </si>
  <si>
    <t>1_all_policies_pc_coverage__yd_7</t>
  </si>
  <si>
    <t>1_all_policies_pc_mean__yd_7</t>
  </si>
  <si>
    <t>1_subsidy_fuel_indirect_pc_beneficiaries__yd_7</t>
  </si>
  <si>
    <t>1_subsidy_fuel_indirect_pc_benefits__yd_7</t>
  </si>
  <si>
    <t>1_subsidy_fuel_indirect_pc_coverage__yd_7</t>
  </si>
  <si>
    <t>1_subsidy_fuel_indirect_pc_mean__yd_7</t>
  </si>
  <si>
    <t>1_all_tax_pc_beneficiaries__yd_7</t>
  </si>
  <si>
    <t>1_all_tax_pc_benefits__yd_7</t>
  </si>
  <si>
    <t>1_all_tax_pc_coverage__yd_7</t>
  </si>
  <si>
    <t>1_all_tax_pc_mean__yd_7</t>
  </si>
  <si>
    <t>1_all_subs_noST_pc_beneficiaries__yd_7</t>
  </si>
  <si>
    <t>1_all_subs_noST_pc_benefits__yd_7</t>
  </si>
  <si>
    <t>1_all_subs_noST_pc_coverage__yd_7</t>
  </si>
  <si>
    <t>1_all_subs_noST_pc_mean__yd_7</t>
  </si>
  <si>
    <t>1_all_subs_pc_beneficiaries__yd_7</t>
  </si>
  <si>
    <t>1_all_subs_pc_benefits__yd_7</t>
  </si>
  <si>
    <t>1_all_subs_pc_coverage__yd_7</t>
  </si>
  <si>
    <t>1_all_subs_pc_mean__yd_7</t>
  </si>
  <si>
    <t>1_all_elec_noST_pc_beneficiaries__yd_7</t>
  </si>
  <si>
    <t>1_all_elec_noST_pc_benefits__yd_7</t>
  </si>
  <si>
    <t>1_all_elec_noST_pc_coverage__yd_7</t>
  </si>
  <si>
    <t>1_all_elec_noST_pc_mean__yd_7</t>
  </si>
  <si>
    <t>1_all_elec_pc_beneficiaries__yd_7</t>
  </si>
  <si>
    <t>1_all_elec_pc_benefits__yd_7</t>
  </si>
  <si>
    <t>1_all_elec_pc_coverage__yd_7</t>
  </si>
  <si>
    <t>1_all_elec_pc_mean__yd_7</t>
  </si>
  <si>
    <t>1_all_fuel_pc_beneficiaries__yd_7</t>
  </si>
  <si>
    <t>1_all_fuel_pc_benefits__yd_7</t>
  </si>
  <si>
    <t>1_all_fuel_pc_coverage__yd_7</t>
  </si>
  <si>
    <t>1_all_fuel_pc_mean__yd_7</t>
  </si>
  <si>
    <t>1_subsidy_fuel_pc_beneficiaries__yd_7</t>
  </si>
  <si>
    <t>1_subsidy_fuel_pc_benefits__yd_7</t>
  </si>
  <si>
    <t>1_subsidy_fuel_pc_coverage__yd_7</t>
  </si>
  <si>
    <t>1_subsidy_fuel_pc_mean__yd_7</t>
  </si>
  <si>
    <t>1_subsidy_elec_direct_pc_beneficiaries__yd_7</t>
  </si>
  <si>
    <t>1_subsidy_elec_direct_pc_benefits__yd_7</t>
  </si>
  <si>
    <t>1_subsidy_elec_direct_pc_coverage__yd_7</t>
  </si>
  <si>
    <t>1_subsidy_elec_direct_pc_mean__yd_7</t>
  </si>
  <si>
    <t>1_subsidy_elec_indirect_pc_beneficiaries__yd_7</t>
  </si>
  <si>
    <t>1_subsidy_elec_indirect_pc_benefits__yd_7</t>
  </si>
  <si>
    <t>1_subsidy_elec_indirect_pc_coverage__yd_7</t>
  </si>
  <si>
    <t>1_subsidy_elec_indirect_pc_mean__yd_7</t>
  </si>
  <si>
    <t>1_subsidy_elec_pc_beneficiaries__yd_7</t>
  </si>
  <si>
    <t>1_subsidy_elec_pc_benefits__yd_7</t>
  </si>
  <si>
    <t>1_subsidy_elec_pc_coverage__yd_7</t>
  </si>
  <si>
    <t>1_subsidy_elec_pc_mean__yd_7</t>
  </si>
  <si>
    <t>1_vat_elec_pc_beneficiaries__yd_7</t>
  </si>
  <si>
    <t>1_vat_elec_pc_benefits__yd_7</t>
  </si>
  <si>
    <t>1_vat_elec_pc_coverage__yd_7</t>
  </si>
  <si>
    <t>1_vat_elec_pc_mean__yd_7</t>
  </si>
  <si>
    <t>1_vat_fuel_pc_beneficiaries__yd_7</t>
  </si>
  <si>
    <t>1_vat_fuel_pc_benefits__yd_7</t>
  </si>
  <si>
    <t>1_vat_fuel_pc_coverage__yd_7</t>
  </si>
  <si>
    <t>1_vat_fuel_pc_mean__yd_7</t>
  </si>
  <si>
    <t>1_am_new_pnbsf_pc_beneficiaries__yd_7</t>
  </si>
  <si>
    <t>1_am_new_pnbsf_pc_benefits__yd_7</t>
  </si>
  <si>
    <t>1_am_new_pnbsf_pc_coverage__yd_7</t>
  </si>
  <si>
    <t>1_am_new_pnbsf_pc_mean__yd_7</t>
  </si>
  <si>
    <t>1_subsidy_fuel_direct_pc_beneficiaries__yd_8</t>
  </si>
  <si>
    <t>1_subsidy_fuel_direct_pc_benefits__yd_8</t>
  </si>
  <si>
    <t>1_subsidy_fuel_direct_pc_coverage__yd_8</t>
  </si>
  <si>
    <t>1_subsidy_fuel_direct_pc_mean__yd_8</t>
  </si>
  <si>
    <t>1_am_delayed_pnbsf_pc_beneficiaries__yd_8</t>
  </si>
  <si>
    <t>1_am_delayed_pnbsf_pc_benefits__yd_8</t>
  </si>
  <si>
    <t>1_am_delayed_pnbsf_pc_coverage__yd_8</t>
  </si>
  <si>
    <t>1_am_delayed_pnbsf_pc_mean__yd_8</t>
  </si>
  <si>
    <t>1_social_tranche_pc_beneficiaries__yd_8</t>
  </si>
  <si>
    <t>1_social_tranche_pc_benefits__yd_8</t>
  </si>
  <si>
    <t>1_social_tranche_pc_coverage__yd_8</t>
  </si>
  <si>
    <t>1_social_tranche_pc_mean__yd_8</t>
  </si>
  <si>
    <t>1_subs_public_transport_pc_beneficiaries__yd_8</t>
  </si>
  <si>
    <t>1_subs_public_transport_pc_benefits__yd_8</t>
  </si>
  <si>
    <t>1_subs_public_transport_pc_coverage__yd_8</t>
  </si>
  <si>
    <t>1_subs_public_transport_pc_mean__yd_8</t>
  </si>
  <si>
    <t>1_am_pnbsf_transferinc_pc_beneficiaries__yd_8</t>
  </si>
  <si>
    <t>1_am_pnbsf_transferinc_pc_benefits__yd_8</t>
  </si>
  <si>
    <t>1_am_pnbsf_transferinc_pc_coverage__yd_8</t>
  </si>
  <si>
    <t>1_am_pnbsf_transferinc_pc_mean__yd_8</t>
  </si>
  <si>
    <t>1_am_pnbsf_newbenefs_pc_beneficiaries__yd_8</t>
  </si>
  <si>
    <t>1_am_pnbsf_newbenefs_pc_benefits__yd_8</t>
  </si>
  <si>
    <t>1_am_pnbsf_newbenefs_pc_coverage__yd_8</t>
  </si>
  <si>
    <t>1_am_pnbsf_newbenefs_pc_mean__yd_8</t>
  </si>
  <si>
    <t>1_all_miti_pc_beneficiaries__yd_8</t>
  </si>
  <si>
    <t>1_all_miti_pc_benefits__yd_8</t>
  </si>
  <si>
    <t>1_all_miti_pc_coverage__yd_8</t>
  </si>
  <si>
    <t>1_all_miti_pc_mean__yd_8</t>
  </si>
  <si>
    <t>1_all_miti_noST_pc_beneficiaries__yd_8</t>
  </si>
  <si>
    <t>1_all_miti_noST_pc_benefits__yd_8</t>
  </si>
  <si>
    <t>1_all_miti_noST_pc_coverage__yd_8</t>
  </si>
  <si>
    <t>1_all_miti_noST_pc_mean__yd_8</t>
  </si>
  <si>
    <t>1_all_policies_miti_pc_beneficiaries__yd_8</t>
  </si>
  <si>
    <t>1_all_policies_miti_pc_benefits__yd_8</t>
  </si>
  <si>
    <t>1_all_policies_miti_pc_coverage__yd_8</t>
  </si>
  <si>
    <t>1_all_policies_miti_pc_mean__yd_8</t>
  </si>
  <si>
    <t>1_all_policies_noST_pc_beneficiaries__yd_8</t>
  </si>
  <si>
    <t>1_all_policies_noST_pc_benefits__yd_8</t>
  </si>
  <si>
    <t>1_all_policies_noST_pc_coverage__yd_8</t>
  </si>
  <si>
    <t>1_all_policies_noST_pc_mean__yd_8</t>
  </si>
  <si>
    <t>1_all_policies_pc_beneficiaries__yd_8</t>
  </si>
  <si>
    <t>1_all_policies_pc_benefits__yd_8</t>
  </si>
  <si>
    <t>1_all_policies_pc_coverage__yd_8</t>
  </si>
  <si>
    <t>1_all_policies_pc_mean__yd_8</t>
  </si>
  <si>
    <t>1_subsidy_fuel_indirect_pc_beneficiaries__yd_8</t>
  </si>
  <si>
    <t>1_subsidy_fuel_indirect_pc_benefits__yd_8</t>
  </si>
  <si>
    <t>1_subsidy_fuel_indirect_pc_coverage__yd_8</t>
  </si>
  <si>
    <t>1_subsidy_fuel_indirect_pc_mean__yd_8</t>
  </si>
  <si>
    <t>1_all_tax_pc_beneficiaries__yd_8</t>
  </si>
  <si>
    <t>1_all_tax_pc_benefits__yd_8</t>
  </si>
  <si>
    <t>1_all_tax_pc_coverage__yd_8</t>
  </si>
  <si>
    <t>1_all_tax_pc_mean__yd_8</t>
  </si>
  <si>
    <t>1_all_subs_noST_pc_beneficiaries__yd_8</t>
  </si>
  <si>
    <t>1_all_subs_noST_pc_benefits__yd_8</t>
  </si>
  <si>
    <t>1_all_subs_noST_pc_coverage__yd_8</t>
  </si>
  <si>
    <t>1_all_subs_noST_pc_mean__yd_8</t>
  </si>
  <si>
    <t>1_all_subs_pc_beneficiaries__yd_8</t>
  </si>
  <si>
    <t>1_all_subs_pc_benefits__yd_8</t>
  </si>
  <si>
    <t>1_all_subs_pc_coverage__yd_8</t>
  </si>
  <si>
    <t>1_all_subs_pc_mean__yd_8</t>
  </si>
  <si>
    <t>1_all_elec_noST_pc_beneficiaries__yd_8</t>
  </si>
  <si>
    <t>1_all_elec_noST_pc_benefits__yd_8</t>
  </si>
  <si>
    <t>1_all_elec_noST_pc_coverage__yd_8</t>
  </si>
  <si>
    <t>1_all_elec_noST_pc_mean__yd_8</t>
  </si>
  <si>
    <t>1_all_elec_pc_beneficiaries__yd_8</t>
  </si>
  <si>
    <t>1_all_elec_pc_benefits__yd_8</t>
  </si>
  <si>
    <t>1_all_elec_pc_coverage__yd_8</t>
  </si>
  <si>
    <t>1_all_elec_pc_mean__yd_8</t>
  </si>
  <si>
    <t>1_all_fuel_pc_beneficiaries__yd_8</t>
  </si>
  <si>
    <t>1_all_fuel_pc_benefits__yd_8</t>
  </si>
  <si>
    <t>1_all_fuel_pc_coverage__yd_8</t>
  </si>
  <si>
    <t>1_all_fuel_pc_mean__yd_8</t>
  </si>
  <si>
    <t>1_subsidy_fuel_pc_beneficiaries__yd_8</t>
  </si>
  <si>
    <t>1_subsidy_fuel_pc_benefits__yd_8</t>
  </si>
  <si>
    <t>1_subsidy_fuel_pc_coverage__yd_8</t>
  </si>
  <si>
    <t>1_subsidy_fuel_pc_mean__yd_8</t>
  </si>
  <si>
    <t>1_subsidy_elec_direct_pc_beneficiaries__yd_8</t>
  </si>
  <si>
    <t>1_subsidy_elec_direct_pc_benefits__yd_8</t>
  </si>
  <si>
    <t>1_subsidy_elec_direct_pc_coverage__yd_8</t>
  </si>
  <si>
    <t>1_subsidy_elec_direct_pc_mean__yd_8</t>
  </si>
  <si>
    <t>1_subsidy_elec_indirect_pc_beneficiaries__yd_8</t>
  </si>
  <si>
    <t>1_subsidy_elec_indirect_pc_benefits__yd_8</t>
  </si>
  <si>
    <t>1_subsidy_elec_indirect_pc_coverage__yd_8</t>
  </si>
  <si>
    <t>1_subsidy_elec_indirect_pc_mean__yd_8</t>
  </si>
  <si>
    <t>1_subsidy_elec_pc_beneficiaries__yd_8</t>
  </si>
  <si>
    <t>1_subsidy_elec_pc_benefits__yd_8</t>
  </si>
  <si>
    <t>1_subsidy_elec_pc_coverage__yd_8</t>
  </si>
  <si>
    <t>1_subsidy_elec_pc_mean__yd_8</t>
  </si>
  <si>
    <t>1_vat_elec_pc_beneficiaries__yd_8</t>
  </si>
  <si>
    <t>1_vat_elec_pc_benefits__yd_8</t>
  </si>
  <si>
    <t>1_vat_elec_pc_coverage__yd_8</t>
  </si>
  <si>
    <t>1_vat_elec_pc_mean__yd_8</t>
  </si>
  <si>
    <t>1_vat_fuel_pc_beneficiaries__yd_8</t>
  </si>
  <si>
    <t>1_vat_fuel_pc_benefits__yd_8</t>
  </si>
  <si>
    <t>1_vat_fuel_pc_coverage__yd_8</t>
  </si>
  <si>
    <t>1_vat_fuel_pc_mean__yd_8</t>
  </si>
  <si>
    <t>1_am_new_pnbsf_pc_beneficiaries__yd_8</t>
  </si>
  <si>
    <t>1_am_new_pnbsf_pc_benefits__yd_8</t>
  </si>
  <si>
    <t>1_am_new_pnbsf_pc_coverage__yd_8</t>
  </si>
  <si>
    <t>1_am_new_pnbsf_pc_mean__yd_8</t>
  </si>
  <si>
    <t>1_subsidy_fuel_direct_pc_beneficiaries__yd_9</t>
  </si>
  <si>
    <t>1_subsidy_fuel_direct_pc_benefits__yd_9</t>
  </si>
  <si>
    <t>1_subsidy_fuel_direct_pc_coverage__yd_9</t>
  </si>
  <si>
    <t>1_subsidy_fuel_direct_pc_mean__yd_9</t>
  </si>
  <si>
    <t>1_am_delayed_pnbsf_pc_beneficiaries__yd_9</t>
  </si>
  <si>
    <t>1_am_delayed_pnbsf_pc_benefits__yd_9</t>
  </si>
  <si>
    <t>1_am_delayed_pnbsf_pc_coverage__yd_9</t>
  </si>
  <si>
    <t>1_am_delayed_pnbsf_pc_mean__yd_9</t>
  </si>
  <si>
    <t>1_social_tranche_pc_beneficiaries__yd_9</t>
  </si>
  <si>
    <t>1_social_tranche_pc_benefits__yd_9</t>
  </si>
  <si>
    <t>1_social_tranche_pc_coverage__yd_9</t>
  </si>
  <si>
    <t>1_social_tranche_pc_mean__yd_9</t>
  </si>
  <si>
    <t>1_subs_public_transport_pc_beneficiaries__yd_9</t>
  </si>
  <si>
    <t>1_subs_public_transport_pc_benefits__yd_9</t>
  </si>
  <si>
    <t>1_subs_public_transport_pc_coverage__yd_9</t>
  </si>
  <si>
    <t>1_subs_public_transport_pc_mean__yd_9</t>
  </si>
  <si>
    <t>1_am_pnbsf_transferinc_pc_beneficiaries__yd_9</t>
  </si>
  <si>
    <t>1_am_pnbsf_transferinc_pc_benefits__yd_9</t>
  </si>
  <si>
    <t>1_am_pnbsf_transferinc_pc_coverage__yd_9</t>
  </si>
  <si>
    <t>1_am_pnbsf_transferinc_pc_mean__yd_9</t>
  </si>
  <si>
    <t>1_am_pnbsf_newbenefs_pc_beneficiaries__yd_9</t>
  </si>
  <si>
    <t>1_am_pnbsf_newbenefs_pc_benefits__yd_9</t>
  </si>
  <si>
    <t>1_am_pnbsf_newbenefs_pc_coverage__yd_9</t>
  </si>
  <si>
    <t>1_am_pnbsf_newbenefs_pc_mean__yd_9</t>
  </si>
  <si>
    <t>1_all_miti_pc_beneficiaries__yd_9</t>
  </si>
  <si>
    <t>1_all_miti_pc_benefits__yd_9</t>
  </si>
  <si>
    <t>1_all_miti_pc_coverage__yd_9</t>
  </si>
  <si>
    <t>1_all_miti_pc_mean__yd_9</t>
  </si>
  <si>
    <t>1_all_miti_noST_pc_beneficiaries__yd_9</t>
  </si>
  <si>
    <t>1_all_miti_noST_pc_benefits__yd_9</t>
  </si>
  <si>
    <t>1_all_miti_noST_pc_coverage__yd_9</t>
  </si>
  <si>
    <t>1_all_miti_noST_pc_mean__yd_9</t>
  </si>
  <si>
    <t>1_all_policies_miti_pc_beneficiaries__yd_9</t>
  </si>
  <si>
    <t>1_all_policies_miti_pc_benefits__yd_9</t>
  </si>
  <si>
    <t>1_all_policies_miti_pc_coverage__yd_9</t>
  </si>
  <si>
    <t>1_all_policies_miti_pc_mean__yd_9</t>
  </si>
  <si>
    <t>1_all_policies_noST_pc_beneficiaries__yd_9</t>
  </si>
  <si>
    <t>1_all_policies_noST_pc_benefits__yd_9</t>
  </si>
  <si>
    <t>1_all_policies_noST_pc_coverage__yd_9</t>
  </si>
  <si>
    <t>1_all_policies_noST_pc_mean__yd_9</t>
  </si>
  <si>
    <t>1_all_policies_pc_beneficiaries__yd_9</t>
  </si>
  <si>
    <t>1_all_policies_pc_benefits__yd_9</t>
  </si>
  <si>
    <t>1_all_policies_pc_coverage__yd_9</t>
  </si>
  <si>
    <t>1_all_policies_pc_mean__yd_9</t>
  </si>
  <si>
    <t>1_subsidy_fuel_indirect_pc_beneficiaries__yd_9</t>
  </si>
  <si>
    <t>1_subsidy_fuel_indirect_pc_benefits__yd_9</t>
  </si>
  <si>
    <t>1_subsidy_fuel_indirect_pc_coverage__yd_9</t>
  </si>
  <si>
    <t>1_subsidy_fuel_indirect_pc_mean__yd_9</t>
  </si>
  <si>
    <t>1_all_tax_pc_beneficiaries__yd_9</t>
  </si>
  <si>
    <t>1_all_tax_pc_benefits__yd_9</t>
  </si>
  <si>
    <t>1_all_tax_pc_coverage__yd_9</t>
  </si>
  <si>
    <t>1_all_tax_pc_mean__yd_9</t>
  </si>
  <si>
    <t>1_all_subs_noST_pc_beneficiaries__yd_9</t>
  </si>
  <si>
    <t>1_all_subs_noST_pc_benefits__yd_9</t>
  </si>
  <si>
    <t>1_all_subs_noST_pc_coverage__yd_9</t>
  </si>
  <si>
    <t>1_all_subs_noST_pc_mean__yd_9</t>
  </si>
  <si>
    <t>1_all_subs_pc_beneficiaries__yd_9</t>
  </si>
  <si>
    <t>1_all_subs_pc_benefits__yd_9</t>
  </si>
  <si>
    <t>1_all_subs_pc_coverage__yd_9</t>
  </si>
  <si>
    <t>1_all_subs_pc_mean__yd_9</t>
  </si>
  <si>
    <t>1_all_elec_noST_pc_beneficiaries__yd_9</t>
  </si>
  <si>
    <t>1_all_elec_noST_pc_benefits__yd_9</t>
  </si>
  <si>
    <t>1_all_elec_noST_pc_coverage__yd_9</t>
  </si>
  <si>
    <t>1_all_elec_noST_pc_mean__yd_9</t>
  </si>
  <si>
    <t>1_all_elec_pc_beneficiaries__yd_9</t>
  </si>
  <si>
    <t>1_all_elec_pc_benefits__yd_9</t>
  </si>
  <si>
    <t>1_all_elec_pc_coverage__yd_9</t>
  </si>
  <si>
    <t>1_all_elec_pc_mean__yd_9</t>
  </si>
  <si>
    <t>1_all_fuel_pc_beneficiaries__yd_9</t>
  </si>
  <si>
    <t>1_all_fuel_pc_benefits__yd_9</t>
  </si>
  <si>
    <t>1_all_fuel_pc_coverage__yd_9</t>
  </si>
  <si>
    <t>1_all_fuel_pc_mean__yd_9</t>
  </si>
  <si>
    <t>1_subsidy_fuel_pc_beneficiaries__yd_9</t>
  </si>
  <si>
    <t>1_subsidy_fuel_pc_benefits__yd_9</t>
  </si>
  <si>
    <t>1_subsidy_fuel_pc_coverage__yd_9</t>
  </si>
  <si>
    <t>1_subsidy_fuel_pc_mean__yd_9</t>
  </si>
  <si>
    <t>1_subsidy_elec_direct_pc_beneficiaries__yd_9</t>
  </si>
  <si>
    <t>1_subsidy_elec_direct_pc_benefits__yd_9</t>
  </si>
  <si>
    <t>1_subsidy_elec_direct_pc_coverage__yd_9</t>
  </si>
  <si>
    <t>1_subsidy_elec_direct_pc_mean__yd_9</t>
  </si>
  <si>
    <t>1_subsidy_elec_indirect_pc_beneficiaries__yd_9</t>
  </si>
  <si>
    <t>1_subsidy_elec_indirect_pc_benefits__yd_9</t>
  </si>
  <si>
    <t>1_subsidy_elec_indirect_pc_coverage__yd_9</t>
  </si>
  <si>
    <t>1_subsidy_elec_indirect_pc_mean__yd_9</t>
  </si>
  <si>
    <t>1_subsidy_elec_pc_beneficiaries__yd_9</t>
  </si>
  <si>
    <t>1_subsidy_elec_pc_benefits__yd_9</t>
  </si>
  <si>
    <t>1_subsidy_elec_pc_coverage__yd_9</t>
  </si>
  <si>
    <t>1_subsidy_elec_pc_mean__yd_9</t>
  </si>
  <si>
    <t>1_vat_elec_pc_beneficiaries__yd_9</t>
  </si>
  <si>
    <t>1_vat_elec_pc_benefits__yd_9</t>
  </si>
  <si>
    <t>1_vat_elec_pc_coverage__yd_9</t>
  </si>
  <si>
    <t>1_vat_elec_pc_mean__yd_9</t>
  </si>
  <si>
    <t>1_vat_fuel_pc_beneficiaries__yd_9</t>
  </si>
  <si>
    <t>1_vat_fuel_pc_benefits__yd_9</t>
  </si>
  <si>
    <t>1_vat_fuel_pc_coverage__yd_9</t>
  </si>
  <si>
    <t>1_vat_fuel_pc_mean__yd_9</t>
  </si>
  <si>
    <t>1_am_new_pnbsf_pc_beneficiaries__yd_9</t>
  </si>
  <si>
    <t>1_am_new_pnbsf_pc_benefits__yd_9</t>
  </si>
  <si>
    <t>1_am_new_pnbsf_pc_coverage__yd_9</t>
  </si>
  <si>
    <t>1_am_new_pnbsf_pc_mean__yd_9</t>
  </si>
  <si>
    <t>1_subsidy_fuel_direct_pc_beneficiaries__yd_10</t>
  </si>
  <si>
    <t>1_subsidy_fuel_direct_pc_benefits__yd_10</t>
  </si>
  <si>
    <t>1_subsidy_fuel_direct_pc_coverage__yd_10</t>
  </si>
  <si>
    <t>1_subsidy_fuel_direct_pc_mean__yd_10</t>
  </si>
  <si>
    <t>1_am_delayed_pnbsf_pc_beneficiaries__yd_10</t>
  </si>
  <si>
    <t>1_am_delayed_pnbsf_pc_benefits__yd_10</t>
  </si>
  <si>
    <t>1_am_delayed_pnbsf_pc_coverage__yd_10</t>
  </si>
  <si>
    <t>1_am_delayed_pnbsf_pc_mean__yd_10</t>
  </si>
  <si>
    <t>1_social_tranche_pc_beneficiaries__yd_10</t>
  </si>
  <si>
    <t>1_social_tranche_pc_benefits__yd_10</t>
  </si>
  <si>
    <t>1_social_tranche_pc_coverage__yd_10</t>
  </si>
  <si>
    <t>1_social_tranche_pc_mean__yd_10</t>
  </si>
  <si>
    <t>1_subs_public_transport_pc_beneficiaries__yd_10</t>
  </si>
  <si>
    <t>1_subs_public_transport_pc_benefits__yd_10</t>
  </si>
  <si>
    <t>1_subs_public_transport_pc_coverage__yd_10</t>
  </si>
  <si>
    <t>1_subs_public_transport_pc_mean__yd_10</t>
  </si>
  <si>
    <t>1_am_pnbsf_transferinc_pc_beneficiaries__yd_10</t>
  </si>
  <si>
    <t>1_am_pnbsf_transferinc_pc_benefits__yd_10</t>
  </si>
  <si>
    <t>1_am_pnbsf_transferinc_pc_coverage__yd_10</t>
  </si>
  <si>
    <t>1_am_pnbsf_transferinc_pc_mean__yd_10</t>
  </si>
  <si>
    <t>1_am_pnbsf_newbenefs_pc_beneficiaries__yd_10</t>
  </si>
  <si>
    <t>1_am_pnbsf_newbenefs_pc_benefits__yd_10</t>
  </si>
  <si>
    <t>1_am_pnbsf_newbenefs_pc_coverage__yd_10</t>
  </si>
  <si>
    <t>1_am_pnbsf_newbenefs_pc_mean__yd_10</t>
  </si>
  <si>
    <t>1_all_miti_pc_beneficiaries__yd_10</t>
  </si>
  <si>
    <t>1_all_miti_pc_benefits__yd_10</t>
  </si>
  <si>
    <t>1_all_miti_pc_coverage__yd_10</t>
  </si>
  <si>
    <t>1_all_miti_pc_mean__yd_10</t>
  </si>
  <si>
    <t>1_all_miti_noST_pc_beneficiaries__yd_10</t>
  </si>
  <si>
    <t>1_all_miti_noST_pc_benefits__yd_10</t>
  </si>
  <si>
    <t>1_all_miti_noST_pc_coverage__yd_10</t>
  </si>
  <si>
    <t>1_all_miti_noST_pc_mean__yd_10</t>
  </si>
  <si>
    <t>1_all_policies_miti_pc_beneficiaries__yd_10</t>
  </si>
  <si>
    <t>1_all_policies_miti_pc_benefits__yd_10</t>
  </si>
  <si>
    <t>1_all_policies_miti_pc_coverage__yd_10</t>
  </si>
  <si>
    <t>1_all_policies_miti_pc_mean__yd_10</t>
  </si>
  <si>
    <t>1_all_policies_noST_pc_beneficiaries__yd_10</t>
  </si>
  <si>
    <t>1_all_policies_noST_pc_benefits__yd_10</t>
  </si>
  <si>
    <t>1_all_policies_noST_pc_coverage__yd_10</t>
  </si>
  <si>
    <t>1_all_policies_noST_pc_mean__yd_10</t>
  </si>
  <si>
    <t>1_all_policies_pc_beneficiaries__yd_10</t>
  </si>
  <si>
    <t>1_all_policies_pc_benefits__yd_10</t>
  </si>
  <si>
    <t>1_all_policies_pc_coverage__yd_10</t>
  </si>
  <si>
    <t>1_all_policies_pc_mean__yd_10</t>
  </si>
  <si>
    <t>1_subsidy_fuel_indirect_pc_beneficiaries__yd_10</t>
  </si>
  <si>
    <t>1_subsidy_fuel_indirect_pc_benefits__yd_10</t>
  </si>
  <si>
    <t>1_subsidy_fuel_indirect_pc_coverage__yd_10</t>
  </si>
  <si>
    <t>1_subsidy_fuel_indirect_pc_mean__yd_10</t>
  </si>
  <si>
    <t>1_all_tax_pc_beneficiaries__yd_10</t>
  </si>
  <si>
    <t>1_all_tax_pc_benefits__yd_10</t>
  </si>
  <si>
    <t>1_all_tax_pc_coverage__yd_10</t>
  </si>
  <si>
    <t>1_all_tax_pc_mean__yd_10</t>
  </si>
  <si>
    <t>1_all_subs_noST_pc_beneficiaries__yd_10</t>
  </si>
  <si>
    <t>1_all_subs_noST_pc_benefits__yd_10</t>
  </si>
  <si>
    <t>1_all_subs_noST_pc_coverage__yd_10</t>
  </si>
  <si>
    <t>1_all_subs_noST_pc_mean__yd_10</t>
  </si>
  <si>
    <t>1_all_subs_pc_beneficiaries__yd_10</t>
  </si>
  <si>
    <t>1_all_subs_pc_benefits__yd_10</t>
  </si>
  <si>
    <t>1_all_subs_pc_coverage__yd_10</t>
  </si>
  <si>
    <t>1_all_subs_pc_mean__yd_10</t>
  </si>
  <si>
    <t>1_all_elec_noST_pc_beneficiaries__yd_10</t>
  </si>
  <si>
    <t>1_all_elec_noST_pc_benefits__yd_10</t>
  </si>
  <si>
    <t>1_all_elec_noST_pc_coverage__yd_10</t>
  </si>
  <si>
    <t>1_all_elec_noST_pc_mean__yd_10</t>
  </si>
  <si>
    <t>1_all_elec_pc_beneficiaries__yd_10</t>
  </si>
  <si>
    <t>1_all_elec_pc_benefits__yd_10</t>
  </si>
  <si>
    <t>1_all_elec_pc_coverage__yd_10</t>
  </si>
  <si>
    <t>1_all_elec_pc_mean__yd_10</t>
  </si>
  <si>
    <t>1_all_fuel_pc_beneficiaries__yd_10</t>
  </si>
  <si>
    <t>1_all_fuel_pc_benefits__yd_10</t>
  </si>
  <si>
    <t>1_all_fuel_pc_coverage__yd_10</t>
  </si>
  <si>
    <t>1_all_fuel_pc_mean__yd_10</t>
  </si>
  <si>
    <t>1_subsidy_fuel_pc_beneficiaries__yd_10</t>
  </si>
  <si>
    <t>1_subsidy_fuel_pc_benefits__yd_10</t>
  </si>
  <si>
    <t>1_subsidy_fuel_pc_coverage__yd_10</t>
  </si>
  <si>
    <t>1_subsidy_fuel_pc_mean__yd_10</t>
  </si>
  <si>
    <t>1_subsidy_elec_direct_pc_beneficiaries__yd_10</t>
  </si>
  <si>
    <t>1_subsidy_elec_direct_pc_benefits__yd_10</t>
  </si>
  <si>
    <t>1_subsidy_elec_direct_pc_coverage__yd_10</t>
  </si>
  <si>
    <t>1_subsidy_elec_direct_pc_mean__yd_10</t>
  </si>
  <si>
    <t>1_subsidy_elec_indirect_pc_beneficiaries__yd_10</t>
  </si>
  <si>
    <t>1_subsidy_elec_indirect_pc_benefits__yd_10</t>
  </si>
  <si>
    <t>1_subsidy_elec_indirect_pc_coverage__yd_10</t>
  </si>
  <si>
    <t>1_subsidy_elec_indirect_pc_mean__yd_10</t>
  </si>
  <si>
    <t>1_subsidy_elec_pc_beneficiaries__yd_10</t>
  </si>
  <si>
    <t>1_subsidy_elec_pc_benefits__yd_10</t>
  </si>
  <si>
    <t>1_subsidy_elec_pc_coverage__yd_10</t>
  </si>
  <si>
    <t>1_subsidy_elec_pc_mean__yd_10</t>
  </si>
  <si>
    <t>1_vat_elec_pc_beneficiaries__yd_10</t>
  </si>
  <si>
    <t>1_vat_elec_pc_benefits__yd_10</t>
  </si>
  <si>
    <t>1_vat_elec_pc_coverage__yd_10</t>
  </si>
  <si>
    <t>1_vat_elec_pc_mean__yd_10</t>
  </si>
  <si>
    <t>1_vat_fuel_pc_beneficiaries__yd_10</t>
  </si>
  <si>
    <t>1_vat_fuel_pc_benefits__yd_10</t>
  </si>
  <si>
    <t>1_vat_fuel_pc_coverage__yd_10</t>
  </si>
  <si>
    <t>1_vat_fuel_pc_mean__yd_10</t>
  </si>
  <si>
    <t>1_am_new_pnbsf_pc_beneficiaries__yd_10</t>
  </si>
  <si>
    <t>1_am_new_pnbsf_pc_benefits__yd_10</t>
  </si>
  <si>
    <t>1_am_new_pnbsf_pc_coverage__yd_10</t>
  </si>
  <si>
    <t>1_am_new_pnbsf_pc_mean__yd_10</t>
  </si>
  <si>
    <t>1_all_elec_noST_pc_netcash__yd_1</t>
  </si>
  <si>
    <t>1_all_elec_pc_netcash__yd_1</t>
  </si>
  <si>
    <t>1_all_fuel_pc_netcash__yd_1</t>
  </si>
  <si>
    <t>1_all_miti_noST_pc_netcash__yd_1</t>
  </si>
  <si>
    <t>1_all_miti_pc_netcash__yd_1</t>
  </si>
  <si>
    <t>1_all_policies_miti_pc_netcash__yd_1</t>
  </si>
  <si>
    <t>1_all_policies_noST_pc_netcash__yd_1</t>
  </si>
  <si>
    <t>1_all_policies_pc_netcash__yd_1</t>
  </si>
  <si>
    <t>1_all_subs_noST_pc_netcash__yd_1</t>
  </si>
  <si>
    <t>1_all_subs_pc_netcash__yd_1</t>
  </si>
  <si>
    <t>1_all_tax_pc_netcash__yd_1</t>
  </si>
  <si>
    <t>1_am_delayed_pnbsf_pc_netcash__yd_1</t>
  </si>
  <si>
    <t>1_am_new_pnbsf_pc_netcash__yd_1</t>
  </si>
  <si>
    <t>1_am_pnbsf_newbenefs_pc_netcash__yd_1</t>
  </si>
  <si>
    <t>1_am_pnbsf_transferinc_pc_netcash__yd_1</t>
  </si>
  <si>
    <t>1_social_tranche_pc_netcash__yd_1</t>
  </si>
  <si>
    <t>1_subs_public_transport_pc_netcash__yd_1</t>
  </si>
  <si>
    <t>1_subsidy_elec_direct_pc_netcash__yd_1</t>
  </si>
  <si>
    <t>1_subsidy_elec_indirect_pc_netcash__yd_1</t>
  </si>
  <si>
    <t>1_subsidy_elec_pc_netcash__yd_1</t>
  </si>
  <si>
    <t>1_subsidy_fuel_direct_pc_netcash__yd_1</t>
  </si>
  <si>
    <t>1_subsidy_fuel_indirect_pc_netcash__yd_1</t>
  </si>
  <si>
    <t>1_subsidy_fuel_pc_netcash__yd_1</t>
  </si>
  <si>
    <t>1_vat_elec_pc_netcash__yd_1</t>
  </si>
  <si>
    <t>1_vat_fuel_pc_netcash__yd_1</t>
  </si>
  <si>
    <t>1_all_elec_noST_pc_netcash__yd_2</t>
  </si>
  <si>
    <t>1_all_elec_pc_netcash__yd_2</t>
  </si>
  <si>
    <t>1_all_fuel_pc_netcash__yd_2</t>
  </si>
  <si>
    <t>1_all_miti_noST_pc_netcash__yd_2</t>
  </si>
  <si>
    <t>1_all_miti_pc_netcash__yd_2</t>
  </si>
  <si>
    <t>1_all_policies_miti_pc_netcash__yd_2</t>
  </si>
  <si>
    <t>1_all_policies_noST_pc_netcash__yd_2</t>
  </si>
  <si>
    <t>1_all_policies_pc_netcash__yd_2</t>
  </si>
  <si>
    <t>1_all_subs_noST_pc_netcash__yd_2</t>
  </si>
  <si>
    <t>1_all_subs_pc_netcash__yd_2</t>
  </si>
  <si>
    <t>1_all_tax_pc_netcash__yd_2</t>
  </si>
  <si>
    <t>1_am_delayed_pnbsf_pc_netcash__yd_2</t>
  </si>
  <si>
    <t>1_am_new_pnbsf_pc_netcash__yd_2</t>
  </si>
  <si>
    <t>1_am_pnbsf_newbenefs_pc_netcash__yd_2</t>
  </si>
  <si>
    <t>1_am_pnbsf_transferinc_pc_netcash__yd_2</t>
  </si>
  <si>
    <t>1_social_tranche_pc_netcash__yd_2</t>
  </si>
  <si>
    <t>1_subs_public_transport_pc_netcash__yd_2</t>
  </si>
  <si>
    <t>1_subsidy_elec_direct_pc_netcash__yd_2</t>
  </si>
  <si>
    <t>1_subsidy_elec_indirect_pc_netcash__yd_2</t>
  </si>
  <si>
    <t>1_subsidy_elec_pc_netcash__yd_2</t>
  </si>
  <si>
    <t>1_subsidy_fuel_direct_pc_netcash__yd_2</t>
  </si>
  <si>
    <t>1_subsidy_fuel_indirect_pc_netcash__yd_2</t>
  </si>
  <si>
    <t>1_subsidy_fuel_pc_netcash__yd_2</t>
  </si>
  <si>
    <t>1_vat_elec_pc_netcash__yd_2</t>
  </si>
  <si>
    <t>1_vat_fuel_pc_netcash__yd_2</t>
  </si>
  <si>
    <t>1_all_elec_noST_pc_netcash__yd_3</t>
  </si>
  <si>
    <t>1_all_elec_pc_netcash__yd_3</t>
  </si>
  <si>
    <t>1_all_fuel_pc_netcash__yd_3</t>
  </si>
  <si>
    <t>1_all_miti_noST_pc_netcash__yd_3</t>
  </si>
  <si>
    <t>1_all_miti_pc_netcash__yd_3</t>
  </si>
  <si>
    <t>1_all_policies_miti_pc_netcash__yd_3</t>
  </si>
  <si>
    <t>1_all_policies_noST_pc_netcash__yd_3</t>
  </si>
  <si>
    <t>1_all_policies_pc_netcash__yd_3</t>
  </si>
  <si>
    <t>1_all_subs_noST_pc_netcash__yd_3</t>
  </si>
  <si>
    <t>1_all_subs_pc_netcash__yd_3</t>
  </si>
  <si>
    <t>1_all_tax_pc_netcash__yd_3</t>
  </si>
  <si>
    <t>1_am_delayed_pnbsf_pc_netcash__yd_3</t>
  </si>
  <si>
    <t>1_am_new_pnbsf_pc_netcash__yd_3</t>
  </si>
  <si>
    <t>1_am_pnbsf_newbenefs_pc_netcash__yd_3</t>
  </si>
  <si>
    <t>1_am_pnbsf_transferinc_pc_netcash__yd_3</t>
  </si>
  <si>
    <t>1_social_tranche_pc_netcash__yd_3</t>
  </si>
  <si>
    <t>1_subs_public_transport_pc_netcash__yd_3</t>
  </si>
  <si>
    <t>1_subsidy_elec_direct_pc_netcash__yd_3</t>
  </si>
  <si>
    <t>1_subsidy_elec_indirect_pc_netcash__yd_3</t>
  </si>
  <si>
    <t>1_subsidy_elec_pc_netcash__yd_3</t>
  </si>
  <si>
    <t>1_subsidy_fuel_direct_pc_netcash__yd_3</t>
  </si>
  <si>
    <t>1_subsidy_fuel_indirect_pc_netcash__yd_3</t>
  </si>
  <si>
    <t>1_subsidy_fuel_pc_netcash__yd_3</t>
  </si>
  <si>
    <t>1_vat_elec_pc_netcash__yd_3</t>
  </si>
  <si>
    <t>1_vat_fuel_pc_netcash__yd_3</t>
  </si>
  <si>
    <t>1_all_elec_noST_pc_netcash__yd_4</t>
  </si>
  <si>
    <t>1_all_elec_pc_netcash__yd_4</t>
  </si>
  <si>
    <t>1_all_fuel_pc_netcash__yd_4</t>
  </si>
  <si>
    <t>1_all_miti_noST_pc_netcash__yd_4</t>
  </si>
  <si>
    <t>1_all_miti_pc_netcash__yd_4</t>
  </si>
  <si>
    <t>1_all_policies_miti_pc_netcash__yd_4</t>
  </si>
  <si>
    <t>1_all_policies_noST_pc_netcash__yd_4</t>
  </si>
  <si>
    <t>1_all_policies_pc_netcash__yd_4</t>
  </si>
  <si>
    <t>1_all_subs_noST_pc_netcash__yd_4</t>
  </si>
  <si>
    <t>1_all_subs_pc_netcash__yd_4</t>
  </si>
  <si>
    <t>1_all_tax_pc_netcash__yd_4</t>
  </si>
  <si>
    <t>1_am_delayed_pnbsf_pc_netcash__yd_4</t>
  </si>
  <si>
    <t>1_am_new_pnbsf_pc_netcash__yd_4</t>
  </si>
  <si>
    <t>1_am_pnbsf_newbenefs_pc_netcash__yd_4</t>
  </si>
  <si>
    <t>1_am_pnbsf_transferinc_pc_netcash__yd_4</t>
  </si>
  <si>
    <t>1_social_tranche_pc_netcash__yd_4</t>
  </si>
  <si>
    <t>1_subs_public_transport_pc_netcash__yd_4</t>
  </si>
  <si>
    <t>1_subsidy_elec_direct_pc_netcash__yd_4</t>
  </si>
  <si>
    <t>1_subsidy_elec_indirect_pc_netcash__yd_4</t>
  </si>
  <si>
    <t>1_subsidy_elec_pc_netcash__yd_4</t>
  </si>
  <si>
    <t>1_subsidy_fuel_direct_pc_netcash__yd_4</t>
  </si>
  <si>
    <t>1_subsidy_fuel_indirect_pc_netcash__yd_4</t>
  </si>
  <si>
    <t>1_subsidy_fuel_pc_netcash__yd_4</t>
  </si>
  <si>
    <t>1_vat_elec_pc_netcash__yd_4</t>
  </si>
  <si>
    <t>1_vat_fuel_pc_netcash__yd_4</t>
  </si>
  <si>
    <t>1_all_elec_noST_pc_netcash__yd_5</t>
  </si>
  <si>
    <t>1_all_elec_pc_netcash__yd_5</t>
  </si>
  <si>
    <t>1_all_fuel_pc_netcash__yd_5</t>
  </si>
  <si>
    <t>1_all_miti_noST_pc_netcash__yd_5</t>
  </si>
  <si>
    <t>1_all_miti_pc_netcash__yd_5</t>
  </si>
  <si>
    <t>1_all_policies_miti_pc_netcash__yd_5</t>
  </si>
  <si>
    <t>1_all_policies_noST_pc_netcash__yd_5</t>
  </si>
  <si>
    <t>1_all_policies_pc_netcash__yd_5</t>
  </si>
  <si>
    <t>1_all_subs_noST_pc_netcash__yd_5</t>
  </si>
  <si>
    <t>1_all_subs_pc_netcash__yd_5</t>
  </si>
  <si>
    <t>1_all_tax_pc_netcash__yd_5</t>
  </si>
  <si>
    <t>1_am_delayed_pnbsf_pc_netcash__yd_5</t>
  </si>
  <si>
    <t>1_am_new_pnbsf_pc_netcash__yd_5</t>
  </si>
  <si>
    <t>1_am_pnbsf_newbenefs_pc_netcash__yd_5</t>
  </si>
  <si>
    <t>1_am_pnbsf_transferinc_pc_netcash__yd_5</t>
  </si>
  <si>
    <t>1_social_tranche_pc_netcash__yd_5</t>
  </si>
  <si>
    <t>1_subs_public_transport_pc_netcash__yd_5</t>
  </si>
  <si>
    <t>1_subsidy_elec_direct_pc_netcash__yd_5</t>
  </si>
  <si>
    <t>1_subsidy_elec_indirect_pc_netcash__yd_5</t>
  </si>
  <si>
    <t>1_subsidy_elec_pc_netcash__yd_5</t>
  </si>
  <si>
    <t>1_subsidy_fuel_direct_pc_netcash__yd_5</t>
  </si>
  <si>
    <t>1_subsidy_fuel_indirect_pc_netcash__yd_5</t>
  </si>
  <si>
    <t>1_subsidy_fuel_pc_netcash__yd_5</t>
  </si>
  <si>
    <t>1_vat_elec_pc_netcash__yd_5</t>
  </si>
  <si>
    <t>1_vat_fuel_pc_netcash__yd_5</t>
  </si>
  <si>
    <t>1_all_elec_noST_pc_netcash__yd_6</t>
  </si>
  <si>
    <t>1_all_elec_pc_netcash__yd_6</t>
  </si>
  <si>
    <t>1_all_fuel_pc_netcash__yd_6</t>
  </si>
  <si>
    <t>1_all_miti_noST_pc_netcash__yd_6</t>
  </si>
  <si>
    <t>1_all_miti_pc_netcash__yd_6</t>
  </si>
  <si>
    <t>1_all_policies_miti_pc_netcash__yd_6</t>
  </si>
  <si>
    <t>1_all_policies_noST_pc_netcash__yd_6</t>
  </si>
  <si>
    <t>1_all_policies_pc_netcash__yd_6</t>
  </si>
  <si>
    <t>1_all_subs_noST_pc_netcash__yd_6</t>
  </si>
  <si>
    <t>1_all_subs_pc_netcash__yd_6</t>
  </si>
  <si>
    <t>1_all_tax_pc_netcash__yd_6</t>
  </si>
  <si>
    <t>1_am_delayed_pnbsf_pc_netcash__yd_6</t>
  </si>
  <si>
    <t>1_am_new_pnbsf_pc_netcash__yd_6</t>
  </si>
  <si>
    <t>1_am_pnbsf_newbenefs_pc_netcash__yd_6</t>
  </si>
  <si>
    <t>1_am_pnbsf_transferinc_pc_netcash__yd_6</t>
  </si>
  <si>
    <t>1_social_tranche_pc_netcash__yd_6</t>
  </si>
  <si>
    <t>1_subs_public_transport_pc_netcash__yd_6</t>
  </si>
  <si>
    <t>1_subsidy_elec_direct_pc_netcash__yd_6</t>
  </si>
  <si>
    <t>1_subsidy_elec_indirect_pc_netcash__yd_6</t>
  </si>
  <si>
    <t>1_subsidy_elec_pc_netcash__yd_6</t>
  </si>
  <si>
    <t>1_subsidy_fuel_direct_pc_netcash__yd_6</t>
  </si>
  <si>
    <t>1_subsidy_fuel_indirect_pc_netcash__yd_6</t>
  </si>
  <si>
    <t>1_subsidy_fuel_pc_netcash__yd_6</t>
  </si>
  <si>
    <t>1_vat_elec_pc_netcash__yd_6</t>
  </si>
  <si>
    <t>1_vat_fuel_pc_netcash__yd_6</t>
  </si>
  <si>
    <t>1_all_elec_noST_pc_netcash__yd_7</t>
  </si>
  <si>
    <t>1_all_elec_pc_netcash__yd_7</t>
  </si>
  <si>
    <t>1_all_fuel_pc_netcash__yd_7</t>
  </si>
  <si>
    <t>1_all_miti_noST_pc_netcash__yd_7</t>
  </si>
  <si>
    <t>1_all_miti_pc_netcash__yd_7</t>
  </si>
  <si>
    <t>1_all_policies_miti_pc_netcash__yd_7</t>
  </si>
  <si>
    <t>1_all_policies_noST_pc_netcash__yd_7</t>
  </si>
  <si>
    <t>1_all_policies_pc_netcash__yd_7</t>
  </si>
  <si>
    <t>1_all_subs_noST_pc_netcash__yd_7</t>
  </si>
  <si>
    <t>1_all_subs_pc_netcash__yd_7</t>
  </si>
  <si>
    <t>1_all_tax_pc_netcash__yd_7</t>
  </si>
  <si>
    <t>1_am_delayed_pnbsf_pc_netcash__yd_7</t>
  </si>
  <si>
    <t>1_am_new_pnbsf_pc_netcash__yd_7</t>
  </si>
  <si>
    <t>1_am_pnbsf_newbenefs_pc_netcash__yd_7</t>
  </si>
  <si>
    <t>1_am_pnbsf_transferinc_pc_netcash__yd_7</t>
  </si>
  <si>
    <t>1_social_tranche_pc_netcash__yd_7</t>
  </si>
  <si>
    <t>1_subs_public_transport_pc_netcash__yd_7</t>
  </si>
  <si>
    <t>1_subsidy_elec_direct_pc_netcash__yd_7</t>
  </si>
  <si>
    <t>1_subsidy_elec_indirect_pc_netcash__yd_7</t>
  </si>
  <si>
    <t>1_subsidy_elec_pc_netcash__yd_7</t>
  </si>
  <si>
    <t>1_subsidy_fuel_direct_pc_netcash__yd_7</t>
  </si>
  <si>
    <t>1_subsidy_fuel_indirect_pc_netcash__yd_7</t>
  </si>
  <si>
    <t>1_subsidy_fuel_pc_netcash__yd_7</t>
  </si>
  <si>
    <t>1_vat_elec_pc_netcash__yd_7</t>
  </si>
  <si>
    <t>1_vat_fuel_pc_netcash__yd_7</t>
  </si>
  <si>
    <t>1_all_elec_noST_pc_netcash__yd_8</t>
  </si>
  <si>
    <t>1_all_elec_pc_netcash__yd_8</t>
  </si>
  <si>
    <t>1_all_fuel_pc_netcash__yd_8</t>
  </si>
  <si>
    <t>1_all_miti_noST_pc_netcash__yd_8</t>
  </si>
  <si>
    <t>1_all_miti_pc_netcash__yd_8</t>
  </si>
  <si>
    <t>1_all_policies_miti_pc_netcash__yd_8</t>
  </si>
  <si>
    <t>1_all_policies_noST_pc_netcash__yd_8</t>
  </si>
  <si>
    <t>1_all_policies_pc_netcash__yd_8</t>
  </si>
  <si>
    <t>1_all_subs_noST_pc_netcash__yd_8</t>
  </si>
  <si>
    <t>1_all_subs_pc_netcash__yd_8</t>
  </si>
  <si>
    <t>1_all_tax_pc_netcash__yd_8</t>
  </si>
  <si>
    <t>1_am_delayed_pnbsf_pc_netcash__yd_8</t>
  </si>
  <si>
    <t>1_am_new_pnbsf_pc_netcash__yd_8</t>
  </si>
  <si>
    <t>1_am_pnbsf_newbenefs_pc_netcash__yd_8</t>
  </si>
  <si>
    <t>1_am_pnbsf_transferinc_pc_netcash__yd_8</t>
  </si>
  <si>
    <t>1_social_tranche_pc_netcash__yd_8</t>
  </si>
  <si>
    <t>1_subs_public_transport_pc_netcash__yd_8</t>
  </si>
  <si>
    <t>1_subsidy_elec_direct_pc_netcash__yd_8</t>
  </si>
  <si>
    <t>1_subsidy_elec_indirect_pc_netcash__yd_8</t>
  </si>
  <si>
    <t>1_subsidy_elec_pc_netcash__yd_8</t>
  </si>
  <si>
    <t>1_subsidy_fuel_direct_pc_netcash__yd_8</t>
  </si>
  <si>
    <t>1_subsidy_fuel_indirect_pc_netcash__yd_8</t>
  </si>
  <si>
    <t>1_subsidy_fuel_pc_netcash__yd_8</t>
  </si>
  <si>
    <t>1_vat_elec_pc_netcash__yd_8</t>
  </si>
  <si>
    <t>1_vat_fuel_pc_netcash__yd_8</t>
  </si>
  <si>
    <t>1_all_elec_noST_pc_netcash__yd_9</t>
  </si>
  <si>
    <t>1_all_elec_pc_netcash__yd_9</t>
  </si>
  <si>
    <t>1_all_fuel_pc_netcash__yd_9</t>
  </si>
  <si>
    <t>1_all_miti_noST_pc_netcash__yd_9</t>
  </si>
  <si>
    <t>1_all_miti_pc_netcash__yd_9</t>
  </si>
  <si>
    <t>1_all_policies_miti_pc_netcash__yd_9</t>
  </si>
  <si>
    <t>1_all_policies_noST_pc_netcash__yd_9</t>
  </si>
  <si>
    <t>1_all_policies_pc_netcash__yd_9</t>
  </si>
  <si>
    <t>1_all_subs_noST_pc_netcash__yd_9</t>
  </si>
  <si>
    <t>1_all_subs_pc_netcash__yd_9</t>
  </si>
  <si>
    <t>1_all_tax_pc_netcash__yd_9</t>
  </si>
  <si>
    <t>1_am_delayed_pnbsf_pc_netcash__yd_9</t>
  </si>
  <si>
    <t>1_am_new_pnbsf_pc_netcash__yd_9</t>
  </si>
  <si>
    <t>1_am_pnbsf_newbenefs_pc_netcash__yd_9</t>
  </si>
  <si>
    <t>1_am_pnbsf_transferinc_pc_netcash__yd_9</t>
  </si>
  <si>
    <t>1_social_tranche_pc_netcash__yd_9</t>
  </si>
  <si>
    <t>1_subs_public_transport_pc_netcash__yd_9</t>
  </si>
  <si>
    <t>1_subsidy_elec_direct_pc_netcash__yd_9</t>
  </si>
  <si>
    <t>1_subsidy_elec_indirect_pc_netcash__yd_9</t>
  </si>
  <si>
    <t>1_subsidy_elec_pc_netcash__yd_9</t>
  </si>
  <si>
    <t>1_subsidy_fuel_direct_pc_netcash__yd_9</t>
  </si>
  <si>
    <t>1_subsidy_fuel_indirect_pc_netcash__yd_9</t>
  </si>
  <si>
    <t>1_subsidy_fuel_pc_netcash__yd_9</t>
  </si>
  <si>
    <t>1_vat_elec_pc_netcash__yd_9</t>
  </si>
  <si>
    <t>1_vat_fuel_pc_netcash__yd_9</t>
  </si>
  <si>
    <t>1_all_elec_noST_pc_netcash__yd_10</t>
  </si>
  <si>
    <t>1_all_elec_pc_netcash__yd_10</t>
  </si>
  <si>
    <t>1_all_fuel_pc_netcash__yd_10</t>
  </si>
  <si>
    <t>1_all_miti_noST_pc_netcash__yd_10</t>
  </si>
  <si>
    <t>1_all_miti_pc_netcash__yd_10</t>
  </si>
  <si>
    <t>1_all_policies_miti_pc_netcash__yd_10</t>
  </si>
  <si>
    <t>1_all_policies_noST_pc_netcash__yd_10</t>
  </si>
  <si>
    <t>1_all_policies_pc_netcash__yd_10</t>
  </si>
  <si>
    <t>1_all_subs_noST_pc_netcash__yd_10</t>
  </si>
  <si>
    <t>1_all_subs_pc_netcash__yd_10</t>
  </si>
  <si>
    <t>1_all_tax_pc_netcash__yd_10</t>
  </si>
  <si>
    <t>1_am_delayed_pnbsf_pc_netcash__yd_10</t>
  </si>
  <si>
    <t>1_am_new_pnbsf_pc_netcash__yd_10</t>
  </si>
  <si>
    <t>1_am_pnbsf_newbenefs_pc_netcash__yd_10</t>
  </si>
  <si>
    <t>1_am_pnbsf_transferinc_pc_netcash__yd_10</t>
  </si>
  <si>
    <t>1_social_tranche_pc_netcash__yd_10</t>
  </si>
  <si>
    <t>1_subs_public_transport_pc_netcash__yd_10</t>
  </si>
  <si>
    <t>1_subsidy_elec_direct_pc_netcash__yd_10</t>
  </si>
  <si>
    <t>1_subsidy_elec_indirect_pc_netcash__yd_10</t>
  </si>
  <si>
    <t>1_subsidy_elec_pc_netcash__yd_10</t>
  </si>
  <si>
    <t>1_subsidy_fuel_direct_pc_netcash__yd_10</t>
  </si>
  <si>
    <t>1_subsidy_fuel_indirect_pc_netcash__yd_10</t>
  </si>
  <si>
    <t>1_subsidy_fuel_pc_netcash__yd_10</t>
  </si>
  <si>
    <t>1_vat_elec_pc_netcash__yd_10</t>
  </si>
  <si>
    <t>1_vat_fuel_pc_netcash__yd_10</t>
  </si>
  <si>
    <t>1_all_elec_noST_pc_cond_netcash__yd_1</t>
  </si>
  <si>
    <t>1_all_elec_pc_cond_netcash__yd_1</t>
  </si>
  <si>
    <t>1_all_fuel_pc_cond_netcash__yd_1</t>
  </si>
  <si>
    <t>1_all_miti_noST_pc_cond_netcash__yd_1</t>
  </si>
  <si>
    <t>1_all_miti_pc_cond_netcash__yd_1</t>
  </si>
  <si>
    <t>1_all_policies_miti_pc_cond_netcash__yd_1</t>
  </si>
  <si>
    <t>1_all_policies_noST_pc_cond_netcash__yd_1</t>
  </si>
  <si>
    <t>1_all_policies_pc_cond_netcash__yd_1</t>
  </si>
  <si>
    <t>1_all_subs_noST_pc_cond_netcash__yd_1</t>
  </si>
  <si>
    <t>1_all_subs_pc_cond_netcash__yd_1</t>
  </si>
  <si>
    <t>1_all_tax_pc_cond_netcash__yd_1</t>
  </si>
  <si>
    <t>1_am_delayed_pnbsf_pc_cond_netcash__yd_1</t>
  </si>
  <si>
    <t>1_am_new_pnbsf_pc_cond_netcash__yd_1</t>
  </si>
  <si>
    <t>1_am_pnbsf_newbenefs_pc_cond_netcash__yd_1</t>
  </si>
  <si>
    <t>1_am_pnbsf_transferinc_pc_cond_netcash__yd_1</t>
  </si>
  <si>
    <t>1_social_tranche_pc_cond_netcash__yd_1</t>
  </si>
  <si>
    <t>1_subs_public_transport_pc_cond_netcash__yd_1</t>
  </si>
  <si>
    <t>1_subsidy_elec_direct_pc_cond_netcash__yd_1</t>
  </si>
  <si>
    <t>1_subsidy_elec_indirect_pc_cond_netcash__yd_1</t>
  </si>
  <si>
    <t>1_subsidy_elec_pc_cond_netcash__yd_1</t>
  </si>
  <si>
    <t>1_subsidy_fuel_direct_pc_cond_netcash__yd_1</t>
  </si>
  <si>
    <t>1_subsidy_fuel_indirect_pc_cond_netcash__yd_1</t>
  </si>
  <si>
    <t>1_subsidy_fuel_pc_cond_netcash__yd_1</t>
  </si>
  <si>
    <t>1_vat_elec_pc_cond_netcash__yd_1</t>
  </si>
  <si>
    <t>1_vat_fuel_pc_cond_netcash__yd_1</t>
  </si>
  <si>
    <t>1_all_elec_noST_pc_cond_netcash__yd_2</t>
  </si>
  <si>
    <t>1_all_elec_pc_cond_netcash__yd_2</t>
  </si>
  <si>
    <t>1_all_fuel_pc_cond_netcash__yd_2</t>
  </si>
  <si>
    <t>1_all_miti_noST_pc_cond_netcash__yd_2</t>
  </si>
  <si>
    <t>1_all_miti_pc_cond_netcash__yd_2</t>
  </si>
  <si>
    <t>1_all_policies_miti_pc_cond_netcash__yd_2</t>
  </si>
  <si>
    <t>1_all_policies_noST_pc_cond_netcash__yd_2</t>
  </si>
  <si>
    <t>1_all_policies_pc_cond_netcash__yd_2</t>
  </si>
  <si>
    <t>1_all_subs_noST_pc_cond_netcash__yd_2</t>
  </si>
  <si>
    <t>1_all_subs_pc_cond_netcash__yd_2</t>
  </si>
  <si>
    <t>1_all_tax_pc_cond_netcash__yd_2</t>
  </si>
  <si>
    <t>1_am_delayed_pnbsf_pc_cond_netcash__yd_2</t>
  </si>
  <si>
    <t>1_am_new_pnbsf_pc_cond_netcash__yd_2</t>
  </si>
  <si>
    <t>1_am_pnbsf_newbenefs_pc_cond_netcash__yd_2</t>
  </si>
  <si>
    <t>1_am_pnbsf_transferinc_pc_cond_netcash__yd_2</t>
  </si>
  <si>
    <t>1_social_tranche_pc_cond_netcash__yd_2</t>
  </si>
  <si>
    <t>1_subs_public_transport_pc_cond_netcash__yd_2</t>
  </si>
  <si>
    <t>1_subsidy_elec_direct_pc_cond_netcash__yd_2</t>
  </si>
  <si>
    <t>1_subsidy_elec_indirect_pc_cond_netcash__yd_2</t>
  </si>
  <si>
    <t>1_subsidy_elec_pc_cond_netcash__yd_2</t>
  </si>
  <si>
    <t>1_subsidy_fuel_direct_pc_cond_netcash__yd_2</t>
  </si>
  <si>
    <t>1_subsidy_fuel_indirect_pc_cond_netcash__yd_2</t>
  </si>
  <si>
    <t>1_subsidy_fuel_pc_cond_netcash__yd_2</t>
  </si>
  <si>
    <t>1_vat_elec_pc_cond_netcash__yd_2</t>
  </si>
  <si>
    <t>1_vat_fuel_pc_cond_netcash__yd_2</t>
  </si>
  <si>
    <t>1_all_elec_noST_pc_cond_netcash__yd_3</t>
  </si>
  <si>
    <t>1_all_elec_pc_cond_netcash__yd_3</t>
  </si>
  <si>
    <t>1_all_fuel_pc_cond_netcash__yd_3</t>
  </si>
  <si>
    <t>1_all_miti_noST_pc_cond_netcash__yd_3</t>
  </si>
  <si>
    <t>1_all_miti_pc_cond_netcash__yd_3</t>
  </si>
  <si>
    <t>1_all_policies_miti_pc_cond_netcash__yd_3</t>
  </si>
  <si>
    <t>1_all_policies_noST_pc_cond_netcash__yd_3</t>
  </si>
  <si>
    <t>1_all_policies_pc_cond_netcash__yd_3</t>
  </si>
  <si>
    <t>1_all_subs_noST_pc_cond_netcash__yd_3</t>
  </si>
  <si>
    <t>1_all_subs_pc_cond_netcash__yd_3</t>
  </si>
  <si>
    <t>1_all_tax_pc_cond_netcash__yd_3</t>
  </si>
  <si>
    <t>1_am_delayed_pnbsf_pc_cond_netcash__yd_3</t>
  </si>
  <si>
    <t>1_am_new_pnbsf_pc_cond_netcash__yd_3</t>
  </si>
  <si>
    <t>1_am_pnbsf_newbenefs_pc_cond_netcash__yd_3</t>
  </si>
  <si>
    <t>1_am_pnbsf_transferinc_pc_cond_netcash__yd_3</t>
  </si>
  <si>
    <t>1_social_tranche_pc_cond_netcash__yd_3</t>
  </si>
  <si>
    <t>1_subs_public_transport_pc_cond_netcash__yd_3</t>
  </si>
  <si>
    <t>1_subsidy_elec_direct_pc_cond_netcash__yd_3</t>
  </si>
  <si>
    <t>1_subsidy_elec_indirect_pc_cond_netcash__yd_3</t>
  </si>
  <si>
    <t>1_subsidy_elec_pc_cond_netcash__yd_3</t>
  </si>
  <si>
    <t>1_subsidy_fuel_direct_pc_cond_netcash__yd_3</t>
  </si>
  <si>
    <t>1_subsidy_fuel_indirect_pc_cond_netcash__yd_3</t>
  </si>
  <si>
    <t>1_subsidy_fuel_pc_cond_netcash__yd_3</t>
  </si>
  <si>
    <t>1_vat_elec_pc_cond_netcash__yd_3</t>
  </si>
  <si>
    <t>1_vat_fuel_pc_cond_netcash__yd_3</t>
  </si>
  <si>
    <t>1_all_elec_noST_pc_cond_netcash__yd_4</t>
  </si>
  <si>
    <t>1_all_elec_pc_cond_netcash__yd_4</t>
  </si>
  <si>
    <t>1_all_fuel_pc_cond_netcash__yd_4</t>
  </si>
  <si>
    <t>1_all_miti_noST_pc_cond_netcash__yd_4</t>
  </si>
  <si>
    <t>1_all_miti_pc_cond_netcash__yd_4</t>
  </si>
  <si>
    <t>1_all_policies_miti_pc_cond_netcash__yd_4</t>
  </si>
  <si>
    <t>1_all_policies_noST_pc_cond_netcash__yd_4</t>
  </si>
  <si>
    <t>1_all_policies_pc_cond_netcash__yd_4</t>
  </si>
  <si>
    <t>1_all_subs_noST_pc_cond_netcash__yd_4</t>
  </si>
  <si>
    <t>1_all_subs_pc_cond_netcash__yd_4</t>
  </si>
  <si>
    <t>1_all_tax_pc_cond_netcash__yd_4</t>
  </si>
  <si>
    <t>1_am_delayed_pnbsf_pc_cond_netcash__yd_4</t>
  </si>
  <si>
    <t>1_am_new_pnbsf_pc_cond_netcash__yd_4</t>
  </si>
  <si>
    <t>1_am_pnbsf_newbenefs_pc_cond_netcash__yd_4</t>
  </si>
  <si>
    <t>1_am_pnbsf_transferinc_pc_cond_netcash__yd_4</t>
  </si>
  <si>
    <t>1_social_tranche_pc_cond_netcash__yd_4</t>
  </si>
  <si>
    <t>1_subs_public_transport_pc_cond_netcash__yd_4</t>
  </si>
  <si>
    <t>1_subsidy_elec_direct_pc_cond_netcash__yd_4</t>
  </si>
  <si>
    <t>1_subsidy_elec_indirect_pc_cond_netcash__yd_4</t>
  </si>
  <si>
    <t>1_subsidy_elec_pc_cond_netcash__yd_4</t>
  </si>
  <si>
    <t>1_subsidy_fuel_direct_pc_cond_netcash__yd_4</t>
  </si>
  <si>
    <t>1_subsidy_fuel_indirect_pc_cond_netcash__yd_4</t>
  </si>
  <si>
    <t>1_subsidy_fuel_pc_cond_netcash__yd_4</t>
  </si>
  <si>
    <t>1_vat_elec_pc_cond_netcash__yd_4</t>
  </si>
  <si>
    <t>1_vat_fuel_pc_cond_netcash__yd_4</t>
  </si>
  <si>
    <t>1_all_elec_noST_pc_cond_netcash__yd_5</t>
  </si>
  <si>
    <t>1_all_elec_pc_cond_netcash__yd_5</t>
  </si>
  <si>
    <t>1_all_fuel_pc_cond_netcash__yd_5</t>
  </si>
  <si>
    <t>1_all_miti_noST_pc_cond_netcash__yd_5</t>
  </si>
  <si>
    <t>1_all_miti_pc_cond_netcash__yd_5</t>
  </si>
  <si>
    <t>1_all_policies_miti_pc_cond_netcash__yd_5</t>
  </si>
  <si>
    <t>1_all_policies_noST_pc_cond_netcash__yd_5</t>
  </si>
  <si>
    <t>1_all_policies_pc_cond_netcash__yd_5</t>
  </si>
  <si>
    <t>1_all_subs_noST_pc_cond_netcash__yd_5</t>
  </si>
  <si>
    <t>1_all_subs_pc_cond_netcash__yd_5</t>
  </si>
  <si>
    <t>1_all_tax_pc_cond_netcash__yd_5</t>
  </si>
  <si>
    <t>1_am_delayed_pnbsf_pc_cond_netcash__yd_5</t>
  </si>
  <si>
    <t>1_am_new_pnbsf_pc_cond_netcash__yd_5</t>
  </si>
  <si>
    <t>1_am_pnbsf_newbenefs_pc_cond_netcash__yd_5</t>
  </si>
  <si>
    <t>1_am_pnbsf_transferinc_pc_cond_netcash__yd_5</t>
  </si>
  <si>
    <t>1_social_tranche_pc_cond_netcash__yd_5</t>
  </si>
  <si>
    <t>1_subs_public_transport_pc_cond_netcash__yd_5</t>
  </si>
  <si>
    <t>1_subsidy_elec_direct_pc_cond_netcash__yd_5</t>
  </si>
  <si>
    <t>1_subsidy_elec_indirect_pc_cond_netcash__yd_5</t>
  </si>
  <si>
    <t>1_subsidy_elec_pc_cond_netcash__yd_5</t>
  </si>
  <si>
    <t>1_subsidy_fuel_direct_pc_cond_netcash__yd_5</t>
  </si>
  <si>
    <t>1_subsidy_fuel_indirect_pc_cond_netcash__yd_5</t>
  </si>
  <si>
    <t>1_subsidy_fuel_pc_cond_netcash__yd_5</t>
  </si>
  <si>
    <t>1_vat_elec_pc_cond_netcash__yd_5</t>
  </si>
  <si>
    <t>1_vat_fuel_pc_cond_netcash__yd_5</t>
  </si>
  <si>
    <t>1_all_elec_noST_pc_cond_netcash__yd_6</t>
  </si>
  <si>
    <t>1_all_elec_pc_cond_netcash__yd_6</t>
  </si>
  <si>
    <t>1_all_fuel_pc_cond_netcash__yd_6</t>
  </si>
  <si>
    <t>1_all_miti_noST_pc_cond_netcash__yd_6</t>
  </si>
  <si>
    <t>1_all_miti_pc_cond_netcash__yd_6</t>
  </si>
  <si>
    <t>1_all_policies_miti_pc_cond_netcash__yd_6</t>
  </si>
  <si>
    <t>1_all_policies_noST_pc_cond_netcash__yd_6</t>
  </si>
  <si>
    <t>1_all_policies_pc_cond_netcash__yd_6</t>
  </si>
  <si>
    <t>1_all_subs_noST_pc_cond_netcash__yd_6</t>
  </si>
  <si>
    <t>1_all_subs_pc_cond_netcash__yd_6</t>
  </si>
  <si>
    <t>1_all_tax_pc_cond_netcash__yd_6</t>
  </si>
  <si>
    <t>1_am_delayed_pnbsf_pc_cond_netcash__yd_6</t>
  </si>
  <si>
    <t>1_am_new_pnbsf_pc_cond_netcash__yd_6</t>
  </si>
  <si>
    <t>1_am_pnbsf_newbenefs_pc_cond_netcash__yd_6</t>
  </si>
  <si>
    <t>1_am_pnbsf_transferinc_pc_cond_netcash__yd_6</t>
  </si>
  <si>
    <t>1_social_tranche_pc_cond_netcash__yd_6</t>
  </si>
  <si>
    <t>1_subs_public_transport_pc_cond_netcash__yd_6</t>
  </si>
  <si>
    <t>1_subsidy_elec_direct_pc_cond_netcash__yd_6</t>
  </si>
  <si>
    <t>1_subsidy_elec_indirect_pc_cond_netcash__yd_6</t>
  </si>
  <si>
    <t>1_subsidy_elec_pc_cond_netcash__yd_6</t>
  </si>
  <si>
    <t>1_subsidy_fuel_direct_pc_cond_netcash__yd_6</t>
  </si>
  <si>
    <t>1_subsidy_fuel_indirect_pc_cond_netcash__yd_6</t>
  </si>
  <si>
    <t>1_subsidy_fuel_pc_cond_netcash__yd_6</t>
  </si>
  <si>
    <t>1_vat_elec_pc_cond_netcash__yd_6</t>
  </si>
  <si>
    <t>1_vat_fuel_pc_cond_netcash__yd_6</t>
  </si>
  <si>
    <t>1_all_elec_noST_pc_cond_netcash__yd_7</t>
  </si>
  <si>
    <t>1_all_elec_pc_cond_netcash__yd_7</t>
  </si>
  <si>
    <t>1_all_fuel_pc_cond_netcash__yd_7</t>
  </si>
  <si>
    <t>1_all_miti_noST_pc_cond_netcash__yd_7</t>
  </si>
  <si>
    <t>1_all_miti_pc_cond_netcash__yd_7</t>
  </si>
  <si>
    <t>1_all_policies_miti_pc_cond_netcash__yd_7</t>
  </si>
  <si>
    <t>1_all_policies_noST_pc_cond_netcash__yd_7</t>
  </si>
  <si>
    <t>1_all_policies_pc_cond_netcash__yd_7</t>
  </si>
  <si>
    <t>1_all_subs_noST_pc_cond_netcash__yd_7</t>
  </si>
  <si>
    <t>1_all_subs_pc_cond_netcash__yd_7</t>
  </si>
  <si>
    <t>1_all_tax_pc_cond_netcash__yd_7</t>
  </si>
  <si>
    <t>1_am_delayed_pnbsf_pc_cond_netcash__yd_7</t>
  </si>
  <si>
    <t>1_am_new_pnbsf_pc_cond_netcash__yd_7</t>
  </si>
  <si>
    <t>1_am_pnbsf_newbenefs_pc_cond_netcash__yd_7</t>
  </si>
  <si>
    <t>1_am_pnbsf_transferinc_pc_cond_netcash__yd_7</t>
  </si>
  <si>
    <t>1_social_tranche_pc_cond_netcash__yd_7</t>
  </si>
  <si>
    <t>1_subs_public_transport_pc_cond_netcash__yd_7</t>
  </si>
  <si>
    <t>1_subsidy_elec_direct_pc_cond_netcash__yd_7</t>
  </si>
  <si>
    <t>1_subsidy_elec_indirect_pc_cond_netcash__yd_7</t>
  </si>
  <si>
    <t>1_subsidy_elec_pc_cond_netcash__yd_7</t>
  </si>
  <si>
    <t>1_subsidy_fuel_direct_pc_cond_netcash__yd_7</t>
  </si>
  <si>
    <t>1_subsidy_fuel_indirect_pc_cond_netcash__yd_7</t>
  </si>
  <si>
    <t>1_subsidy_fuel_pc_cond_netcash__yd_7</t>
  </si>
  <si>
    <t>1_vat_elec_pc_cond_netcash__yd_7</t>
  </si>
  <si>
    <t>1_vat_fuel_pc_cond_netcash__yd_7</t>
  </si>
  <si>
    <t>1_all_elec_noST_pc_cond_netcash__yd_8</t>
  </si>
  <si>
    <t>1_all_elec_pc_cond_netcash__yd_8</t>
  </si>
  <si>
    <t>1_all_fuel_pc_cond_netcash__yd_8</t>
  </si>
  <si>
    <t>1_all_miti_noST_pc_cond_netcash__yd_8</t>
  </si>
  <si>
    <t>1_all_miti_pc_cond_netcash__yd_8</t>
  </si>
  <si>
    <t>1_all_policies_miti_pc_cond_netcash__yd_8</t>
  </si>
  <si>
    <t>1_all_policies_noST_pc_cond_netcash__yd_8</t>
  </si>
  <si>
    <t>1_all_policies_pc_cond_netcash__yd_8</t>
  </si>
  <si>
    <t>1_all_subs_noST_pc_cond_netcash__yd_8</t>
  </si>
  <si>
    <t>1_all_subs_pc_cond_netcash__yd_8</t>
  </si>
  <si>
    <t>1_all_tax_pc_cond_netcash__yd_8</t>
  </si>
  <si>
    <t>1_am_delayed_pnbsf_pc_cond_netcash__yd_8</t>
  </si>
  <si>
    <t>1_am_new_pnbsf_pc_cond_netcash__yd_8</t>
  </si>
  <si>
    <t>1_am_pnbsf_newbenefs_pc_cond_netcash__yd_8</t>
  </si>
  <si>
    <t>1_am_pnbsf_transferinc_pc_cond_netcash__yd_8</t>
  </si>
  <si>
    <t>1_social_tranche_pc_cond_netcash__yd_8</t>
  </si>
  <si>
    <t>1_subs_public_transport_pc_cond_netcash__yd_8</t>
  </si>
  <si>
    <t>1_subsidy_elec_direct_pc_cond_netcash__yd_8</t>
  </si>
  <si>
    <t>1_subsidy_elec_indirect_pc_cond_netcash__yd_8</t>
  </si>
  <si>
    <t>1_subsidy_elec_pc_cond_netcash__yd_8</t>
  </si>
  <si>
    <t>1_subsidy_fuel_direct_pc_cond_netcash__yd_8</t>
  </si>
  <si>
    <t>1_subsidy_fuel_indirect_pc_cond_netcash__yd_8</t>
  </si>
  <si>
    <t>1_subsidy_fuel_pc_cond_netcash__yd_8</t>
  </si>
  <si>
    <t>1_vat_elec_pc_cond_netcash__yd_8</t>
  </si>
  <si>
    <t>1_vat_fuel_pc_cond_netcash__yd_8</t>
  </si>
  <si>
    <t>1_all_elec_noST_pc_cond_netcash__yd_9</t>
  </si>
  <si>
    <t>1_all_elec_pc_cond_netcash__yd_9</t>
  </si>
  <si>
    <t>1_all_fuel_pc_cond_netcash__yd_9</t>
  </si>
  <si>
    <t>1_all_miti_noST_pc_cond_netcash__yd_9</t>
  </si>
  <si>
    <t>1_all_miti_pc_cond_netcash__yd_9</t>
  </si>
  <si>
    <t>1_all_policies_miti_pc_cond_netcash__yd_9</t>
  </si>
  <si>
    <t>1_all_policies_noST_pc_cond_netcash__yd_9</t>
  </si>
  <si>
    <t>1_all_policies_pc_cond_netcash__yd_9</t>
  </si>
  <si>
    <t>1_all_subs_noST_pc_cond_netcash__yd_9</t>
  </si>
  <si>
    <t>1_all_subs_pc_cond_netcash__yd_9</t>
  </si>
  <si>
    <t>1_all_tax_pc_cond_netcash__yd_9</t>
  </si>
  <si>
    <t>1_am_delayed_pnbsf_pc_cond_netcash__yd_9</t>
  </si>
  <si>
    <t>1_am_new_pnbsf_pc_cond_netcash__yd_9</t>
  </si>
  <si>
    <t>1_am_pnbsf_newbenefs_pc_cond_netcash__yd_9</t>
  </si>
  <si>
    <t>1_am_pnbsf_transferinc_pc_cond_netcash__yd_9</t>
  </si>
  <si>
    <t>1_social_tranche_pc_cond_netcash__yd_9</t>
  </si>
  <si>
    <t>1_subs_public_transport_pc_cond_netcash__yd_9</t>
  </si>
  <si>
    <t>1_subsidy_elec_direct_pc_cond_netcash__yd_9</t>
  </si>
  <si>
    <t>1_subsidy_elec_indirect_pc_cond_netcash__yd_9</t>
  </si>
  <si>
    <t>1_subsidy_elec_pc_cond_netcash__yd_9</t>
  </si>
  <si>
    <t>1_subsidy_fuel_direct_pc_cond_netcash__yd_9</t>
  </si>
  <si>
    <t>1_subsidy_fuel_indirect_pc_cond_netcash__yd_9</t>
  </si>
  <si>
    <t>1_subsidy_fuel_pc_cond_netcash__yd_9</t>
  </si>
  <si>
    <t>1_vat_elec_pc_cond_netcash__yd_9</t>
  </si>
  <si>
    <t>1_vat_fuel_pc_cond_netcash__yd_9</t>
  </si>
  <si>
    <t>1_all_elec_noST_pc_cond_netcash__yd_10</t>
  </si>
  <si>
    <t>1_all_elec_pc_cond_netcash__yd_10</t>
  </si>
  <si>
    <t>1_all_fuel_pc_cond_netcash__yd_10</t>
  </si>
  <si>
    <t>1_all_miti_noST_pc_cond_netcash__yd_10</t>
  </si>
  <si>
    <t>1_all_miti_pc_cond_netcash__yd_10</t>
  </si>
  <si>
    <t>1_all_policies_miti_pc_cond_netcash__yd_10</t>
  </si>
  <si>
    <t>1_all_policies_noST_pc_cond_netcash__yd_10</t>
  </si>
  <si>
    <t>1_all_policies_pc_cond_netcash__yd_10</t>
  </si>
  <si>
    <t>1_all_subs_noST_pc_cond_netcash__yd_10</t>
  </si>
  <si>
    <t>1_all_subs_pc_cond_netcash__yd_10</t>
  </si>
  <si>
    <t>1_all_tax_pc_cond_netcash__yd_10</t>
  </si>
  <si>
    <t>1_am_delayed_pnbsf_pc_cond_netcash__yd_10</t>
  </si>
  <si>
    <t>1_am_new_pnbsf_pc_cond_netcash__yd_10</t>
  </si>
  <si>
    <t>1_am_pnbsf_newbenefs_pc_cond_netcash__yd_10</t>
  </si>
  <si>
    <t>1_am_pnbsf_transferinc_pc_cond_netcash__yd_10</t>
  </si>
  <si>
    <t>1_social_tranche_pc_cond_netcash__yd_10</t>
  </si>
  <si>
    <t>1_subs_public_transport_pc_cond_netcash__yd_10</t>
  </si>
  <si>
    <t>1_subsidy_elec_direct_pc_cond_netcash__yd_10</t>
  </si>
  <si>
    <t>1_subsidy_elec_indirect_pc_cond_netcash__yd_10</t>
  </si>
  <si>
    <t>1_subsidy_elec_pc_cond_netcash__yd_10</t>
  </si>
  <si>
    <t>1_subsidy_fuel_direct_pc_cond_netcash__yd_10</t>
  </si>
  <si>
    <t>1_subsidy_fuel_indirect_pc_cond_netcash__yd_10</t>
  </si>
  <si>
    <t>1_subsidy_fuel_pc_cond_netcash__yd_10</t>
  </si>
  <si>
    <t>1_vat_elec_pc_cond_netcash__yd_10</t>
  </si>
  <si>
    <t>1_vat_fuel_pc_cond_netcash__yd_10</t>
  </si>
  <si>
    <t>1_all_elec_noST_pc_ai__yd_1</t>
  </si>
  <si>
    <t>1_vat_elec_pc_ai__yd_1</t>
  </si>
  <si>
    <t>1_all_elec_pc_ai__yd_1</t>
  </si>
  <si>
    <t>1_social_tranche_pc_ai__yd_1</t>
  </si>
  <si>
    <t>1_all_miti_pc_ai__yd_1</t>
  </si>
  <si>
    <t>1_am_new_pnbsf_pc_ai__yd_1</t>
  </si>
  <si>
    <t>1_all_miti_noST_pc_ai__yd_1</t>
  </si>
  <si>
    <t>1_vat_fuel_pc_ai__yd_1</t>
  </si>
  <si>
    <t>1_am_pnbsf_newbenefs_pc_ai__yd_1</t>
  </si>
  <si>
    <t>1_subsidy_fuel_pc_ai__yd_1</t>
  </si>
  <si>
    <t>1_subs_public_transport_pc_ai__yd_1</t>
  </si>
  <si>
    <t>1_subsidy_elec_pc_ai__yd_1</t>
  </si>
  <si>
    <t>1_subsidy_fuel_direct_pc_ai__yd_1</t>
  </si>
  <si>
    <t>1_all_subs_noST_pc_ai__yd_1</t>
  </si>
  <si>
    <t>1_am_delayed_pnbsf_pc_ai__yd_1</t>
  </si>
  <si>
    <t>1_am_pnbsf_transferinc_pc_ai__yd_1</t>
  </si>
  <si>
    <t>1_subsidy_elec_direct_pc_ai__yd_1</t>
  </si>
  <si>
    <t>1_all_policies_miti_pc_ai__yd_1</t>
  </si>
  <si>
    <t>1_all_policies_pc_ai__yd_1</t>
  </si>
  <si>
    <t>1_all_fuel_pc_ai__yd_1</t>
  </si>
  <si>
    <t>1_subsidy_elec_indirect_pc_ai__yd_1</t>
  </si>
  <si>
    <t>1_all_subs_pc_ai__yd_1</t>
  </si>
  <si>
    <t>1_subsidy_fuel_indirect_pc_ai__yd_1</t>
  </si>
  <si>
    <t>1_all_policies_noST_pc_ai__yd_1</t>
  </si>
  <si>
    <t>1_all_tax_pc_ai__yd_1</t>
  </si>
  <si>
    <t>1_all_miti_pc_ai__yd_2</t>
  </si>
  <si>
    <t>1_all_policies_pc_ai__yd_2</t>
  </si>
  <si>
    <t>1_all_fuel_pc_ai__yd_2</t>
  </si>
  <si>
    <t>1_subsidy_fuel_direct_pc_ai__yd_2</t>
  </si>
  <si>
    <t>1_subsidy_elec_pc_ai__yd_2</t>
  </si>
  <si>
    <t>1_vat_elec_pc_ai__yd_2</t>
  </si>
  <si>
    <t>1_subsidy_elec_indirect_pc_ai__yd_2</t>
  </si>
  <si>
    <t>1_subsidy_fuel_pc_ai__yd_2</t>
  </si>
  <si>
    <t>1_all_policies_noST_pc_ai__yd_2</t>
  </si>
  <si>
    <t>1_all_tax_pc_ai__yd_2</t>
  </si>
  <si>
    <t>1_am_pnbsf_transferinc_pc_ai__yd_2</t>
  </si>
  <si>
    <t>1_all_subs_pc_ai__yd_2</t>
  </si>
  <si>
    <t>1_social_tranche_pc_ai__yd_2</t>
  </si>
  <si>
    <t>1_all_elec_noST_pc_ai__yd_2</t>
  </si>
  <si>
    <t>1_all_policies_miti_pc_ai__yd_2</t>
  </si>
  <si>
    <t>1_am_pnbsf_newbenefs_pc_ai__yd_2</t>
  </si>
  <si>
    <t>1_all_miti_noST_pc_ai__yd_2</t>
  </si>
  <si>
    <t>1_all_elec_pc_ai__yd_2</t>
  </si>
  <si>
    <t>1_am_new_pnbsf_pc_ai__yd_2</t>
  </si>
  <si>
    <t>1_all_subs_noST_pc_ai__yd_2</t>
  </si>
  <si>
    <t>1_subsidy_fuel_indirect_pc_ai__yd_2</t>
  </si>
  <si>
    <t>1_vat_fuel_pc_ai__yd_2</t>
  </si>
  <si>
    <t>1_am_delayed_pnbsf_pc_ai__yd_2</t>
  </si>
  <si>
    <t>1_subsidy_elec_direct_pc_ai__yd_2</t>
  </si>
  <si>
    <t>1_subs_public_transport_pc_ai__yd_2</t>
  </si>
  <si>
    <t>1_am_delayed_pnbsf_pc_ai__yd_3</t>
  </si>
  <si>
    <t>1_all_subs_noST_pc_ai__yd_3</t>
  </si>
  <si>
    <t>1_subsidy_elec_pc_ai__yd_3</t>
  </si>
  <si>
    <t>1_subsidy_fuel_indirect_pc_ai__yd_3</t>
  </si>
  <si>
    <t>1_all_elec_noST_pc_ai__yd_3</t>
  </si>
  <si>
    <t>1_vat_elec_pc_ai__yd_3</t>
  </si>
  <si>
    <t>1_all_elec_pc_ai__yd_3</t>
  </si>
  <si>
    <t>1_all_policies_noST_pc_ai__yd_3</t>
  </si>
  <si>
    <t>1_subsidy_elec_indirect_pc_ai__yd_3</t>
  </si>
  <si>
    <t>1_all_miti_noST_pc_ai__yd_3</t>
  </si>
  <si>
    <t>1_am_pnbsf_transferinc_pc_ai__yd_3</t>
  </si>
  <si>
    <t>1_subsidy_fuel_pc_ai__yd_3</t>
  </si>
  <si>
    <t>1_am_new_pnbsf_pc_ai__yd_3</t>
  </si>
  <si>
    <t>1_all_miti_pc_ai__yd_3</t>
  </si>
  <si>
    <t>1_all_policies_miti_pc_ai__yd_3</t>
  </si>
  <si>
    <t>1_subs_public_transport_pc_ai__yd_3</t>
  </si>
  <si>
    <t>1_vat_fuel_pc_ai__yd_3</t>
  </si>
  <si>
    <t>1_all_policies_pc_ai__yd_3</t>
  </si>
  <si>
    <t>1_all_subs_pc_ai__yd_3</t>
  </si>
  <si>
    <t>1_am_pnbsf_newbenefs_pc_ai__yd_3</t>
  </si>
  <si>
    <t>1_all_fuel_pc_ai__yd_3</t>
  </si>
  <si>
    <t>1_all_tax_pc_ai__yd_3</t>
  </si>
  <si>
    <t>1_subsidy_fuel_direct_pc_ai__yd_3</t>
  </si>
  <si>
    <t>1_subsidy_elec_direct_pc_ai__yd_3</t>
  </si>
  <si>
    <t>1_social_tranche_pc_ai__yd_3</t>
  </si>
  <si>
    <t>1_all_policies_pc_ai__yd_4</t>
  </si>
  <si>
    <t>1_vat_elec_pc_ai__yd_4</t>
  </si>
  <si>
    <t>1_am_pnbsf_newbenefs_pc_ai__yd_4</t>
  </si>
  <si>
    <t>1_all_subs_noST_pc_ai__yd_4</t>
  </si>
  <si>
    <t>1_subsidy_elec_pc_ai__yd_4</t>
  </si>
  <si>
    <t>1_subs_public_transport_pc_ai__yd_4</t>
  </si>
  <si>
    <t>1_am_new_pnbsf_pc_ai__yd_4</t>
  </si>
  <si>
    <t>1_all_elec_pc_ai__yd_4</t>
  </si>
  <si>
    <t>1_all_subs_pc_ai__yd_4</t>
  </si>
  <si>
    <t>1_subsidy_fuel_pc_ai__yd_4</t>
  </si>
  <si>
    <t>1_subsidy_fuel_direct_pc_ai__yd_4</t>
  </si>
  <si>
    <t>1_all_fuel_pc_ai__yd_4</t>
  </si>
  <si>
    <t>1_social_tranche_pc_ai__yd_4</t>
  </si>
  <si>
    <t>1_subsidy_fuel_indirect_pc_ai__yd_4</t>
  </si>
  <si>
    <t>1_all_policies_miti_pc_ai__yd_4</t>
  </si>
  <si>
    <t>1_all_policies_noST_pc_ai__yd_4</t>
  </si>
  <si>
    <t>1_all_tax_pc_ai__yd_4</t>
  </si>
  <si>
    <t>1_all_miti_pc_ai__yd_4</t>
  </si>
  <si>
    <t>1_subsidy_elec_indirect_pc_ai__yd_4</t>
  </si>
  <si>
    <t>1_am_delayed_pnbsf_pc_ai__yd_4</t>
  </si>
  <si>
    <t>1_subsidy_elec_direct_pc_ai__yd_4</t>
  </si>
  <si>
    <t>1_am_pnbsf_transferinc_pc_ai__yd_4</t>
  </si>
  <si>
    <t>1_all_miti_noST_pc_ai__yd_4</t>
  </si>
  <si>
    <t>1_vat_fuel_pc_ai__yd_4</t>
  </si>
  <si>
    <t>1_all_elec_noST_pc_ai__yd_4</t>
  </si>
  <si>
    <t>1_all_policies_noST_pc_ai__yd_5</t>
  </si>
  <si>
    <t>1_all_fuel_pc_ai__yd_5</t>
  </si>
  <si>
    <t>1_vat_elec_pc_ai__yd_5</t>
  </si>
  <si>
    <t>1_subsidy_fuel_indirect_pc_ai__yd_5</t>
  </si>
  <si>
    <t>1_subsidy_elec_direct_pc_ai__yd_5</t>
  </si>
  <si>
    <t>1_all_miti_pc_ai__yd_5</t>
  </si>
  <si>
    <t>1_all_miti_noST_pc_ai__yd_5</t>
  </si>
  <si>
    <t>1_all_elec_pc_ai__yd_5</t>
  </si>
  <si>
    <t>1_all_subs_pc_ai__yd_5</t>
  </si>
  <si>
    <t>1_all_subs_noST_pc_ai__yd_5</t>
  </si>
  <si>
    <t>1_subsidy_elec_pc_ai__yd_5</t>
  </si>
  <si>
    <t>1_am_pnbsf_newbenefs_pc_ai__yd_5</t>
  </si>
  <si>
    <t>1_all_policies_pc_ai__yd_5</t>
  </si>
  <si>
    <t>1_all_elec_noST_pc_ai__yd_5</t>
  </si>
  <si>
    <t>1_vat_fuel_pc_ai__yd_5</t>
  </si>
  <si>
    <t>1_subsidy_fuel_pc_ai__yd_5</t>
  </si>
  <si>
    <t>1_subsidy_elec_indirect_pc_ai__yd_5</t>
  </si>
  <si>
    <t>1_subs_public_transport_pc_ai__yd_5</t>
  </si>
  <si>
    <t>1_am_new_pnbsf_pc_ai__yd_5</t>
  </si>
  <si>
    <t>1_all_policies_miti_pc_ai__yd_5</t>
  </si>
  <si>
    <t>1_social_tranche_pc_ai__yd_5</t>
  </si>
  <si>
    <t>1_all_tax_pc_ai__yd_5</t>
  </si>
  <si>
    <t>1_subsidy_fuel_direct_pc_ai__yd_5</t>
  </si>
  <si>
    <t>1_am_pnbsf_transferinc_pc_ai__yd_5</t>
  </si>
  <si>
    <t>1_am_delayed_pnbsf_pc_ai__yd_5</t>
  </si>
  <si>
    <t>1_subsidy_fuel_direct_pc_ai__yd_6</t>
  </si>
  <si>
    <t>1_all_fuel_pc_ai__yd_6</t>
  </si>
  <si>
    <t>1_all_policies_pc_ai__yd_6</t>
  </si>
  <si>
    <t>1_all_miti_noST_pc_ai__yd_6</t>
  </si>
  <si>
    <t>1_am_delayed_pnbsf_pc_ai__yd_6</t>
  </si>
  <si>
    <t>1_social_tranche_pc_ai__yd_6</t>
  </si>
  <si>
    <t>1_vat_elec_pc_ai__yd_6</t>
  </si>
  <si>
    <t>1_subsidy_elec_direct_pc_ai__yd_6</t>
  </si>
  <si>
    <t>1_all_elec_pc_ai__yd_6</t>
  </si>
  <si>
    <t>1_subsidy_elec_pc_ai__yd_6</t>
  </si>
  <si>
    <t>1_am_pnbsf_newbenefs_pc_ai__yd_6</t>
  </si>
  <si>
    <t>1_am_pnbsf_transferinc_pc_ai__yd_6</t>
  </si>
  <si>
    <t>1_vat_fuel_pc_ai__yd_6</t>
  </si>
  <si>
    <t>1_subsidy_fuel_indirect_pc_ai__yd_6</t>
  </si>
  <si>
    <t>1_subs_public_transport_pc_ai__yd_6</t>
  </si>
  <si>
    <t>1_all_subs_noST_pc_ai__yd_6</t>
  </si>
  <si>
    <t>1_all_policies_noST_pc_ai__yd_6</t>
  </si>
  <si>
    <t>1_all_miti_pc_ai__yd_6</t>
  </si>
  <si>
    <t>1_all_tax_pc_ai__yd_6</t>
  </si>
  <si>
    <t>1_am_new_pnbsf_pc_ai__yd_6</t>
  </si>
  <si>
    <t>1_subsidy_fuel_pc_ai__yd_6</t>
  </si>
  <si>
    <t>1_all_subs_pc_ai__yd_6</t>
  </si>
  <si>
    <t>1_all_elec_noST_pc_ai__yd_6</t>
  </si>
  <si>
    <t>1_all_policies_miti_pc_ai__yd_6</t>
  </si>
  <si>
    <t>1_subsidy_elec_indirect_pc_ai__yd_6</t>
  </si>
  <si>
    <t>1_subsidy_elec_direct_pc_ai__yd_7</t>
  </si>
  <si>
    <t>1_vat_elec_pc_ai__yd_7</t>
  </si>
  <si>
    <t>1_am_pnbsf_newbenefs_pc_ai__yd_7</t>
  </si>
  <si>
    <t>1_all_subs_noST_pc_ai__yd_7</t>
  </si>
  <si>
    <t>1_all_policies_miti_pc_ai__yd_7</t>
  </si>
  <si>
    <t>1_social_tranche_pc_ai__yd_7</t>
  </si>
  <si>
    <t>1_subsidy_fuel_indirect_pc_ai__yd_7</t>
  </si>
  <si>
    <t>1_all_subs_pc_ai__yd_7</t>
  </si>
  <si>
    <t>1_all_elec_noST_pc_ai__yd_7</t>
  </si>
  <si>
    <t>1_all_tax_pc_ai__yd_7</t>
  </si>
  <si>
    <t>1_subsidy_fuel_direct_pc_ai__yd_7</t>
  </si>
  <si>
    <t>1_vat_fuel_pc_ai__yd_7</t>
  </si>
  <si>
    <t>1_subsidy_fuel_pc_ai__yd_7</t>
  </si>
  <si>
    <t>1_subs_public_transport_pc_ai__yd_7</t>
  </si>
  <si>
    <t>1_all_fuel_pc_ai__yd_7</t>
  </si>
  <si>
    <t>1_all_policies_noST_pc_ai__yd_7</t>
  </si>
  <si>
    <t>1_all_miti_pc_ai__yd_7</t>
  </si>
  <si>
    <t>1_all_policies_pc_ai__yd_7</t>
  </si>
  <si>
    <t>1_am_pnbsf_transferinc_pc_ai__yd_7</t>
  </si>
  <si>
    <t>1_am_new_pnbsf_pc_ai__yd_7</t>
  </si>
  <si>
    <t>1_all_miti_noST_pc_ai__yd_7</t>
  </si>
  <si>
    <t>1_all_elec_pc_ai__yd_7</t>
  </si>
  <si>
    <t>1_subsidy_elec_pc_ai__yd_7</t>
  </si>
  <si>
    <t>1_subsidy_elec_indirect_pc_ai__yd_7</t>
  </si>
  <si>
    <t>1_am_delayed_pnbsf_pc_ai__yd_7</t>
  </si>
  <si>
    <t>1_subsidy_elec_pc_ai__yd_8</t>
  </si>
  <si>
    <t>1_am_pnbsf_newbenefs_pc_ai__yd_8</t>
  </si>
  <si>
    <t>1_all_tax_pc_ai__yd_8</t>
  </si>
  <si>
    <t>1_all_elec_noST_pc_ai__yd_8</t>
  </si>
  <si>
    <t>1_am_new_pnbsf_pc_ai__yd_8</t>
  </si>
  <si>
    <t>1_subsidy_elec_direct_pc_ai__yd_8</t>
  </si>
  <si>
    <t>1_subs_public_transport_pc_ai__yd_8</t>
  </si>
  <si>
    <t>1_all_miti_pc_ai__yd_8</t>
  </si>
  <si>
    <t>1_subsidy_elec_indirect_pc_ai__yd_8</t>
  </si>
  <si>
    <t>1_am_pnbsf_transferinc_pc_ai__yd_8</t>
  </si>
  <si>
    <t>1_all_policies_miti_pc_ai__yd_8</t>
  </si>
  <si>
    <t>1_subsidy_fuel_direct_pc_ai__yd_8</t>
  </si>
  <si>
    <t>1_vat_elec_pc_ai__yd_8</t>
  </si>
  <si>
    <t>1_am_delayed_pnbsf_pc_ai__yd_8</t>
  </si>
  <si>
    <t>1_subsidy_fuel_indirect_pc_ai__yd_8</t>
  </si>
  <si>
    <t>1_social_tranche_pc_ai__yd_8</t>
  </si>
  <si>
    <t>1_all_elec_pc_ai__yd_8</t>
  </si>
  <si>
    <t>1_all_fuel_pc_ai__yd_8</t>
  </si>
  <si>
    <t>1_all_subs_noST_pc_ai__yd_8</t>
  </si>
  <si>
    <t>1_all_policies_pc_ai__yd_8</t>
  </si>
  <si>
    <t>1_all_policies_noST_pc_ai__yd_8</t>
  </si>
  <si>
    <t>1_subsidy_fuel_pc_ai__yd_8</t>
  </si>
  <si>
    <t>1_vat_fuel_pc_ai__yd_8</t>
  </si>
  <si>
    <t>1_all_subs_pc_ai__yd_8</t>
  </si>
  <si>
    <t>1_all_miti_noST_pc_ai__yd_8</t>
  </si>
  <si>
    <t>1_subsidy_elec_pc_ai__yd_9</t>
  </si>
  <si>
    <t>1_vat_fuel_pc_ai__yd_9</t>
  </si>
  <si>
    <t>1_all_subs_noST_pc_ai__yd_9</t>
  </si>
  <si>
    <t>1_am_delayed_pnbsf_pc_ai__yd_9</t>
  </si>
  <si>
    <t>1_all_policies_pc_ai__yd_9</t>
  </si>
  <si>
    <t>1_all_elec_pc_ai__yd_9</t>
  </si>
  <si>
    <t>1_vat_elec_pc_ai__yd_9</t>
  </si>
  <si>
    <t>1_am_new_pnbsf_pc_ai__yd_9</t>
  </si>
  <si>
    <t>1_subs_public_transport_pc_ai__yd_9</t>
  </si>
  <si>
    <t>1_subsidy_elec_direct_pc_ai__yd_9</t>
  </si>
  <si>
    <t>1_all_tax_pc_ai__yd_9</t>
  </si>
  <si>
    <t>1_all_elec_noST_pc_ai__yd_9</t>
  </si>
  <si>
    <t>1_social_tranche_pc_ai__yd_9</t>
  </si>
  <si>
    <t>1_all_policies_miti_pc_ai__yd_9</t>
  </si>
  <si>
    <t>1_all_policies_noST_pc_ai__yd_9</t>
  </si>
  <si>
    <t>1_subsidy_fuel_pc_ai__yd_9</t>
  </si>
  <si>
    <t>1_am_pnbsf_newbenefs_pc_ai__yd_9</t>
  </si>
  <si>
    <t>1_subsidy_elec_indirect_pc_ai__yd_9</t>
  </si>
  <si>
    <t>1_subsidy_fuel_direct_pc_ai__yd_9</t>
  </si>
  <si>
    <t>1_subsidy_fuel_indirect_pc_ai__yd_9</t>
  </si>
  <si>
    <t>1_all_subs_pc_ai__yd_9</t>
  </si>
  <si>
    <t>1_all_miti_noST_pc_ai__yd_9</t>
  </si>
  <si>
    <t>1_am_pnbsf_transferinc_pc_ai__yd_9</t>
  </si>
  <si>
    <t>1_all_miti_pc_ai__yd_9</t>
  </si>
  <si>
    <t>1_all_fuel_pc_ai__yd_9</t>
  </si>
  <si>
    <t>1_all_fuel_pc_ai__yd_10</t>
  </si>
  <si>
    <t>1_am_new_pnbsf_pc_ai__yd_10</t>
  </si>
  <si>
    <t>1_am_pnbsf_transferinc_pc_ai__yd_10</t>
  </si>
  <si>
    <t>1_all_elec_pc_ai__yd_10</t>
  </si>
  <si>
    <t>1_all_subs_noST_pc_ai__yd_10</t>
  </si>
  <si>
    <t>1_all_subs_pc_ai__yd_10</t>
  </si>
  <si>
    <t>1_am_pnbsf_newbenefs_pc_ai__yd_10</t>
  </si>
  <si>
    <t>1_social_tranche_pc_ai__yd_10</t>
  </si>
  <si>
    <t>1_am_delayed_pnbsf_pc_ai__yd_10</t>
  </si>
  <si>
    <t>1_vat_fuel_pc_ai__yd_10</t>
  </si>
  <si>
    <t>1_all_policies_noST_pc_ai__yd_10</t>
  </si>
  <si>
    <t>1_all_policies_miti_pc_ai__yd_10</t>
  </si>
  <si>
    <t>1_subsidy_fuel_pc_ai__yd_10</t>
  </si>
  <si>
    <t>1_subsidy_elec_pc_ai__yd_10</t>
  </si>
  <si>
    <t>1_all_elec_noST_pc_ai__yd_10</t>
  </si>
  <si>
    <t>1_all_tax_pc_ai__yd_10</t>
  </si>
  <si>
    <t>1_all_miti_noST_pc_ai__yd_10</t>
  </si>
  <si>
    <t>1_all_policies_pc_ai__yd_10</t>
  </si>
  <si>
    <t>1_subsidy_fuel_indirect_pc_ai__yd_10</t>
  </si>
  <si>
    <t>1_subsidy_elec_indirect_pc_ai__yd_10</t>
  </si>
  <si>
    <t>1_subs_public_transport_pc_ai__yd_10</t>
  </si>
  <si>
    <t>1_all_miti_pc_ai__yd_10</t>
  </si>
  <si>
    <t>1_subsidy_fuel_direct_pc_ai__yd_10</t>
  </si>
  <si>
    <t>1_vat_elec_pc_ai__yd_10</t>
  </si>
  <si>
    <t>1_subsidy_elec_direct_pc_ai__yd_10</t>
  </si>
  <si>
    <t>1_subsidy_fuel_direct_pc_beneficiaries__yd_0</t>
  </si>
  <si>
    <t>1_subsidy_fuel_direct_pc_benefits__yd_0</t>
  </si>
  <si>
    <t>1_subsidy_fuel_direct_pc_coverage__yd_0</t>
  </si>
  <si>
    <t>1_subsidy_fuel_direct_pc_mean__yd_0</t>
  </si>
  <si>
    <t>1_am_delayed_pnbsf_pc_beneficiaries__yd_0</t>
  </si>
  <si>
    <t>1_am_delayed_pnbsf_pc_benefits__yd_0</t>
  </si>
  <si>
    <t>1_am_delayed_pnbsf_pc_coverage__yd_0</t>
  </si>
  <si>
    <t>1_am_delayed_pnbsf_pc_mean__yd_0</t>
  </si>
  <si>
    <t>1_social_tranche_pc_beneficiaries__yd_0</t>
  </si>
  <si>
    <t>1_social_tranche_pc_benefits__yd_0</t>
  </si>
  <si>
    <t>1_social_tranche_pc_coverage__yd_0</t>
  </si>
  <si>
    <t>1_social_tranche_pc_mean__yd_0</t>
  </si>
  <si>
    <t>1_subs_public_transport_pc_beneficiaries__yd_0</t>
  </si>
  <si>
    <t>1_subs_public_transport_pc_benefits__yd_0</t>
  </si>
  <si>
    <t>1_subs_public_transport_pc_coverage__yd_0</t>
  </si>
  <si>
    <t>1_subs_public_transport_pc_mean__yd_0</t>
  </si>
  <si>
    <t>1_am_pnbsf_transferinc_pc_beneficiaries__yd_0</t>
  </si>
  <si>
    <t>1_am_pnbsf_transferinc_pc_benefits__yd_0</t>
  </si>
  <si>
    <t>1_am_pnbsf_transferinc_pc_coverage__yd_0</t>
  </si>
  <si>
    <t>1_am_pnbsf_transferinc_pc_mean__yd_0</t>
  </si>
  <si>
    <t>1_am_pnbsf_newbenefs_pc_beneficiaries__yd_0</t>
  </si>
  <si>
    <t>1_am_pnbsf_newbenefs_pc_benefits__yd_0</t>
  </si>
  <si>
    <t>1_am_pnbsf_newbenefs_pc_coverage__yd_0</t>
  </si>
  <si>
    <t>1_am_pnbsf_newbenefs_pc_mean__yd_0</t>
  </si>
  <si>
    <t>1_all_miti_pc_beneficiaries__yd_0</t>
  </si>
  <si>
    <t>1_all_miti_pc_benefits__yd_0</t>
  </si>
  <si>
    <t>1_all_miti_pc_coverage__yd_0</t>
  </si>
  <si>
    <t>1_all_miti_pc_mean__yd_0</t>
  </si>
  <si>
    <t>1_all_miti_noST_pc_beneficiaries__yd_0</t>
  </si>
  <si>
    <t>1_all_miti_noST_pc_benefits__yd_0</t>
  </si>
  <si>
    <t>1_all_miti_noST_pc_coverage__yd_0</t>
  </si>
  <si>
    <t>1_all_miti_noST_pc_mean__yd_0</t>
  </si>
  <si>
    <t>1_all_policies_miti_pc_beneficiaries__yd_0</t>
  </si>
  <si>
    <t>1_all_policies_miti_pc_benefits__yd_0</t>
  </si>
  <si>
    <t>1_all_policies_miti_pc_coverage__yd_0</t>
  </si>
  <si>
    <t>1_all_policies_miti_pc_mean__yd_0</t>
  </si>
  <si>
    <t>1_all_policies_noST_pc_beneficiaries__yd_0</t>
  </si>
  <si>
    <t>1_all_policies_noST_pc_benefits__yd_0</t>
  </si>
  <si>
    <t>1_all_policies_noST_pc_coverage__yd_0</t>
  </si>
  <si>
    <t>1_all_policies_noST_pc_mean__yd_0</t>
  </si>
  <si>
    <t>1_all_policies_pc_beneficiaries__yd_0</t>
  </si>
  <si>
    <t>1_all_policies_pc_benefits__yd_0</t>
  </si>
  <si>
    <t>1_all_policies_pc_coverage__yd_0</t>
  </si>
  <si>
    <t>1_all_policies_pc_mean__yd_0</t>
  </si>
  <si>
    <t>1_subsidy_fuel_indirect_pc_beneficiaries__yd_0</t>
  </si>
  <si>
    <t>1_subsidy_fuel_indirect_pc_benefits__yd_0</t>
  </si>
  <si>
    <t>1_subsidy_fuel_indirect_pc_coverage__yd_0</t>
  </si>
  <si>
    <t>1_subsidy_fuel_indirect_pc_mean__yd_0</t>
  </si>
  <si>
    <t>1_all_tax_pc_beneficiaries__yd_0</t>
  </si>
  <si>
    <t>1_all_tax_pc_benefits__yd_0</t>
  </si>
  <si>
    <t>1_all_tax_pc_coverage__yd_0</t>
  </si>
  <si>
    <t>1_all_tax_pc_mean__yd_0</t>
  </si>
  <si>
    <t>1_all_subs_noST_pc_beneficiaries__yd_0</t>
  </si>
  <si>
    <t>1_all_subs_noST_pc_benefits__yd_0</t>
  </si>
  <si>
    <t>1_all_subs_noST_pc_coverage__yd_0</t>
  </si>
  <si>
    <t>1_all_subs_noST_pc_mean__yd_0</t>
  </si>
  <si>
    <t>1_all_subs_pc_beneficiaries__yd_0</t>
  </si>
  <si>
    <t>1_all_subs_pc_benefits__yd_0</t>
  </si>
  <si>
    <t>1_all_subs_pc_coverage__yd_0</t>
  </si>
  <si>
    <t>1_all_subs_pc_mean__yd_0</t>
  </si>
  <si>
    <t>1_all_elec_noST_pc_beneficiaries__yd_0</t>
  </si>
  <si>
    <t>1_all_elec_noST_pc_benefits__yd_0</t>
  </si>
  <si>
    <t>1_all_elec_noST_pc_coverage__yd_0</t>
  </si>
  <si>
    <t>1_all_elec_noST_pc_mean__yd_0</t>
  </si>
  <si>
    <t>1_all_elec_pc_beneficiaries__yd_0</t>
  </si>
  <si>
    <t>1_all_elec_pc_benefits__yd_0</t>
  </si>
  <si>
    <t>1_all_elec_pc_coverage__yd_0</t>
  </si>
  <si>
    <t>1_all_elec_pc_mean__yd_0</t>
  </si>
  <si>
    <t>1_all_fuel_pc_beneficiaries__yd_0</t>
  </si>
  <si>
    <t>1_all_fuel_pc_benefits__yd_0</t>
  </si>
  <si>
    <t>1_all_fuel_pc_coverage__yd_0</t>
  </si>
  <si>
    <t>1_all_fuel_pc_mean__yd_0</t>
  </si>
  <si>
    <t>1_subsidy_fuel_pc_beneficiaries__yd_0</t>
  </si>
  <si>
    <t>1_subsidy_fuel_pc_benefits__yd_0</t>
  </si>
  <si>
    <t>1_subsidy_fuel_pc_coverage__yd_0</t>
  </si>
  <si>
    <t>1_subsidy_fuel_pc_mean__yd_0</t>
  </si>
  <si>
    <t>1_subsidy_elec_direct_pc_beneficiaries__yd_0</t>
  </si>
  <si>
    <t>1_subsidy_elec_direct_pc_benefits__yd_0</t>
  </si>
  <si>
    <t>1_subsidy_elec_direct_pc_coverage__yd_0</t>
  </si>
  <si>
    <t>1_subsidy_elec_direct_pc_mean__yd_0</t>
  </si>
  <si>
    <t>1_subsidy_elec_indirect_pc_beneficiaries__yd_0</t>
  </si>
  <si>
    <t>1_subsidy_elec_indirect_pc_benefits__yd_0</t>
  </si>
  <si>
    <t>1_subsidy_elec_indirect_pc_coverage__yd_0</t>
  </si>
  <si>
    <t>1_subsidy_elec_indirect_pc_mean__yd_0</t>
  </si>
  <si>
    <t>1_subsidy_elec_pc_beneficiaries__yd_0</t>
  </si>
  <si>
    <t>1_subsidy_elec_pc_benefits__yd_0</t>
  </si>
  <si>
    <t>1_subsidy_elec_pc_coverage__yd_0</t>
  </si>
  <si>
    <t>1_subsidy_elec_pc_mean__yd_0</t>
  </si>
  <si>
    <t>1_vat_elec_pc_beneficiaries__yd_0</t>
  </si>
  <si>
    <t>1_vat_elec_pc_benefits__yd_0</t>
  </si>
  <si>
    <t>1_vat_elec_pc_coverage__yd_0</t>
  </si>
  <si>
    <t>1_vat_elec_pc_mean__yd_0</t>
  </si>
  <si>
    <t>1_vat_fuel_pc_beneficiaries__yd_0</t>
  </si>
  <si>
    <t>1_vat_fuel_pc_benefits__yd_0</t>
  </si>
  <si>
    <t>1_vat_fuel_pc_coverage__yd_0</t>
  </si>
  <si>
    <t>1_vat_fuel_pc_mean__yd_0</t>
  </si>
  <si>
    <t>1_am_new_pnbsf_pc_beneficiaries__yd_0</t>
  </si>
  <si>
    <t>1_am_new_pnbsf_pc_benefits__yd_0</t>
  </si>
  <si>
    <t>1_am_new_pnbsf_pc_coverage__yd_0</t>
  </si>
  <si>
    <t>1_am_new_pnbsf_pc_mean__yd_0</t>
  </si>
  <si>
    <t>1_yd_pc_gini__yd_0</t>
  </si>
  <si>
    <t>1_yd_pc_theil__yd_0</t>
  </si>
  <si>
    <t>1_inc_am_new_pnbsf_gini__yd_0</t>
  </si>
  <si>
    <t>1_inc_am_new_pnbsf_theil__yd_0</t>
  </si>
  <si>
    <t>1_inc_am_new_pnbsf_fgt0__yd_0</t>
  </si>
  <si>
    <t>1_inc_am_new_pnbsf_fgt1__yd_0</t>
  </si>
  <si>
    <t>1_inc_am_new_pnbsf_fgt2__yd_0</t>
  </si>
  <si>
    <t>1_inc_am_delayed_pnbsf_gini__yd_0</t>
  </si>
  <si>
    <t>1_inc_am_delayed_pnbsf_theil__yd_0</t>
  </si>
  <si>
    <t>1_inc_am_delayed_pnbsf_fgt0__yd_0</t>
  </si>
  <si>
    <t>1_inc_am_delayed_pnbsf_fgt1__yd_0</t>
  </si>
  <si>
    <t>1_inc_am_delayed_pnbsf_fgt2__yd_0</t>
  </si>
  <si>
    <t>1_inc_social_tranche_gini__yd_0</t>
  </si>
  <si>
    <t>1_inc_social_tranche_theil__yd_0</t>
  </si>
  <si>
    <t>1_inc_social_tranche_fgt0__yd_0</t>
  </si>
  <si>
    <t>1_inc_social_tranche_fgt1__yd_0</t>
  </si>
  <si>
    <t>1_inc_social_tranche_fgt2__yd_0</t>
  </si>
  <si>
    <t>1_inc_subs_public_transport_gini__yd_0</t>
  </si>
  <si>
    <t>1_inc_subs_public_transport_theil__yd_0</t>
  </si>
  <si>
    <t>1_inc_subs_public_transport_fgt0__yd_0</t>
  </si>
  <si>
    <t>1_inc_subs_public_transport_fgt1__yd_0</t>
  </si>
  <si>
    <t>1_inc_subs_public_transport_fgt2__yd_0</t>
  </si>
  <si>
    <t>1_inc_am_pnbsf_transferinc_gini__yd_0</t>
  </si>
  <si>
    <t>1_inc_am_pnbsf_transferinc_theil__yd_0</t>
  </si>
  <si>
    <t>1_inc_am_pnbsf_transferinc_fgt0__yd_0</t>
  </si>
  <si>
    <t>1_inc_am_pnbsf_transferinc_fgt1__yd_0</t>
  </si>
  <si>
    <t>1_inc_am_pnbsf_transferinc_fgt2__yd_0</t>
  </si>
  <si>
    <t>1_inc_am_pnbsf_newbenefs_gini__yd_0</t>
  </si>
  <si>
    <t>1_inc_am_pnbsf_newbenefs_theil__yd_0</t>
  </si>
  <si>
    <t>1_inc_am_pnbsf_newbenefs_fgt0__yd_0</t>
  </si>
  <si>
    <t>1_inc_am_pnbsf_newbenefs_fgt1__yd_0</t>
  </si>
  <si>
    <t>1_inc_am_pnbsf_newbenefs_fgt2__yd_0</t>
  </si>
  <si>
    <t>1_inc_all_miti_gini__yd_0</t>
  </si>
  <si>
    <t>1_inc_all_miti_theil__yd_0</t>
  </si>
  <si>
    <t>1_inc_all_miti_fgt0__yd_0</t>
  </si>
  <si>
    <t>1_inc_all_miti_fgt1__yd_0</t>
  </si>
  <si>
    <t>1_inc_all_miti_fgt2__yd_0</t>
  </si>
  <si>
    <t>1_inc_all_miti_noST_gini__yd_0</t>
  </si>
  <si>
    <t>1_inc_all_miti_noST_theil__yd_0</t>
  </si>
  <si>
    <t>1_inc_all_miti_noST_fgt0__yd_0</t>
  </si>
  <si>
    <t>1_inc_all_miti_noST_fgt1__yd_0</t>
  </si>
  <si>
    <t>1_inc_all_miti_noST_fgt2__yd_0</t>
  </si>
  <si>
    <t>1_inc_all_policies_miti_gini__yd_0</t>
  </si>
  <si>
    <t>1_inc_all_policies_miti_theil__yd_0</t>
  </si>
  <si>
    <t>1_inc_all_policies_miti_fgt0__yd_0</t>
  </si>
  <si>
    <t>1_inc_all_policies_miti_fgt1__yd_0</t>
  </si>
  <si>
    <t>1_inc_all_policies_miti_fgt2__yd_0</t>
  </si>
  <si>
    <t>1_inc_all_policies_noST_gini__yd_0</t>
  </si>
  <si>
    <t>1_inc_all_policies_noST_theil__yd_0</t>
  </si>
  <si>
    <t>1_inc_all_policies_noST_fgt0__yd_0</t>
  </si>
  <si>
    <t>1_inc_all_policies_noST_fgt1__yd_0</t>
  </si>
  <si>
    <t>1_inc_all_policies_noST_fgt2__yd_0</t>
  </si>
  <si>
    <t>1_yd_pc_fgt0__yd_0</t>
  </si>
  <si>
    <t>1_yd_pc_fgt1__yd_0</t>
  </si>
  <si>
    <t>1_yd_pc_fgt2__yd_0</t>
  </si>
  <si>
    <t>1_inc_vat_elec_gini__yd_0</t>
  </si>
  <si>
    <t>1_inc_vat_elec_theil__yd_0</t>
  </si>
  <si>
    <t>1_inc_all_policies_gini__yd_0</t>
  </si>
  <si>
    <t>1_inc_all_policies_theil__yd_0</t>
  </si>
  <si>
    <t>1_inc_all_policies_fgt0__yd_0</t>
  </si>
  <si>
    <t>1_inc_all_policies_fgt1__yd_0</t>
  </si>
  <si>
    <t>1_inc_all_policies_fgt2__yd_0</t>
  </si>
  <si>
    <t>1_inc_all_tax_gini__yd_0</t>
  </si>
  <si>
    <t>1_inc_all_tax_theil__yd_0</t>
  </si>
  <si>
    <t>1_inc_all_tax_fgt0__yd_0</t>
  </si>
  <si>
    <t>1_inc_all_tax_fgt1__yd_0</t>
  </si>
  <si>
    <t>1_inc_all_tax_fgt2__yd_0</t>
  </si>
  <si>
    <t>1_inc_all_subs_noST_gini__yd_0</t>
  </si>
  <si>
    <t>1_inc_all_subs_noST_theil__yd_0</t>
  </si>
  <si>
    <t>1_inc_all_subs_noST_fgt0__yd_0</t>
  </si>
  <si>
    <t>1_inc_all_subs_noST_fgt1__yd_0</t>
  </si>
  <si>
    <t>1_inc_all_subs_noST_fgt2__yd_0</t>
  </si>
  <si>
    <t>1_inc_all_subs_gini__yd_0</t>
  </si>
  <si>
    <t>1_inc_all_subs_theil__yd_0</t>
  </si>
  <si>
    <t>1_inc_all_subs_fgt0__yd_0</t>
  </si>
  <si>
    <t>1_inc_all_subs_fgt1__yd_0</t>
  </si>
  <si>
    <t>1_inc_all_subs_fgt2__yd_0</t>
  </si>
  <si>
    <t>1_inc_all_elec_noST_gini__yd_0</t>
  </si>
  <si>
    <t>1_inc_all_elec_noST_theil__yd_0</t>
  </si>
  <si>
    <t>1_inc_all_elec_noST_fgt0__yd_0</t>
  </si>
  <si>
    <t>1_inc_all_elec_noST_fgt1__yd_0</t>
  </si>
  <si>
    <t>1_inc_all_elec_noST_fgt2__yd_0</t>
  </si>
  <si>
    <t>1_inc_all_elec_gini__yd_0</t>
  </si>
  <si>
    <t>1_inc_all_elec_theil__yd_0</t>
  </si>
  <si>
    <t>1_inc_all_elec_fgt0__yd_0</t>
  </si>
  <si>
    <t>1_inc_all_elec_fgt1__yd_0</t>
  </si>
  <si>
    <t>1_inc_all_elec_fgt2__yd_0</t>
  </si>
  <si>
    <t>1_inc_all_fuel_gini__yd_0</t>
  </si>
  <si>
    <t>1_inc_all_fuel_theil__yd_0</t>
  </si>
  <si>
    <t>1_inc_all_fuel_fgt0__yd_0</t>
  </si>
  <si>
    <t>1_inc_all_fuel_fgt1__yd_0</t>
  </si>
  <si>
    <t>1_inc_all_fuel_fgt2__yd_0</t>
  </si>
  <si>
    <t>1_inc_vat_elec_fgt0__yd_0</t>
  </si>
  <si>
    <t>1_inc_vat_elec_fgt1__yd_0</t>
  </si>
  <si>
    <t>1_inc_vat_elec_fgt2__yd_0</t>
  </si>
  <si>
    <t>1_inc_vat_fuel_gini__yd_0</t>
  </si>
  <si>
    <t>1_inc_vat_fuel_theil__yd_0</t>
  </si>
  <si>
    <t>1_inc_vat_fuel_fgt0__yd_0</t>
  </si>
  <si>
    <t>1_inc_vat_fuel_fgt1__yd_0</t>
  </si>
  <si>
    <t>1_inc_vat_fuel_fgt2__yd_0</t>
  </si>
  <si>
    <t>1_inc_subsidy_fuel_direct_gini__yd_0</t>
  </si>
  <si>
    <t>1_inc_subsidy_fuel_direct_theil__yd_0</t>
  </si>
  <si>
    <t>1_inc_subsidy_fuel_direct_fgt0__yd_0</t>
  </si>
  <si>
    <t>1_inc_subsidy_fuel_direct_fgt1__yd_0</t>
  </si>
  <si>
    <t>1_inc_subsidy_fuel_direct_fgt2__yd_0</t>
  </si>
  <si>
    <t>1_inc_subsidy_fuel_indirect_gini__yd_0</t>
  </si>
  <si>
    <t>1_inc_subsidy_fuel_indirect_theil__yd_0</t>
  </si>
  <si>
    <t>1_inc_subsidy_fuel_indirect_fgt0__yd_0</t>
  </si>
  <si>
    <t>1_inc_subsidy_fuel_indirect_fgt1__yd_0</t>
  </si>
  <si>
    <t>1_inc_subsidy_fuel_indirect_fgt2__yd_0</t>
  </si>
  <si>
    <t>1_inc_subsidy_fuel_gini__yd_0</t>
  </si>
  <si>
    <t>1_inc_subsidy_fuel_theil__yd_0</t>
  </si>
  <si>
    <t>1_inc_subsidy_fuel_fgt0__yd_0</t>
  </si>
  <si>
    <t>1_inc_subsidy_fuel_fgt1__yd_0</t>
  </si>
  <si>
    <t>1_inc_subsidy_fuel_fgt2__yd_0</t>
  </si>
  <si>
    <t>1_inc_subsidy_elec_direct_gini__yd_0</t>
  </si>
  <si>
    <t>1_inc_subsidy_elec_direct_theil__yd_0</t>
  </si>
  <si>
    <t>1_inc_subsidy_elec_direct_fgt0__yd_0</t>
  </si>
  <si>
    <t>1_inc_subsidy_elec_direct_fgt1__yd_0</t>
  </si>
  <si>
    <t>1_inc_subsidy_elec_direct_fgt2__yd_0</t>
  </si>
  <si>
    <t>1_inc_subsidy_elec_indirect_gini__yd_0</t>
  </si>
  <si>
    <t>1_inc_subsidy_elec_indirect_theil__yd_0</t>
  </si>
  <si>
    <t>1_inc_subsidy_elec_indirect_fgt0__yd_0</t>
  </si>
  <si>
    <t>1_inc_subsidy_elec_indirect_fgt1__yd_0</t>
  </si>
  <si>
    <t>1_inc_subsidy_elec_indirect_fgt2__yd_0</t>
  </si>
  <si>
    <t>1_inc_subsidy_elec_gini__yd_0</t>
  </si>
  <si>
    <t>1_inc_subsidy_elec_theil__yd_0</t>
  </si>
  <si>
    <t>1_inc_subsidy_elec_fgt0__yd_0</t>
  </si>
  <si>
    <t>1_inc_subsidy_elec_fgt1__yd_0</t>
  </si>
  <si>
    <t>1_inc_subsidy_elec_fgt2__yd_0</t>
  </si>
  <si>
    <t>2_subsidy_fuel_direct_pc_beneficiaries__yd_1</t>
  </si>
  <si>
    <t>2_subsidy_fuel_direct_pc_benefits__yd_1</t>
  </si>
  <si>
    <t>2_subsidy_fuel_direct_pc_coverage__yd_1</t>
  </si>
  <si>
    <t>2_subsidy_fuel_direct_pc_mean__yd_1</t>
  </si>
  <si>
    <t>2_am_delayed_pnbsf_pc_beneficiaries__yd_1</t>
  </si>
  <si>
    <t>2_am_delayed_pnbsf_pc_benefits__yd_1</t>
  </si>
  <si>
    <t>2_am_delayed_pnbsf_pc_coverage__yd_1</t>
  </si>
  <si>
    <t>2_am_delayed_pnbsf_pc_mean__yd_1</t>
  </si>
  <si>
    <t>2_social_tranche_pc_beneficiaries__yd_1</t>
  </si>
  <si>
    <t>2_social_tranche_pc_benefits__yd_1</t>
  </si>
  <si>
    <t>2_social_tranche_pc_coverage__yd_1</t>
  </si>
  <si>
    <t>2_social_tranche_pc_mean__yd_1</t>
  </si>
  <si>
    <t>2_subs_public_transport_pc_beneficiaries__yd_1</t>
  </si>
  <si>
    <t>2_subs_public_transport_pc_benefits__yd_1</t>
  </si>
  <si>
    <t>2_subs_public_transport_pc_coverage__yd_1</t>
  </si>
  <si>
    <t>2_subs_public_transport_pc_mean__yd_1</t>
  </si>
  <si>
    <t>2_am_pnbsf_transferinc_pc_beneficiaries__yd_1</t>
  </si>
  <si>
    <t>2_am_pnbsf_transferinc_pc_benefits__yd_1</t>
  </si>
  <si>
    <t>2_am_pnbsf_transferinc_pc_coverage__yd_1</t>
  </si>
  <si>
    <t>2_am_pnbsf_transferinc_pc_mean__yd_1</t>
  </si>
  <si>
    <t>2_am_pnbsf_newbenefs_pc_beneficiaries__yd_1</t>
  </si>
  <si>
    <t>2_am_pnbsf_newbenefs_pc_benefits__yd_1</t>
  </si>
  <si>
    <t>2_am_pnbsf_newbenefs_pc_coverage__yd_1</t>
  </si>
  <si>
    <t>2_am_pnbsf_newbenefs_pc_mean__yd_1</t>
  </si>
  <si>
    <t>2_all_miti_pc_beneficiaries__yd_1</t>
  </si>
  <si>
    <t>2_all_miti_pc_benefits__yd_1</t>
  </si>
  <si>
    <t>2_all_miti_pc_coverage__yd_1</t>
  </si>
  <si>
    <t>2_all_miti_pc_mean__yd_1</t>
  </si>
  <si>
    <t>2_all_miti_noST_pc_beneficiaries__yd_1</t>
  </si>
  <si>
    <t>2_all_miti_noST_pc_benefits__yd_1</t>
  </si>
  <si>
    <t>2_all_miti_noST_pc_coverage__yd_1</t>
  </si>
  <si>
    <t>2_all_miti_noST_pc_mean__yd_1</t>
  </si>
  <si>
    <t>2_all_policies_miti_pc_beneficiaries__yd_1</t>
  </si>
  <si>
    <t>2_all_policies_miti_pc_benefits__yd_1</t>
  </si>
  <si>
    <t>2_all_policies_miti_pc_coverage__yd_1</t>
  </si>
  <si>
    <t>2_all_policies_miti_pc_mean__yd_1</t>
  </si>
  <si>
    <t>2_all_policies_noST_pc_beneficiaries__yd_1</t>
  </si>
  <si>
    <t>2_all_policies_noST_pc_benefits__yd_1</t>
  </si>
  <si>
    <t>2_all_policies_noST_pc_coverage__yd_1</t>
  </si>
  <si>
    <t>2_all_policies_noST_pc_mean__yd_1</t>
  </si>
  <si>
    <t>2_all_policies_pc_beneficiaries__yd_1</t>
  </si>
  <si>
    <t>2_all_policies_pc_benefits__yd_1</t>
  </si>
  <si>
    <t>2_all_policies_pc_coverage__yd_1</t>
  </si>
  <si>
    <t>2_all_policies_pc_mean__yd_1</t>
  </si>
  <si>
    <t>2_subsidy_fuel_indirect_pc_beneficiaries__yd_1</t>
  </si>
  <si>
    <t>2_subsidy_fuel_indirect_pc_benefits__yd_1</t>
  </si>
  <si>
    <t>2_subsidy_fuel_indirect_pc_coverage__yd_1</t>
  </si>
  <si>
    <t>2_subsidy_fuel_indirect_pc_mean__yd_1</t>
  </si>
  <si>
    <t>2_all_tax_pc_beneficiaries__yd_1</t>
  </si>
  <si>
    <t>2_all_tax_pc_benefits__yd_1</t>
  </si>
  <si>
    <t>2_all_tax_pc_coverage__yd_1</t>
  </si>
  <si>
    <t>2_all_tax_pc_mean__yd_1</t>
  </si>
  <si>
    <t>2_all_subs_noST_pc_beneficiaries__yd_1</t>
  </si>
  <si>
    <t>2_all_subs_noST_pc_benefits__yd_1</t>
  </si>
  <si>
    <t>2_all_subs_noST_pc_coverage__yd_1</t>
  </si>
  <si>
    <t>2_all_subs_noST_pc_mean__yd_1</t>
  </si>
  <si>
    <t>2_all_subs_pc_beneficiaries__yd_1</t>
  </si>
  <si>
    <t>2_all_subs_pc_benefits__yd_1</t>
  </si>
  <si>
    <t>2_all_subs_pc_coverage__yd_1</t>
  </si>
  <si>
    <t>2_all_subs_pc_mean__yd_1</t>
  </si>
  <si>
    <t>2_all_elec_noST_pc_beneficiaries__yd_1</t>
  </si>
  <si>
    <t>2_all_elec_noST_pc_benefits__yd_1</t>
  </si>
  <si>
    <t>2_all_elec_noST_pc_coverage__yd_1</t>
  </si>
  <si>
    <t>2_all_elec_noST_pc_mean__yd_1</t>
  </si>
  <si>
    <t>2_all_elec_pc_beneficiaries__yd_1</t>
  </si>
  <si>
    <t>2_all_elec_pc_benefits__yd_1</t>
  </si>
  <si>
    <t>2_all_elec_pc_coverage__yd_1</t>
  </si>
  <si>
    <t>2_all_elec_pc_mean__yd_1</t>
  </si>
  <si>
    <t>2_all_fuel_pc_beneficiaries__yd_1</t>
  </si>
  <si>
    <t>2_all_fuel_pc_benefits__yd_1</t>
  </si>
  <si>
    <t>2_all_fuel_pc_coverage__yd_1</t>
  </si>
  <si>
    <t>2_all_fuel_pc_mean__yd_1</t>
  </si>
  <si>
    <t>2_subsidy_fuel_pc_beneficiaries__yd_1</t>
  </si>
  <si>
    <t>2_subsidy_fuel_pc_benefits__yd_1</t>
  </si>
  <si>
    <t>2_subsidy_fuel_pc_coverage__yd_1</t>
  </si>
  <si>
    <t>2_subsidy_fuel_pc_mean__yd_1</t>
  </si>
  <si>
    <t>2_subsidy_elec_direct_pc_beneficiaries__yd_1</t>
  </si>
  <si>
    <t>2_subsidy_elec_direct_pc_benefits__yd_1</t>
  </si>
  <si>
    <t>2_subsidy_elec_direct_pc_coverage__yd_1</t>
  </si>
  <si>
    <t>2_subsidy_elec_direct_pc_mean__yd_1</t>
  </si>
  <si>
    <t>2_subsidy_elec_indirect_pc_beneficiaries__yd_1</t>
  </si>
  <si>
    <t>2_subsidy_elec_indirect_pc_benefits__yd_1</t>
  </si>
  <si>
    <t>2_subsidy_elec_indirect_pc_coverage__yd_1</t>
  </si>
  <si>
    <t>2_subsidy_elec_indirect_pc_mean__yd_1</t>
  </si>
  <si>
    <t>2_subsidy_elec_pc_beneficiaries__yd_1</t>
  </si>
  <si>
    <t>2_subsidy_elec_pc_benefits__yd_1</t>
  </si>
  <si>
    <t>2_subsidy_elec_pc_coverage__yd_1</t>
  </si>
  <si>
    <t>2_subsidy_elec_pc_mean__yd_1</t>
  </si>
  <si>
    <t>2_vat_elec_pc_beneficiaries__yd_1</t>
  </si>
  <si>
    <t>2_vat_elec_pc_benefits__yd_1</t>
  </si>
  <si>
    <t>2_vat_elec_pc_coverage__yd_1</t>
  </si>
  <si>
    <t>2_vat_elec_pc_mean__yd_1</t>
  </si>
  <si>
    <t>2_vat_fuel_pc_beneficiaries__yd_1</t>
  </si>
  <si>
    <t>2_vat_fuel_pc_benefits__yd_1</t>
  </si>
  <si>
    <t>2_vat_fuel_pc_coverage__yd_1</t>
  </si>
  <si>
    <t>2_vat_fuel_pc_mean__yd_1</t>
  </si>
  <si>
    <t>2_am_new_pnbsf_pc_beneficiaries__yd_1</t>
  </si>
  <si>
    <t>2_am_new_pnbsf_pc_benefits__yd_1</t>
  </si>
  <si>
    <t>2_am_new_pnbsf_pc_coverage__yd_1</t>
  </si>
  <si>
    <t>2_am_new_pnbsf_pc_mean__yd_1</t>
  </si>
  <si>
    <t>2_subsidy_fuel_direct_pc_beneficiaries__yd_2</t>
  </si>
  <si>
    <t>2_subsidy_fuel_direct_pc_benefits__yd_2</t>
  </si>
  <si>
    <t>2_subsidy_fuel_direct_pc_coverage__yd_2</t>
  </si>
  <si>
    <t>2_subsidy_fuel_direct_pc_mean__yd_2</t>
  </si>
  <si>
    <t>2_am_delayed_pnbsf_pc_beneficiaries__yd_2</t>
  </si>
  <si>
    <t>2_am_delayed_pnbsf_pc_benefits__yd_2</t>
  </si>
  <si>
    <t>2_am_delayed_pnbsf_pc_coverage__yd_2</t>
  </si>
  <si>
    <t>2_am_delayed_pnbsf_pc_mean__yd_2</t>
  </si>
  <si>
    <t>2_social_tranche_pc_beneficiaries__yd_2</t>
  </si>
  <si>
    <t>2_social_tranche_pc_benefits__yd_2</t>
  </si>
  <si>
    <t>2_social_tranche_pc_coverage__yd_2</t>
  </si>
  <si>
    <t>2_social_tranche_pc_mean__yd_2</t>
  </si>
  <si>
    <t>2_subs_public_transport_pc_beneficiaries__yd_2</t>
  </si>
  <si>
    <t>2_subs_public_transport_pc_benefits__yd_2</t>
  </si>
  <si>
    <t>2_subs_public_transport_pc_coverage__yd_2</t>
  </si>
  <si>
    <t>2_subs_public_transport_pc_mean__yd_2</t>
  </si>
  <si>
    <t>2_am_pnbsf_transferinc_pc_beneficiaries__yd_2</t>
  </si>
  <si>
    <t>2_am_pnbsf_transferinc_pc_benefits__yd_2</t>
  </si>
  <si>
    <t>2_am_pnbsf_transferinc_pc_coverage__yd_2</t>
  </si>
  <si>
    <t>2_am_pnbsf_transferinc_pc_mean__yd_2</t>
  </si>
  <si>
    <t>2_am_pnbsf_newbenefs_pc_beneficiaries__yd_2</t>
  </si>
  <si>
    <t>2_am_pnbsf_newbenefs_pc_benefits__yd_2</t>
  </si>
  <si>
    <t>2_am_pnbsf_newbenefs_pc_coverage__yd_2</t>
  </si>
  <si>
    <t>2_am_pnbsf_newbenefs_pc_mean__yd_2</t>
  </si>
  <si>
    <t>2_all_miti_pc_beneficiaries__yd_2</t>
  </si>
  <si>
    <t>2_all_miti_pc_benefits__yd_2</t>
  </si>
  <si>
    <t>2_all_miti_pc_coverage__yd_2</t>
  </si>
  <si>
    <t>2_all_miti_pc_mean__yd_2</t>
  </si>
  <si>
    <t>2_all_miti_noST_pc_beneficiaries__yd_2</t>
  </si>
  <si>
    <t>2_all_miti_noST_pc_benefits__yd_2</t>
  </si>
  <si>
    <t>2_all_miti_noST_pc_coverage__yd_2</t>
  </si>
  <si>
    <t>2_all_miti_noST_pc_mean__yd_2</t>
  </si>
  <si>
    <t>2_all_policies_miti_pc_beneficiaries__yd_2</t>
  </si>
  <si>
    <t>2_all_policies_miti_pc_benefits__yd_2</t>
  </si>
  <si>
    <t>2_all_policies_miti_pc_coverage__yd_2</t>
  </si>
  <si>
    <t>2_all_policies_miti_pc_mean__yd_2</t>
  </si>
  <si>
    <t>2_all_policies_noST_pc_beneficiaries__yd_2</t>
  </si>
  <si>
    <t>2_all_policies_noST_pc_benefits__yd_2</t>
  </si>
  <si>
    <t>2_all_policies_noST_pc_coverage__yd_2</t>
  </si>
  <si>
    <t>2_all_policies_noST_pc_mean__yd_2</t>
  </si>
  <si>
    <t>2_all_policies_pc_beneficiaries__yd_2</t>
  </si>
  <si>
    <t>2_all_policies_pc_benefits__yd_2</t>
  </si>
  <si>
    <t>2_all_policies_pc_coverage__yd_2</t>
  </si>
  <si>
    <t>2_all_policies_pc_mean__yd_2</t>
  </si>
  <si>
    <t>2_subsidy_fuel_indirect_pc_beneficiaries__yd_2</t>
  </si>
  <si>
    <t>2_subsidy_fuel_indirect_pc_benefits__yd_2</t>
  </si>
  <si>
    <t>2_subsidy_fuel_indirect_pc_coverage__yd_2</t>
  </si>
  <si>
    <t>2_subsidy_fuel_indirect_pc_mean__yd_2</t>
  </si>
  <si>
    <t>2_all_tax_pc_beneficiaries__yd_2</t>
  </si>
  <si>
    <t>2_all_tax_pc_benefits__yd_2</t>
  </si>
  <si>
    <t>2_all_tax_pc_coverage__yd_2</t>
  </si>
  <si>
    <t>2_all_tax_pc_mean__yd_2</t>
  </si>
  <si>
    <t>2_all_subs_noST_pc_beneficiaries__yd_2</t>
  </si>
  <si>
    <t>2_all_subs_noST_pc_benefits__yd_2</t>
  </si>
  <si>
    <t>2_all_subs_noST_pc_coverage__yd_2</t>
  </si>
  <si>
    <t>2_all_subs_noST_pc_mean__yd_2</t>
  </si>
  <si>
    <t>2_all_subs_pc_beneficiaries__yd_2</t>
  </si>
  <si>
    <t>2_all_subs_pc_benefits__yd_2</t>
  </si>
  <si>
    <t>2_all_subs_pc_coverage__yd_2</t>
  </si>
  <si>
    <t>2_all_subs_pc_mean__yd_2</t>
  </si>
  <si>
    <t>2_all_elec_noST_pc_beneficiaries__yd_2</t>
  </si>
  <si>
    <t>2_all_elec_noST_pc_benefits__yd_2</t>
  </si>
  <si>
    <t>2_all_elec_noST_pc_coverage__yd_2</t>
  </si>
  <si>
    <t>2_all_elec_noST_pc_mean__yd_2</t>
  </si>
  <si>
    <t>2_all_elec_pc_beneficiaries__yd_2</t>
  </si>
  <si>
    <t>2_all_elec_pc_benefits__yd_2</t>
  </si>
  <si>
    <t>2_all_elec_pc_coverage__yd_2</t>
  </si>
  <si>
    <t>2_all_elec_pc_mean__yd_2</t>
  </si>
  <si>
    <t>2_all_fuel_pc_beneficiaries__yd_2</t>
  </si>
  <si>
    <t>2_all_fuel_pc_benefits__yd_2</t>
  </si>
  <si>
    <t>2_all_fuel_pc_coverage__yd_2</t>
  </si>
  <si>
    <t>2_all_fuel_pc_mean__yd_2</t>
  </si>
  <si>
    <t>2_subsidy_fuel_pc_beneficiaries__yd_2</t>
  </si>
  <si>
    <t>2_subsidy_fuel_pc_benefits__yd_2</t>
  </si>
  <si>
    <t>2_subsidy_fuel_pc_coverage__yd_2</t>
  </si>
  <si>
    <t>2_subsidy_fuel_pc_mean__yd_2</t>
  </si>
  <si>
    <t>2_subsidy_elec_direct_pc_beneficiaries__yd_2</t>
  </si>
  <si>
    <t>2_subsidy_elec_direct_pc_benefits__yd_2</t>
  </si>
  <si>
    <t>2_subsidy_elec_direct_pc_coverage__yd_2</t>
  </si>
  <si>
    <t>2_subsidy_elec_direct_pc_mean__yd_2</t>
  </si>
  <si>
    <t>2_subsidy_elec_indirect_pc_beneficiaries__yd_2</t>
  </si>
  <si>
    <t>2_subsidy_elec_indirect_pc_benefits__yd_2</t>
  </si>
  <si>
    <t>2_subsidy_elec_indirect_pc_coverage__yd_2</t>
  </si>
  <si>
    <t>2_subsidy_elec_indirect_pc_mean__yd_2</t>
  </si>
  <si>
    <t>2_subsidy_elec_pc_beneficiaries__yd_2</t>
  </si>
  <si>
    <t>2_subsidy_elec_pc_benefits__yd_2</t>
  </si>
  <si>
    <t>2_subsidy_elec_pc_coverage__yd_2</t>
  </si>
  <si>
    <t>2_subsidy_elec_pc_mean__yd_2</t>
  </si>
  <si>
    <t>2_vat_elec_pc_beneficiaries__yd_2</t>
  </si>
  <si>
    <t>2_vat_elec_pc_benefits__yd_2</t>
  </si>
  <si>
    <t>2_vat_elec_pc_coverage__yd_2</t>
  </si>
  <si>
    <t>2_vat_elec_pc_mean__yd_2</t>
  </si>
  <si>
    <t>2_vat_fuel_pc_beneficiaries__yd_2</t>
  </si>
  <si>
    <t>2_vat_fuel_pc_benefits__yd_2</t>
  </si>
  <si>
    <t>2_vat_fuel_pc_coverage__yd_2</t>
  </si>
  <si>
    <t>2_vat_fuel_pc_mean__yd_2</t>
  </si>
  <si>
    <t>2_am_new_pnbsf_pc_beneficiaries__yd_2</t>
  </si>
  <si>
    <t>2_am_new_pnbsf_pc_benefits__yd_2</t>
  </si>
  <si>
    <t>2_am_new_pnbsf_pc_coverage__yd_2</t>
  </si>
  <si>
    <t>2_am_new_pnbsf_pc_mean__yd_2</t>
  </si>
  <si>
    <t>2_subsidy_fuel_direct_pc_beneficiaries__yd_3</t>
  </si>
  <si>
    <t>2_subsidy_fuel_direct_pc_benefits__yd_3</t>
  </si>
  <si>
    <t>2_subsidy_fuel_direct_pc_coverage__yd_3</t>
  </si>
  <si>
    <t>2_subsidy_fuel_direct_pc_mean__yd_3</t>
  </si>
  <si>
    <t>2_am_delayed_pnbsf_pc_beneficiaries__yd_3</t>
  </si>
  <si>
    <t>2_am_delayed_pnbsf_pc_benefits__yd_3</t>
  </si>
  <si>
    <t>2_am_delayed_pnbsf_pc_coverage__yd_3</t>
  </si>
  <si>
    <t>2_am_delayed_pnbsf_pc_mean__yd_3</t>
  </si>
  <si>
    <t>2_social_tranche_pc_beneficiaries__yd_3</t>
  </si>
  <si>
    <t>2_social_tranche_pc_benefits__yd_3</t>
  </si>
  <si>
    <t>2_social_tranche_pc_coverage__yd_3</t>
  </si>
  <si>
    <t>2_social_tranche_pc_mean__yd_3</t>
  </si>
  <si>
    <t>2_subs_public_transport_pc_beneficiaries__yd_3</t>
  </si>
  <si>
    <t>2_subs_public_transport_pc_benefits__yd_3</t>
  </si>
  <si>
    <t>2_subs_public_transport_pc_coverage__yd_3</t>
  </si>
  <si>
    <t>2_subs_public_transport_pc_mean__yd_3</t>
  </si>
  <si>
    <t>2_am_pnbsf_transferinc_pc_beneficiaries__yd_3</t>
  </si>
  <si>
    <t>2_am_pnbsf_transferinc_pc_benefits__yd_3</t>
  </si>
  <si>
    <t>2_am_pnbsf_transferinc_pc_coverage__yd_3</t>
  </si>
  <si>
    <t>2_am_pnbsf_transferinc_pc_mean__yd_3</t>
  </si>
  <si>
    <t>2_am_pnbsf_newbenefs_pc_beneficiaries__yd_3</t>
  </si>
  <si>
    <t>2_am_pnbsf_newbenefs_pc_benefits__yd_3</t>
  </si>
  <si>
    <t>2_am_pnbsf_newbenefs_pc_coverage__yd_3</t>
  </si>
  <si>
    <t>2_am_pnbsf_newbenefs_pc_mean__yd_3</t>
  </si>
  <si>
    <t>2_all_miti_pc_beneficiaries__yd_3</t>
  </si>
  <si>
    <t>2_all_miti_pc_benefits__yd_3</t>
  </si>
  <si>
    <t>2_all_miti_pc_coverage__yd_3</t>
  </si>
  <si>
    <t>2_all_miti_pc_mean__yd_3</t>
  </si>
  <si>
    <t>2_all_miti_noST_pc_beneficiaries__yd_3</t>
  </si>
  <si>
    <t>2_all_miti_noST_pc_benefits__yd_3</t>
  </si>
  <si>
    <t>2_all_miti_noST_pc_coverage__yd_3</t>
  </si>
  <si>
    <t>2_all_miti_noST_pc_mean__yd_3</t>
  </si>
  <si>
    <t>2_all_policies_miti_pc_beneficiaries__yd_3</t>
  </si>
  <si>
    <t>2_all_policies_miti_pc_benefits__yd_3</t>
  </si>
  <si>
    <t>2_all_policies_miti_pc_coverage__yd_3</t>
  </si>
  <si>
    <t>2_all_policies_miti_pc_mean__yd_3</t>
  </si>
  <si>
    <t>2_all_policies_noST_pc_beneficiaries__yd_3</t>
  </si>
  <si>
    <t>2_all_policies_noST_pc_benefits__yd_3</t>
  </si>
  <si>
    <t>2_all_policies_noST_pc_coverage__yd_3</t>
  </si>
  <si>
    <t>2_all_policies_noST_pc_mean__yd_3</t>
  </si>
  <si>
    <t>2_all_policies_pc_beneficiaries__yd_3</t>
  </si>
  <si>
    <t>2_all_policies_pc_benefits__yd_3</t>
  </si>
  <si>
    <t>2_all_policies_pc_coverage__yd_3</t>
  </si>
  <si>
    <t>2_all_policies_pc_mean__yd_3</t>
  </si>
  <si>
    <t>2_subsidy_fuel_indirect_pc_beneficiaries__yd_3</t>
  </si>
  <si>
    <t>2_subsidy_fuel_indirect_pc_benefits__yd_3</t>
  </si>
  <si>
    <t>2_subsidy_fuel_indirect_pc_coverage__yd_3</t>
  </si>
  <si>
    <t>2_subsidy_fuel_indirect_pc_mean__yd_3</t>
  </si>
  <si>
    <t>2_all_tax_pc_beneficiaries__yd_3</t>
  </si>
  <si>
    <t>2_all_tax_pc_benefits__yd_3</t>
  </si>
  <si>
    <t>2_all_tax_pc_coverage__yd_3</t>
  </si>
  <si>
    <t>2_all_tax_pc_mean__yd_3</t>
  </si>
  <si>
    <t>2_all_subs_noST_pc_beneficiaries__yd_3</t>
  </si>
  <si>
    <t>2_all_subs_noST_pc_benefits__yd_3</t>
  </si>
  <si>
    <t>2_all_subs_noST_pc_coverage__yd_3</t>
  </si>
  <si>
    <t>2_all_subs_noST_pc_mean__yd_3</t>
  </si>
  <si>
    <t>2_all_subs_pc_beneficiaries__yd_3</t>
  </si>
  <si>
    <t>2_all_subs_pc_benefits__yd_3</t>
  </si>
  <si>
    <t>2_all_subs_pc_coverage__yd_3</t>
  </si>
  <si>
    <t>2_all_subs_pc_mean__yd_3</t>
  </si>
  <si>
    <t>2_all_elec_noST_pc_beneficiaries__yd_3</t>
  </si>
  <si>
    <t>2_all_elec_noST_pc_benefits__yd_3</t>
  </si>
  <si>
    <t>2_all_elec_noST_pc_coverage__yd_3</t>
  </si>
  <si>
    <t>2_all_elec_noST_pc_mean__yd_3</t>
  </si>
  <si>
    <t>2_all_elec_pc_beneficiaries__yd_3</t>
  </si>
  <si>
    <t>2_all_elec_pc_benefits__yd_3</t>
  </si>
  <si>
    <t>2_all_elec_pc_coverage__yd_3</t>
  </si>
  <si>
    <t>2_all_elec_pc_mean__yd_3</t>
  </si>
  <si>
    <t>2_all_fuel_pc_beneficiaries__yd_3</t>
  </si>
  <si>
    <t>2_all_fuel_pc_benefits__yd_3</t>
  </si>
  <si>
    <t>2_all_fuel_pc_coverage__yd_3</t>
  </si>
  <si>
    <t>2_all_fuel_pc_mean__yd_3</t>
  </si>
  <si>
    <t>2_subsidy_fuel_pc_beneficiaries__yd_3</t>
  </si>
  <si>
    <t>2_subsidy_fuel_pc_benefits__yd_3</t>
  </si>
  <si>
    <t>2_subsidy_fuel_pc_coverage__yd_3</t>
  </si>
  <si>
    <t>2_subsidy_fuel_pc_mean__yd_3</t>
  </si>
  <si>
    <t>2_subsidy_elec_direct_pc_beneficiaries__yd_3</t>
  </si>
  <si>
    <t>2_subsidy_elec_direct_pc_benefits__yd_3</t>
  </si>
  <si>
    <t>2_subsidy_elec_direct_pc_coverage__yd_3</t>
  </si>
  <si>
    <t>2_subsidy_elec_direct_pc_mean__yd_3</t>
  </si>
  <si>
    <t>2_subsidy_elec_indirect_pc_beneficiaries__yd_3</t>
  </si>
  <si>
    <t>2_subsidy_elec_indirect_pc_benefits__yd_3</t>
  </si>
  <si>
    <t>2_subsidy_elec_indirect_pc_coverage__yd_3</t>
  </si>
  <si>
    <t>2_subsidy_elec_indirect_pc_mean__yd_3</t>
  </si>
  <si>
    <t>2_subsidy_elec_pc_beneficiaries__yd_3</t>
  </si>
  <si>
    <t>2_subsidy_elec_pc_benefits__yd_3</t>
  </si>
  <si>
    <t>2_subsidy_elec_pc_coverage__yd_3</t>
  </si>
  <si>
    <t>2_subsidy_elec_pc_mean__yd_3</t>
  </si>
  <si>
    <t>2_vat_elec_pc_beneficiaries__yd_3</t>
  </si>
  <si>
    <t>2_vat_elec_pc_benefits__yd_3</t>
  </si>
  <si>
    <t>2_vat_elec_pc_coverage__yd_3</t>
  </si>
  <si>
    <t>2_vat_elec_pc_mean__yd_3</t>
  </si>
  <si>
    <t>2_vat_fuel_pc_beneficiaries__yd_3</t>
  </si>
  <si>
    <t>2_vat_fuel_pc_benefits__yd_3</t>
  </si>
  <si>
    <t>2_vat_fuel_pc_coverage__yd_3</t>
  </si>
  <si>
    <t>2_vat_fuel_pc_mean__yd_3</t>
  </si>
  <si>
    <t>2_am_new_pnbsf_pc_beneficiaries__yd_3</t>
  </si>
  <si>
    <t>2_am_new_pnbsf_pc_benefits__yd_3</t>
  </si>
  <si>
    <t>2_am_new_pnbsf_pc_coverage__yd_3</t>
  </si>
  <si>
    <t>2_am_new_pnbsf_pc_mean__yd_3</t>
  </si>
  <si>
    <t>2_subsidy_fuel_direct_pc_beneficiaries__yd_4</t>
  </si>
  <si>
    <t>2_subsidy_fuel_direct_pc_benefits__yd_4</t>
  </si>
  <si>
    <t>2_subsidy_fuel_direct_pc_coverage__yd_4</t>
  </si>
  <si>
    <t>2_subsidy_fuel_direct_pc_mean__yd_4</t>
  </si>
  <si>
    <t>2_am_delayed_pnbsf_pc_beneficiaries__yd_4</t>
  </si>
  <si>
    <t>2_am_delayed_pnbsf_pc_benefits__yd_4</t>
  </si>
  <si>
    <t>2_am_delayed_pnbsf_pc_coverage__yd_4</t>
  </si>
  <si>
    <t>2_am_delayed_pnbsf_pc_mean__yd_4</t>
  </si>
  <si>
    <t>2_social_tranche_pc_beneficiaries__yd_4</t>
  </si>
  <si>
    <t>2_social_tranche_pc_benefits__yd_4</t>
  </si>
  <si>
    <t>2_social_tranche_pc_coverage__yd_4</t>
  </si>
  <si>
    <t>2_social_tranche_pc_mean__yd_4</t>
  </si>
  <si>
    <t>2_subs_public_transport_pc_beneficiaries__yd_4</t>
  </si>
  <si>
    <t>2_subs_public_transport_pc_benefits__yd_4</t>
  </si>
  <si>
    <t>2_subs_public_transport_pc_coverage__yd_4</t>
  </si>
  <si>
    <t>2_subs_public_transport_pc_mean__yd_4</t>
  </si>
  <si>
    <t>2_am_pnbsf_transferinc_pc_beneficiaries__yd_4</t>
  </si>
  <si>
    <t>2_am_pnbsf_transferinc_pc_benefits__yd_4</t>
  </si>
  <si>
    <t>2_am_pnbsf_transferinc_pc_coverage__yd_4</t>
  </si>
  <si>
    <t>2_am_pnbsf_transferinc_pc_mean__yd_4</t>
  </si>
  <si>
    <t>2_am_pnbsf_newbenefs_pc_beneficiaries__yd_4</t>
  </si>
  <si>
    <t>2_am_pnbsf_newbenefs_pc_benefits__yd_4</t>
  </si>
  <si>
    <t>2_am_pnbsf_newbenefs_pc_coverage__yd_4</t>
  </si>
  <si>
    <t>2_am_pnbsf_newbenefs_pc_mean__yd_4</t>
  </si>
  <si>
    <t>2_all_miti_pc_beneficiaries__yd_4</t>
  </si>
  <si>
    <t>2_all_miti_pc_benefits__yd_4</t>
  </si>
  <si>
    <t>2_all_miti_pc_coverage__yd_4</t>
  </si>
  <si>
    <t>2_all_miti_pc_mean__yd_4</t>
  </si>
  <si>
    <t>2_all_miti_noST_pc_beneficiaries__yd_4</t>
  </si>
  <si>
    <t>2_all_miti_noST_pc_benefits__yd_4</t>
  </si>
  <si>
    <t>2_all_miti_noST_pc_coverage__yd_4</t>
  </si>
  <si>
    <t>2_all_miti_noST_pc_mean__yd_4</t>
  </si>
  <si>
    <t>2_all_policies_miti_pc_beneficiaries__yd_4</t>
  </si>
  <si>
    <t>2_all_policies_miti_pc_benefits__yd_4</t>
  </si>
  <si>
    <t>2_all_policies_miti_pc_coverage__yd_4</t>
  </si>
  <si>
    <t>2_all_policies_miti_pc_mean__yd_4</t>
  </si>
  <si>
    <t>2_all_policies_noST_pc_beneficiaries__yd_4</t>
  </si>
  <si>
    <t>2_all_policies_noST_pc_benefits__yd_4</t>
  </si>
  <si>
    <t>2_all_policies_noST_pc_coverage__yd_4</t>
  </si>
  <si>
    <t>2_all_policies_noST_pc_mean__yd_4</t>
  </si>
  <si>
    <t>2_all_policies_pc_beneficiaries__yd_4</t>
  </si>
  <si>
    <t>2_all_policies_pc_benefits__yd_4</t>
  </si>
  <si>
    <t>2_all_policies_pc_coverage__yd_4</t>
  </si>
  <si>
    <t>2_all_policies_pc_mean__yd_4</t>
  </si>
  <si>
    <t>2_subsidy_fuel_indirect_pc_beneficiaries__yd_4</t>
  </si>
  <si>
    <t>2_subsidy_fuel_indirect_pc_benefits__yd_4</t>
  </si>
  <si>
    <t>2_subsidy_fuel_indirect_pc_coverage__yd_4</t>
  </si>
  <si>
    <t>2_subsidy_fuel_indirect_pc_mean__yd_4</t>
  </si>
  <si>
    <t>2_all_tax_pc_beneficiaries__yd_4</t>
  </si>
  <si>
    <t>2_all_tax_pc_benefits__yd_4</t>
  </si>
  <si>
    <t>2_all_tax_pc_coverage__yd_4</t>
  </si>
  <si>
    <t>2_all_tax_pc_mean__yd_4</t>
  </si>
  <si>
    <t>2_all_subs_noST_pc_beneficiaries__yd_4</t>
  </si>
  <si>
    <t>2_all_subs_noST_pc_benefits__yd_4</t>
  </si>
  <si>
    <t>2_all_subs_noST_pc_coverage__yd_4</t>
  </si>
  <si>
    <t>2_all_subs_noST_pc_mean__yd_4</t>
  </si>
  <si>
    <t>2_all_subs_pc_beneficiaries__yd_4</t>
  </si>
  <si>
    <t>2_all_subs_pc_benefits__yd_4</t>
  </si>
  <si>
    <t>2_all_subs_pc_coverage__yd_4</t>
  </si>
  <si>
    <t>2_all_subs_pc_mean__yd_4</t>
  </si>
  <si>
    <t>2_all_elec_noST_pc_beneficiaries__yd_4</t>
  </si>
  <si>
    <t>2_all_elec_noST_pc_benefits__yd_4</t>
  </si>
  <si>
    <t>2_all_elec_noST_pc_coverage__yd_4</t>
  </si>
  <si>
    <t>2_all_elec_noST_pc_mean__yd_4</t>
  </si>
  <si>
    <t>2_all_elec_pc_beneficiaries__yd_4</t>
  </si>
  <si>
    <t>2_all_elec_pc_benefits__yd_4</t>
  </si>
  <si>
    <t>2_all_elec_pc_coverage__yd_4</t>
  </si>
  <si>
    <t>2_all_elec_pc_mean__yd_4</t>
  </si>
  <si>
    <t>2_all_fuel_pc_beneficiaries__yd_4</t>
  </si>
  <si>
    <t>2_all_fuel_pc_benefits__yd_4</t>
  </si>
  <si>
    <t>2_all_fuel_pc_coverage__yd_4</t>
  </si>
  <si>
    <t>2_all_fuel_pc_mean__yd_4</t>
  </si>
  <si>
    <t>2_subsidy_fuel_pc_beneficiaries__yd_4</t>
  </si>
  <si>
    <t>2_subsidy_fuel_pc_benefits__yd_4</t>
  </si>
  <si>
    <t>2_subsidy_fuel_pc_coverage__yd_4</t>
  </si>
  <si>
    <t>2_subsidy_fuel_pc_mean__yd_4</t>
  </si>
  <si>
    <t>2_subsidy_elec_direct_pc_beneficiaries__yd_4</t>
  </si>
  <si>
    <t>2_subsidy_elec_direct_pc_benefits__yd_4</t>
  </si>
  <si>
    <t>2_subsidy_elec_direct_pc_coverage__yd_4</t>
  </si>
  <si>
    <t>2_subsidy_elec_direct_pc_mean__yd_4</t>
  </si>
  <si>
    <t>2_subsidy_elec_indirect_pc_beneficiaries__yd_4</t>
  </si>
  <si>
    <t>2_subsidy_elec_indirect_pc_benefits__yd_4</t>
  </si>
  <si>
    <t>2_subsidy_elec_indirect_pc_coverage__yd_4</t>
  </si>
  <si>
    <t>2_subsidy_elec_indirect_pc_mean__yd_4</t>
  </si>
  <si>
    <t>2_subsidy_elec_pc_beneficiaries__yd_4</t>
  </si>
  <si>
    <t>2_subsidy_elec_pc_benefits__yd_4</t>
  </si>
  <si>
    <t>2_subsidy_elec_pc_coverage__yd_4</t>
  </si>
  <si>
    <t>2_subsidy_elec_pc_mean__yd_4</t>
  </si>
  <si>
    <t>2_vat_elec_pc_beneficiaries__yd_4</t>
  </si>
  <si>
    <t>2_vat_elec_pc_benefits__yd_4</t>
  </si>
  <si>
    <t>2_vat_elec_pc_coverage__yd_4</t>
  </si>
  <si>
    <t>2_vat_elec_pc_mean__yd_4</t>
  </si>
  <si>
    <t>2_vat_fuel_pc_beneficiaries__yd_4</t>
  </si>
  <si>
    <t>2_vat_fuel_pc_benefits__yd_4</t>
  </si>
  <si>
    <t>2_vat_fuel_pc_coverage__yd_4</t>
  </si>
  <si>
    <t>2_vat_fuel_pc_mean__yd_4</t>
  </si>
  <si>
    <t>2_am_new_pnbsf_pc_beneficiaries__yd_4</t>
  </si>
  <si>
    <t>2_am_new_pnbsf_pc_benefits__yd_4</t>
  </si>
  <si>
    <t>2_am_new_pnbsf_pc_coverage__yd_4</t>
  </si>
  <si>
    <t>2_am_new_pnbsf_pc_mean__yd_4</t>
  </si>
  <si>
    <t>2_subsidy_fuel_direct_pc_beneficiaries__yd_5</t>
  </si>
  <si>
    <t>2_subsidy_fuel_direct_pc_benefits__yd_5</t>
  </si>
  <si>
    <t>2_subsidy_fuel_direct_pc_coverage__yd_5</t>
  </si>
  <si>
    <t>2_subsidy_fuel_direct_pc_mean__yd_5</t>
  </si>
  <si>
    <t>2_am_delayed_pnbsf_pc_beneficiaries__yd_5</t>
  </si>
  <si>
    <t>2_am_delayed_pnbsf_pc_benefits__yd_5</t>
  </si>
  <si>
    <t>2_am_delayed_pnbsf_pc_coverage__yd_5</t>
  </si>
  <si>
    <t>2_am_delayed_pnbsf_pc_mean__yd_5</t>
  </si>
  <si>
    <t>2_social_tranche_pc_beneficiaries__yd_5</t>
  </si>
  <si>
    <t>2_social_tranche_pc_benefits__yd_5</t>
  </si>
  <si>
    <t>2_social_tranche_pc_coverage__yd_5</t>
  </si>
  <si>
    <t>2_social_tranche_pc_mean__yd_5</t>
  </si>
  <si>
    <t>2_subs_public_transport_pc_beneficiaries__yd_5</t>
  </si>
  <si>
    <t>2_subs_public_transport_pc_benefits__yd_5</t>
  </si>
  <si>
    <t>2_subs_public_transport_pc_coverage__yd_5</t>
  </si>
  <si>
    <t>2_subs_public_transport_pc_mean__yd_5</t>
  </si>
  <si>
    <t>2_am_pnbsf_transferinc_pc_beneficiaries__yd_5</t>
  </si>
  <si>
    <t>2_am_pnbsf_transferinc_pc_benefits__yd_5</t>
  </si>
  <si>
    <t>2_am_pnbsf_transferinc_pc_coverage__yd_5</t>
  </si>
  <si>
    <t>2_am_pnbsf_transferinc_pc_mean__yd_5</t>
  </si>
  <si>
    <t>2_am_pnbsf_newbenefs_pc_beneficiaries__yd_5</t>
  </si>
  <si>
    <t>2_am_pnbsf_newbenefs_pc_benefits__yd_5</t>
  </si>
  <si>
    <t>2_am_pnbsf_newbenefs_pc_coverage__yd_5</t>
  </si>
  <si>
    <t>2_am_pnbsf_newbenefs_pc_mean__yd_5</t>
  </si>
  <si>
    <t>2_all_miti_pc_beneficiaries__yd_5</t>
  </si>
  <si>
    <t>2_all_miti_pc_benefits__yd_5</t>
  </si>
  <si>
    <t>2_all_miti_pc_coverage__yd_5</t>
  </si>
  <si>
    <t>2_all_miti_pc_mean__yd_5</t>
  </si>
  <si>
    <t>2_all_miti_noST_pc_beneficiaries__yd_5</t>
  </si>
  <si>
    <t>2_all_miti_noST_pc_benefits__yd_5</t>
  </si>
  <si>
    <t>2_all_miti_noST_pc_coverage__yd_5</t>
  </si>
  <si>
    <t>2_all_miti_noST_pc_mean__yd_5</t>
  </si>
  <si>
    <t>2_all_policies_miti_pc_beneficiaries__yd_5</t>
  </si>
  <si>
    <t>2_all_policies_miti_pc_benefits__yd_5</t>
  </si>
  <si>
    <t>2_all_policies_miti_pc_coverage__yd_5</t>
  </si>
  <si>
    <t>2_all_policies_miti_pc_mean__yd_5</t>
  </si>
  <si>
    <t>2_all_policies_noST_pc_beneficiaries__yd_5</t>
  </si>
  <si>
    <t>2_all_policies_noST_pc_benefits__yd_5</t>
  </si>
  <si>
    <t>2_all_policies_noST_pc_coverage__yd_5</t>
  </si>
  <si>
    <t>2_all_policies_noST_pc_mean__yd_5</t>
  </si>
  <si>
    <t>2_all_policies_pc_beneficiaries__yd_5</t>
  </si>
  <si>
    <t>2_all_policies_pc_benefits__yd_5</t>
  </si>
  <si>
    <t>2_all_policies_pc_coverage__yd_5</t>
  </si>
  <si>
    <t>2_all_policies_pc_mean__yd_5</t>
  </si>
  <si>
    <t>2_subsidy_fuel_indirect_pc_beneficiaries__yd_5</t>
  </si>
  <si>
    <t>2_subsidy_fuel_indirect_pc_benefits__yd_5</t>
  </si>
  <si>
    <t>2_subsidy_fuel_indirect_pc_coverage__yd_5</t>
  </si>
  <si>
    <t>2_subsidy_fuel_indirect_pc_mean__yd_5</t>
  </si>
  <si>
    <t>2_all_tax_pc_beneficiaries__yd_5</t>
  </si>
  <si>
    <t>2_all_tax_pc_benefits__yd_5</t>
  </si>
  <si>
    <t>2_all_tax_pc_coverage__yd_5</t>
  </si>
  <si>
    <t>2_all_tax_pc_mean__yd_5</t>
  </si>
  <si>
    <t>2_all_subs_noST_pc_beneficiaries__yd_5</t>
  </si>
  <si>
    <t>2_all_subs_noST_pc_benefits__yd_5</t>
  </si>
  <si>
    <t>2_all_subs_noST_pc_coverage__yd_5</t>
  </si>
  <si>
    <t>2_all_subs_noST_pc_mean__yd_5</t>
  </si>
  <si>
    <t>2_all_subs_pc_beneficiaries__yd_5</t>
  </si>
  <si>
    <t>2_all_subs_pc_benefits__yd_5</t>
  </si>
  <si>
    <t>2_all_subs_pc_coverage__yd_5</t>
  </si>
  <si>
    <t>2_all_subs_pc_mean__yd_5</t>
  </si>
  <si>
    <t>2_all_elec_noST_pc_beneficiaries__yd_5</t>
  </si>
  <si>
    <t>2_all_elec_noST_pc_benefits__yd_5</t>
  </si>
  <si>
    <t>2_all_elec_noST_pc_coverage__yd_5</t>
  </si>
  <si>
    <t>2_all_elec_noST_pc_mean__yd_5</t>
  </si>
  <si>
    <t>2_all_elec_pc_beneficiaries__yd_5</t>
  </si>
  <si>
    <t>2_all_elec_pc_benefits__yd_5</t>
  </si>
  <si>
    <t>2_all_elec_pc_coverage__yd_5</t>
  </si>
  <si>
    <t>2_all_elec_pc_mean__yd_5</t>
  </si>
  <si>
    <t>2_all_fuel_pc_beneficiaries__yd_5</t>
  </si>
  <si>
    <t>2_all_fuel_pc_benefits__yd_5</t>
  </si>
  <si>
    <t>2_all_fuel_pc_coverage__yd_5</t>
  </si>
  <si>
    <t>2_all_fuel_pc_mean__yd_5</t>
  </si>
  <si>
    <t>2_subsidy_fuel_pc_beneficiaries__yd_5</t>
  </si>
  <si>
    <t>2_subsidy_fuel_pc_benefits__yd_5</t>
  </si>
  <si>
    <t>2_subsidy_fuel_pc_coverage__yd_5</t>
  </si>
  <si>
    <t>2_subsidy_fuel_pc_mean__yd_5</t>
  </si>
  <si>
    <t>2_subsidy_elec_direct_pc_beneficiaries__yd_5</t>
  </si>
  <si>
    <t>2_subsidy_elec_direct_pc_benefits__yd_5</t>
  </si>
  <si>
    <t>2_subsidy_elec_direct_pc_coverage__yd_5</t>
  </si>
  <si>
    <t>2_subsidy_elec_direct_pc_mean__yd_5</t>
  </si>
  <si>
    <t>2_subsidy_elec_indirect_pc_beneficiaries__yd_5</t>
  </si>
  <si>
    <t>2_subsidy_elec_indirect_pc_benefits__yd_5</t>
  </si>
  <si>
    <t>2_subsidy_elec_indirect_pc_coverage__yd_5</t>
  </si>
  <si>
    <t>2_subsidy_elec_indirect_pc_mean__yd_5</t>
  </si>
  <si>
    <t>2_subsidy_elec_pc_beneficiaries__yd_5</t>
  </si>
  <si>
    <t>2_subsidy_elec_pc_benefits__yd_5</t>
  </si>
  <si>
    <t>2_subsidy_elec_pc_coverage__yd_5</t>
  </si>
  <si>
    <t>2_subsidy_elec_pc_mean__yd_5</t>
  </si>
  <si>
    <t>2_vat_elec_pc_beneficiaries__yd_5</t>
  </si>
  <si>
    <t>2_vat_elec_pc_benefits__yd_5</t>
  </si>
  <si>
    <t>2_vat_elec_pc_coverage__yd_5</t>
  </si>
  <si>
    <t>2_vat_elec_pc_mean__yd_5</t>
  </si>
  <si>
    <t>2_vat_fuel_pc_beneficiaries__yd_5</t>
  </si>
  <si>
    <t>2_vat_fuel_pc_benefits__yd_5</t>
  </si>
  <si>
    <t>2_vat_fuel_pc_coverage__yd_5</t>
  </si>
  <si>
    <t>2_vat_fuel_pc_mean__yd_5</t>
  </si>
  <si>
    <t>2_am_new_pnbsf_pc_beneficiaries__yd_5</t>
  </si>
  <si>
    <t>2_am_new_pnbsf_pc_benefits__yd_5</t>
  </si>
  <si>
    <t>2_am_new_pnbsf_pc_coverage__yd_5</t>
  </si>
  <si>
    <t>2_am_new_pnbsf_pc_mean__yd_5</t>
  </si>
  <si>
    <t>2_subsidy_fuel_direct_pc_beneficiaries__yd_6</t>
  </si>
  <si>
    <t>2_subsidy_fuel_direct_pc_benefits__yd_6</t>
  </si>
  <si>
    <t>2_subsidy_fuel_direct_pc_coverage__yd_6</t>
  </si>
  <si>
    <t>2_subsidy_fuel_direct_pc_mean__yd_6</t>
  </si>
  <si>
    <t>2_am_delayed_pnbsf_pc_beneficiaries__yd_6</t>
  </si>
  <si>
    <t>2_am_delayed_pnbsf_pc_benefits__yd_6</t>
  </si>
  <si>
    <t>2_am_delayed_pnbsf_pc_coverage__yd_6</t>
  </si>
  <si>
    <t>2_am_delayed_pnbsf_pc_mean__yd_6</t>
  </si>
  <si>
    <t>2_social_tranche_pc_beneficiaries__yd_6</t>
  </si>
  <si>
    <t>2_social_tranche_pc_benefits__yd_6</t>
  </si>
  <si>
    <t>2_social_tranche_pc_coverage__yd_6</t>
  </si>
  <si>
    <t>2_social_tranche_pc_mean__yd_6</t>
  </si>
  <si>
    <t>2_subs_public_transport_pc_beneficiaries__yd_6</t>
  </si>
  <si>
    <t>2_subs_public_transport_pc_benefits__yd_6</t>
  </si>
  <si>
    <t>2_subs_public_transport_pc_coverage__yd_6</t>
  </si>
  <si>
    <t>2_subs_public_transport_pc_mean__yd_6</t>
  </si>
  <si>
    <t>2_am_pnbsf_transferinc_pc_beneficiaries__yd_6</t>
  </si>
  <si>
    <t>2_am_pnbsf_transferinc_pc_benefits__yd_6</t>
  </si>
  <si>
    <t>2_am_pnbsf_transferinc_pc_coverage__yd_6</t>
  </si>
  <si>
    <t>2_am_pnbsf_transferinc_pc_mean__yd_6</t>
  </si>
  <si>
    <t>2_am_pnbsf_newbenefs_pc_beneficiaries__yd_6</t>
  </si>
  <si>
    <t>2_am_pnbsf_newbenefs_pc_benefits__yd_6</t>
  </si>
  <si>
    <t>2_am_pnbsf_newbenefs_pc_coverage__yd_6</t>
  </si>
  <si>
    <t>2_am_pnbsf_newbenefs_pc_mean__yd_6</t>
  </si>
  <si>
    <t>2_all_miti_pc_beneficiaries__yd_6</t>
  </si>
  <si>
    <t>2_all_miti_pc_benefits__yd_6</t>
  </si>
  <si>
    <t>2_all_miti_pc_coverage__yd_6</t>
  </si>
  <si>
    <t>2_all_miti_pc_mean__yd_6</t>
  </si>
  <si>
    <t>2_all_miti_noST_pc_beneficiaries__yd_6</t>
  </si>
  <si>
    <t>2_all_miti_noST_pc_benefits__yd_6</t>
  </si>
  <si>
    <t>2_all_miti_noST_pc_coverage__yd_6</t>
  </si>
  <si>
    <t>2_all_miti_noST_pc_mean__yd_6</t>
  </si>
  <si>
    <t>2_all_policies_miti_pc_beneficiaries__yd_6</t>
  </si>
  <si>
    <t>2_all_policies_miti_pc_benefits__yd_6</t>
  </si>
  <si>
    <t>2_all_policies_miti_pc_coverage__yd_6</t>
  </si>
  <si>
    <t>2_all_policies_miti_pc_mean__yd_6</t>
  </si>
  <si>
    <t>2_all_policies_noST_pc_beneficiaries__yd_6</t>
  </si>
  <si>
    <t>2_all_policies_noST_pc_benefits__yd_6</t>
  </si>
  <si>
    <t>2_all_policies_noST_pc_coverage__yd_6</t>
  </si>
  <si>
    <t>2_all_policies_noST_pc_mean__yd_6</t>
  </si>
  <si>
    <t>2_all_policies_pc_beneficiaries__yd_6</t>
  </si>
  <si>
    <t>2_all_policies_pc_benefits__yd_6</t>
  </si>
  <si>
    <t>2_all_policies_pc_coverage__yd_6</t>
  </si>
  <si>
    <t>2_all_policies_pc_mean__yd_6</t>
  </si>
  <si>
    <t>2_subsidy_fuel_indirect_pc_beneficiaries__yd_6</t>
  </si>
  <si>
    <t>2_subsidy_fuel_indirect_pc_benefits__yd_6</t>
  </si>
  <si>
    <t>2_subsidy_fuel_indirect_pc_coverage__yd_6</t>
  </si>
  <si>
    <t>2_subsidy_fuel_indirect_pc_mean__yd_6</t>
  </si>
  <si>
    <t>2_all_tax_pc_beneficiaries__yd_6</t>
  </si>
  <si>
    <t>2_all_tax_pc_benefits__yd_6</t>
  </si>
  <si>
    <t>2_all_tax_pc_coverage__yd_6</t>
  </si>
  <si>
    <t>2_all_tax_pc_mean__yd_6</t>
  </si>
  <si>
    <t>2_all_subs_noST_pc_beneficiaries__yd_6</t>
  </si>
  <si>
    <t>2_all_subs_noST_pc_benefits__yd_6</t>
  </si>
  <si>
    <t>2_all_subs_noST_pc_coverage__yd_6</t>
  </si>
  <si>
    <t>2_all_subs_noST_pc_mean__yd_6</t>
  </si>
  <si>
    <t>2_all_subs_pc_beneficiaries__yd_6</t>
  </si>
  <si>
    <t>2_all_subs_pc_benefits__yd_6</t>
  </si>
  <si>
    <t>2_all_subs_pc_coverage__yd_6</t>
  </si>
  <si>
    <t>2_all_subs_pc_mean__yd_6</t>
  </si>
  <si>
    <t>2_all_elec_noST_pc_beneficiaries__yd_6</t>
  </si>
  <si>
    <t>2_all_elec_noST_pc_benefits__yd_6</t>
  </si>
  <si>
    <t>2_all_elec_noST_pc_coverage__yd_6</t>
  </si>
  <si>
    <t>2_all_elec_noST_pc_mean__yd_6</t>
  </si>
  <si>
    <t>2_all_elec_pc_beneficiaries__yd_6</t>
  </si>
  <si>
    <t>2_all_elec_pc_benefits__yd_6</t>
  </si>
  <si>
    <t>2_all_elec_pc_coverage__yd_6</t>
  </si>
  <si>
    <t>2_all_elec_pc_mean__yd_6</t>
  </si>
  <si>
    <t>2_all_fuel_pc_beneficiaries__yd_6</t>
  </si>
  <si>
    <t>2_all_fuel_pc_benefits__yd_6</t>
  </si>
  <si>
    <t>2_all_fuel_pc_coverage__yd_6</t>
  </si>
  <si>
    <t>2_all_fuel_pc_mean__yd_6</t>
  </si>
  <si>
    <t>2_subsidy_fuel_pc_beneficiaries__yd_6</t>
  </si>
  <si>
    <t>2_subsidy_fuel_pc_benefits__yd_6</t>
  </si>
  <si>
    <t>2_subsidy_fuel_pc_coverage__yd_6</t>
  </si>
  <si>
    <t>2_subsidy_fuel_pc_mean__yd_6</t>
  </si>
  <si>
    <t>2_subsidy_elec_direct_pc_beneficiaries__yd_6</t>
  </si>
  <si>
    <t>2_subsidy_elec_direct_pc_benefits__yd_6</t>
  </si>
  <si>
    <t>2_subsidy_elec_direct_pc_coverage__yd_6</t>
  </si>
  <si>
    <t>2_subsidy_elec_direct_pc_mean__yd_6</t>
  </si>
  <si>
    <t>2_subsidy_elec_indirect_pc_beneficiaries__yd_6</t>
  </si>
  <si>
    <t>2_subsidy_elec_indirect_pc_benefits__yd_6</t>
  </si>
  <si>
    <t>2_subsidy_elec_indirect_pc_coverage__yd_6</t>
  </si>
  <si>
    <t>2_subsidy_elec_indirect_pc_mean__yd_6</t>
  </si>
  <si>
    <t>2_subsidy_elec_pc_beneficiaries__yd_6</t>
  </si>
  <si>
    <t>2_subsidy_elec_pc_benefits__yd_6</t>
  </si>
  <si>
    <t>2_subsidy_elec_pc_coverage__yd_6</t>
  </si>
  <si>
    <t>2_subsidy_elec_pc_mean__yd_6</t>
  </si>
  <si>
    <t>2_vat_elec_pc_beneficiaries__yd_6</t>
  </si>
  <si>
    <t>2_vat_elec_pc_benefits__yd_6</t>
  </si>
  <si>
    <t>2_vat_elec_pc_coverage__yd_6</t>
  </si>
  <si>
    <t>2_vat_elec_pc_mean__yd_6</t>
  </si>
  <si>
    <t>2_vat_fuel_pc_beneficiaries__yd_6</t>
  </si>
  <si>
    <t>2_vat_fuel_pc_benefits__yd_6</t>
  </si>
  <si>
    <t>2_vat_fuel_pc_coverage__yd_6</t>
  </si>
  <si>
    <t>2_vat_fuel_pc_mean__yd_6</t>
  </si>
  <si>
    <t>2_am_new_pnbsf_pc_beneficiaries__yd_6</t>
  </si>
  <si>
    <t>2_am_new_pnbsf_pc_benefits__yd_6</t>
  </si>
  <si>
    <t>2_am_new_pnbsf_pc_coverage__yd_6</t>
  </si>
  <si>
    <t>2_am_new_pnbsf_pc_mean__yd_6</t>
  </si>
  <si>
    <t>2_subsidy_fuel_direct_pc_beneficiaries__yd_7</t>
  </si>
  <si>
    <t>2_subsidy_fuel_direct_pc_benefits__yd_7</t>
  </si>
  <si>
    <t>2_subsidy_fuel_direct_pc_coverage__yd_7</t>
  </si>
  <si>
    <t>2_subsidy_fuel_direct_pc_mean__yd_7</t>
  </si>
  <si>
    <t>2_am_delayed_pnbsf_pc_beneficiaries__yd_7</t>
  </si>
  <si>
    <t>2_am_delayed_pnbsf_pc_benefits__yd_7</t>
  </si>
  <si>
    <t>2_am_delayed_pnbsf_pc_coverage__yd_7</t>
  </si>
  <si>
    <t>2_am_delayed_pnbsf_pc_mean__yd_7</t>
  </si>
  <si>
    <t>2_social_tranche_pc_beneficiaries__yd_7</t>
  </si>
  <si>
    <t>2_social_tranche_pc_benefits__yd_7</t>
  </si>
  <si>
    <t>2_social_tranche_pc_coverage__yd_7</t>
  </si>
  <si>
    <t>2_social_tranche_pc_mean__yd_7</t>
  </si>
  <si>
    <t>2_subs_public_transport_pc_beneficiaries__yd_7</t>
  </si>
  <si>
    <t>2_subs_public_transport_pc_benefits__yd_7</t>
  </si>
  <si>
    <t>2_subs_public_transport_pc_coverage__yd_7</t>
  </si>
  <si>
    <t>2_subs_public_transport_pc_mean__yd_7</t>
  </si>
  <si>
    <t>2_am_pnbsf_transferinc_pc_beneficiaries__yd_7</t>
  </si>
  <si>
    <t>2_am_pnbsf_transferinc_pc_benefits__yd_7</t>
  </si>
  <si>
    <t>2_am_pnbsf_transferinc_pc_coverage__yd_7</t>
  </si>
  <si>
    <t>2_am_pnbsf_transferinc_pc_mean__yd_7</t>
  </si>
  <si>
    <t>2_am_pnbsf_newbenefs_pc_beneficiaries__yd_7</t>
  </si>
  <si>
    <t>2_am_pnbsf_newbenefs_pc_benefits__yd_7</t>
  </si>
  <si>
    <t>2_am_pnbsf_newbenefs_pc_coverage__yd_7</t>
  </si>
  <si>
    <t>2_am_pnbsf_newbenefs_pc_mean__yd_7</t>
  </si>
  <si>
    <t>2_all_miti_pc_beneficiaries__yd_7</t>
  </si>
  <si>
    <t>2_all_miti_pc_benefits__yd_7</t>
  </si>
  <si>
    <t>2_all_miti_pc_coverage__yd_7</t>
  </si>
  <si>
    <t>2_all_miti_pc_mean__yd_7</t>
  </si>
  <si>
    <t>2_all_miti_noST_pc_beneficiaries__yd_7</t>
  </si>
  <si>
    <t>2_all_miti_noST_pc_benefits__yd_7</t>
  </si>
  <si>
    <t>2_all_miti_noST_pc_coverage__yd_7</t>
  </si>
  <si>
    <t>2_all_miti_noST_pc_mean__yd_7</t>
  </si>
  <si>
    <t>2_all_policies_miti_pc_beneficiaries__yd_7</t>
  </si>
  <si>
    <t>2_all_policies_miti_pc_benefits__yd_7</t>
  </si>
  <si>
    <t>2_all_policies_miti_pc_coverage__yd_7</t>
  </si>
  <si>
    <t>2_all_policies_miti_pc_mean__yd_7</t>
  </si>
  <si>
    <t>2_all_policies_noST_pc_beneficiaries__yd_7</t>
  </si>
  <si>
    <t>2_all_policies_noST_pc_benefits__yd_7</t>
  </si>
  <si>
    <t>2_all_policies_noST_pc_coverage__yd_7</t>
  </si>
  <si>
    <t>2_all_policies_noST_pc_mean__yd_7</t>
  </si>
  <si>
    <t>2_all_policies_pc_beneficiaries__yd_7</t>
  </si>
  <si>
    <t>2_all_policies_pc_benefits__yd_7</t>
  </si>
  <si>
    <t>2_all_policies_pc_coverage__yd_7</t>
  </si>
  <si>
    <t>2_all_policies_pc_mean__yd_7</t>
  </si>
  <si>
    <t>2_subsidy_fuel_indirect_pc_beneficiaries__yd_7</t>
  </si>
  <si>
    <t>2_subsidy_fuel_indirect_pc_benefits__yd_7</t>
  </si>
  <si>
    <t>2_subsidy_fuel_indirect_pc_coverage__yd_7</t>
  </si>
  <si>
    <t>2_subsidy_fuel_indirect_pc_mean__yd_7</t>
  </si>
  <si>
    <t>2_all_tax_pc_beneficiaries__yd_7</t>
  </si>
  <si>
    <t>2_all_tax_pc_benefits__yd_7</t>
  </si>
  <si>
    <t>2_all_tax_pc_coverage__yd_7</t>
  </si>
  <si>
    <t>2_all_tax_pc_mean__yd_7</t>
  </si>
  <si>
    <t>2_all_subs_noST_pc_beneficiaries__yd_7</t>
  </si>
  <si>
    <t>2_all_subs_noST_pc_benefits__yd_7</t>
  </si>
  <si>
    <t>2_all_subs_noST_pc_coverage__yd_7</t>
  </si>
  <si>
    <t>2_all_subs_noST_pc_mean__yd_7</t>
  </si>
  <si>
    <t>2_all_subs_pc_beneficiaries__yd_7</t>
  </si>
  <si>
    <t>2_all_subs_pc_benefits__yd_7</t>
  </si>
  <si>
    <t>2_all_subs_pc_coverage__yd_7</t>
  </si>
  <si>
    <t>2_all_subs_pc_mean__yd_7</t>
  </si>
  <si>
    <t>2_all_elec_noST_pc_beneficiaries__yd_7</t>
  </si>
  <si>
    <t>2_all_elec_noST_pc_benefits__yd_7</t>
  </si>
  <si>
    <t>2_all_elec_noST_pc_coverage__yd_7</t>
  </si>
  <si>
    <t>2_all_elec_noST_pc_mean__yd_7</t>
  </si>
  <si>
    <t>2_all_elec_pc_beneficiaries__yd_7</t>
  </si>
  <si>
    <t>2_all_elec_pc_benefits__yd_7</t>
  </si>
  <si>
    <t>2_all_elec_pc_coverage__yd_7</t>
  </si>
  <si>
    <t>2_all_elec_pc_mean__yd_7</t>
  </si>
  <si>
    <t>2_all_fuel_pc_beneficiaries__yd_7</t>
  </si>
  <si>
    <t>2_all_fuel_pc_benefits__yd_7</t>
  </si>
  <si>
    <t>2_all_fuel_pc_coverage__yd_7</t>
  </si>
  <si>
    <t>2_all_fuel_pc_mean__yd_7</t>
  </si>
  <si>
    <t>2_subsidy_fuel_pc_beneficiaries__yd_7</t>
  </si>
  <si>
    <t>2_subsidy_fuel_pc_benefits__yd_7</t>
  </si>
  <si>
    <t>2_subsidy_fuel_pc_coverage__yd_7</t>
  </si>
  <si>
    <t>2_subsidy_fuel_pc_mean__yd_7</t>
  </si>
  <si>
    <t>2_subsidy_elec_direct_pc_beneficiaries__yd_7</t>
  </si>
  <si>
    <t>2_subsidy_elec_direct_pc_benefits__yd_7</t>
  </si>
  <si>
    <t>2_subsidy_elec_direct_pc_coverage__yd_7</t>
  </si>
  <si>
    <t>2_subsidy_elec_direct_pc_mean__yd_7</t>
  </si>
  <si>
    <t>2_subsidy_elec_indirect_pc_beneficiaries__yd_7</t>
  </si>
  <si>
    <t>2_subsidy_elec_indirect_pc_benefits__yd_7</t>
  </si>
  <si>
    <t>2_subsidy_elec_indirect_pc_coverage__yd_7</t>
  </si>
  <si>
    <t>2_subsidy_elec_indirect_pc_mean__yd_7</t>
  </si>
  <si>
    <t>2_subsidy_elec_pc_beneficiaries__yd_7</t>
  </si>
  <si>
    <t>2_subsidy_elec_pc_benefits__yd_7</t>
  </si>
  <si>
    <t>2_subsidy_elec_pc_coverage__yd_7</t>
  </si>
  <si>
    <t>2_subsidy_elec_pc_mean__yd_7</t>
  </si>
  <si>
    <t>2_vat_elec_pc_beneficiaries__yd_7</t>
  </si>
  <si>
    <t>2_vat_elec_pc_benefits__yd_7</t>
  </si>
  <si>
    <t>2_vat_elec_pc_coverage__yd_7</t>
  </si>
  <si>
    <t>2_vat_elec_pc_mean__yd_7</t>
  </si>
  <si>
    <t>2_vat_fuel_pc_beneficiaries__yd_7</t>
  </si>
  <si>
    <t>2_vat_fuel_pc_benefits__yd_7</t>
  </si>
  <si>
    <t>2_vat_fuel_pc_coverage__yd_7</t>
  </si>
  <si>
    <t>2_vat_fuel_pc_mean__yd_7</t>
  </si>
  <si>
    <t>2_am_new_pnbsf_pc_beneficiaries__yd_7</t>
  </si>
  <si>
    <t>2_am_new_pnbsf_pc_benefits__yd_7</t>
  </si>
  <si>
    <t>2_am_new_pnbsf_pc_coverage__yd_7</t>
  </si>
  <si>
    <t>2_am_new_pnbsf_pc_mean__yd_7</t>
  </si>
  <si>
    <t>2_subsidy_fuel_direct_pc_beneficiaries__yd_8</t>
  </si>
  <si>
    <t>2_subsidy_fuel_direct_pc_benefits__yd_8</t>
  </si>
  <si>
    <t>2_subsidy_fuel_direct_pc_coverage__yd_8</t>
  </si>
  <si>
    <t>2_subsidy_fuel_direct_pc_mean__yd_8</t>
  </si>
  <si>
    <t>2_am_delayed_pnbsf_pc_beneficiaries__yd_8</t>
  </si>
  <si>
    <t>2_am_delayed_pnbsf_pc_benefits__yd_8</t>
  </si>
  <si>
    <t>2_am_delayed_pnbsf_pc_coverage__yd_8</t>
  </si>
  <si>
    <t>2_am_delayed_pnbsf_pc_mean__yd_8</t>
  </si>
  <si>
    <t>2_social_tranche_pc_beneficiaries__yd_8</t>
  </si>
  <si>
    <t>2_social_tranche_pc_benefits__yd_8</t>
  </si>
  <si>
    <t>2_social_tranche_pc_coverage__yd_8</t>
  </si>
  <si>
    <t>2_social_tranche_pc_mean__yd_8</t>
  </si>
  <si>
    <t>2_subs_public_transport_pc_beneficiaries__yd_8</t>
  </si>
  <si>
    <t>2_subs_public_transport_pc_benefits__yd_8</t>
  </si>
  <si>
    <t>2_subs_public_transport_pc_coverage__yd_8</t>
  </si>
  <si>
    <t>2_subs_public_transport_pc_mean__yd_8</t>
  </si>
  <si>
    <t>2_am_pnbsf_transferinc_pc_beneficiaries__yd_8</t>
  </si>
  <si>
    <t>2_am_pnbsf_transferinc_pc_benefits__yd_8</t>
  </si>
  <si>
    <t>2_am_pnbsf_transferinc_pc_coverage__yd_8</t>
  </si>
  <si>
    <t>2_am_pnbsf_transferinc_pc_mean__yd_8</t>
  </si>
  <si>
    <t>2_am_pnbsf_newbenefs_pc_beneficiaries__yd_8</t>
  </si>
  <si>
    <t>2_am_pnbsf_newbenefs_pc_benefits__yd_8</t>
  </si>
  <si>
    <t>2_am_pnbsf_newbenefs_pc_coverage__yd_8</t>
  </si>
  <si>
    <t>2_am_pnbsf_newbenefs_pc_mean__yd_8</t>
  </si>
  <si>
    <t>2_all_miti_pc_beneficiaries__yd_8</t>
  </si>
  <si>
    <t>2_all_miti_pc_benefits__yd_8</t>
  </si>
  <si>
    <t>2_all_miti_pc_coverage__yd_8</t>
  </si>
  <si>
    <t>2_all_miti_pc_mean__yd_8</t>
  </si>
  <si>
    <t>2_all_miti_noST_pc_beneficiaries__yd_8</t>
  </si>
  <si>
    <t>2_all_miti_noST_pc_benefits__yd_8</t>
  </si>
  <si>
    <t>2_all_miti_noST_pc_coverage__yd_8</t>
  </si>
  <si>
    <t>2_all_miti_noST_pc_mean__yd_8</t>
  </si>
  <si>
    <t>2_all_policies_miti_pc_beneficiaries__yd_8</t>
  </si>
  <si>
    <t>2_all_policies_miti_pc_benefits__yd_8</t>
  </si>
  <si>
    <t>2_all_policies_miti_pc_coverage__yd_8</t>
  </si>
  <si>
    <t>2_all_policies_miti_pc_mean__yd_8</t>
  </si>
  <si>
    <t>2_all_policies_noST_pc_beneficiaries__yd_8</t>
  </si>
  <si>
    <t>2_all_policies_noST_pc_benefits__yd_8</t>
  </si>
  <si>
    <t>2_all_policies_noST_pc_coverage__yd_8</t>
  </si>
  <si>
    <t>2_all_policies_noST_pc_mean__yd_8</t>
  </si>
  <si>
    <t>2_all_policies_pc_beneficiaries__yd_8</t>
  </si>
  <si>
    <t>2_all_policies_pc_benefits__yd_8</t>
  </si>
  <si>
    <t>2_all_policies_pc_coverage__yd_8</t>
  </si>
  <si>
    <t>2_all_policies_pc_mean__yd_8</t>
  </si>
  <si>
    <t>2_subsidy_fuel_indirect_pc_beneficiaries__yd_8</t>
  </si>
  <si>
    <t>2_subsidy_fuel_indirect_pc_benefits__yd_8</t>
  </si>
  <si>
    <t>2_subsidy_fuel_indirect_pc_coverage__yd_8</t>
  </si>
  <si>
    <t>2_subsidy_fuel_indirect_pc_mean__yd_8</t>
  </si>
  <si>
    <t>2_all_tax_pc_beneficiaries__yd_8</t>
  </si>
  <si>
    <t>2_all_tax_pc_benefits__yd_8</t>
  </si>
  <si>
    <t>2_all_tax_pc_coverage__yd_8</t>
  </si>
  <si>
    <t>2_all_tax_pc_mean__yd_8</t>
  </si>
  <si>
    <t>2_all_subs_noST_pc_beneficiaries__yd_8</t>
  </si>
  <si>
    <t>2_all_subs_noST_pc_benefits__yd_8</t>
  </si>
  <si>
    <t>2_all_subs_noST_pc_coverage__yd_8</t>
  </si>
  <si>
    <t>2_all_subs_noST_pc_mean__yd_8</t>
  </si>
  <si>
    <t>2_all_subs_pc_beneficiaries__yd_8</t>
  </si>
  <si>
    <t>2_all_subs_pc_benefits__yd_8</t>
  </si>
  <si>
    <t>2_all_subs_pc_coverage__yd_8</t>
  </si>
  <si>
    <t>2_all_subs_pc_mean__yd_8</t>
  </si>
  <si>
    <t>2_all_elec_noST_pc_beneficiaries__yd_8</t>
  </si>
  <si>
    <t>2_all_elec_noST_pc_benefits__yd_8</t>
  </si>
  <si>
    <t>2_all_elec_noST_pc_coverage__yd_8</t>
  </si>
  <si>
    <t>2_all_elec_noST_pc_mean__yd_8</t>
  </si>
  <si>
    <t>2_all_elec_pc_beneficiaries__yd_8</t>
  </si>
  <si>
    <t>2_all_elec_pc_benefits__yd_8</t>
  </si>
  <si>
    <t>2_all_elec_pc_coverage__yd_8</t>
  </si>
  <si>
    <t>2_all_elec_pc_mean__yd_8</t>
  </si>
  <si>
    <t>2_all_fuel_pc_beneficiaries__yd_8</t>
  </si>
  <si>
    <t>2_all_fuel_pc_benefits__yd_8</t>
  </si>
  <si>
    <t>2_all_fuel_pc_coverage__yd_8</t>
  </si>
  <si>
    <t>2_all_fuel_pc_mean__yd_8</t>
  </si>
  <si>
    <t>2_subsidy_fuel_pc_beneficiaries__yd_8</t>
  </si>
  <si>
    <t>2_subsidy_fuel_pc_benefits__yd_8</t>
  </si>
  <si>
    <t>2_subsidy_fuel_pc_coverage__yd_8</t>
  </si>
  <si>
    <t>2_subsidy_fuel_pc_mean__yd_8</t>
  </si>
  <si>
    <t>2_subsidy_elec_direct_pc_beneficiaries__yd_8</t>
  </si>
  <si>
    <t>2_subsidy_elec_direct_pc_benefits__yd_8</t>
  </si>
  <si>
    <t>2_subsidy_elec_direct_pc_coverage__yd_8</t>
  </si>
  <si>
    <t>2_subsidy_elec_direct_pc_mean__yd_8</t>
  </si>
  <si>
    <t>2_subsidy_elec_indirect_pc_beneficiaries__yd_8</t>
  </si>
  <si>
    <t>2_subsidy_elec_indirect_pc_benefits__yd_8</t>
  </si>
  <si>
    <t>2_subsidy_elec_indirect_pc_coverage__yd_8</t>
  </si>
  <si>
    <t>2_subsidy_elec_indirect_pc_mean__yd_8</t>
  </si>
  <si>
    <t>2_subsidy_elec_pc_beneficiaries__yd_8</t>
  </si>
  <si>
    <t>2_subsidy_elec_pc_benefits__yd_8</t>
  </si>
  <si>
    <t>2_subsidy_elec_pc_coverage__yd_8</t>
  </si>
  <si>
    <t>2_subsidy_elec_pc_mean__yd_8</t>
  </si>
  <si>
    <t>2_vat_elec_pc_beneficiaries__yd_8</t>
  </si>
  <si>
    <t>2_vat_elec_pc_benefits__yd_8</t>
  </si>
  <si>
    <t>2_vat_elec_pc_coverage__yd_8</t>
  </si>
  <si>
    <t>2_vat_elec_pc_mean__yd_8</t>
  </si>
  <si>
    <t>2_vat_fuel_pc_beneficiaries__yd_8</t>
  </si>
  <si>
    <t>2_vat_fuel_pc_benefits__yd_8</t>
  </si>
  <si>
    <t>2_vat_fuel_pc_coverage__yd_8</t>
  </si>
  <si>
    <t>2_vat_fuel_pc_mean__yd_8</t>
  </si>
  <si>
    <t>2_am_new_pnbsf_pc_beneficiaries__yd_8</t>
  </si>
  <si>
    <t>2_am_new_pnbsf_pc_benefits__yd_8</t>
  </si>
  <si>
    <t>2_am_new_pnbsf_pc_coverage__yd_8</t>
  </si>
  <si>
    <t>2_am_new_pnbsf_pc_mean__yd_8</t>
  </si>
  <si>
    <t>2_subsidy_fuel_direct_pc_beneficiaries__yd_9</t>
  </si>
  <si>
    <t>2_subsidy_fuel_direct_pc_benefits__yd_9</t>
  </si>
  <si>
    <t>2_subsidy_fuel_direct_pc_coverage__yd_9</t>
  </si>
  <si>
    <t>2_subsidy_fuel_direct_pc_mean__yd_9</t>
  </si>
  <si>
    <t>2_am_delayed_pnbsf_pc_beneficiaries__yd_9</t>
  </si>
  <si>
    <t>2_am_delayed_pnbsf_pc_benefits__yd_9</t>
  </si>
  <si>
    <t>2_am_delayed_pnbsf_pc_coverage__yd_9</t>
  </si>
  <si>
    <t>2_am_delayed_pnbsf_pc_mean__yd_9</t>
  </si>
  <si>
    <t>2_social_tranche_pc_beneficiaries__yd_9</t>
  </si>
  <si>
    <t>2_social_tranche_pc_benefits__yd_9</t>
  </si>
  <si>
    <t>2_social_tranche_pc_coverage__yd_9</t>
  </si>
  <si>
    <t>2_social_tranche_pc_mean__yd_9</t>
  </si>
  <si>
    <t>2_subs_public_transport_pc_beneficiaries__yd_9</t>
  </si>
  <si>
    <t>2_subs_public_transport_pc_benefits__yd_9</t>
  </si>
  <si>
    <t>2_subs_public_transport_pc_coverage__yd_9</t>
  </si>
  <si>
    <t>2_subs_public_transport_pc_mean__yd_9</t>
  </si>
  <si>
    <t>2_am_pnbsf_transferinc_pc_beneficiaries__yd_9</t>
  </si>
  <si>
    <t>2_am_pnbsf_transferinc_pc_benefits__yd_9</t>
  </si>
  <si>
    <t>2_am_pnbsf_transferinc_pc_coverage__yd_9</t>
  </si>
  <si>
    <t>2_am_pnbsf_transferinc_pc_mean__yd_9</t>
  </si>
  <si>
    <t>2_am_pnbsf_newbenefs_pc_beneficiaries__yd_9</t>
  </si>
  <si>
    <t>2_am_pnbsf_newbenefs_pc_benefits__yd_9</t>
  </si>
  <si>
    <t>2_am_pnbsf_newbenefs_pc_coverage__yd_9</t>
  </si>
  <si>
    <t>2_am_pnbsf_newbenefs_pc_mean__yd_9</t>
  </si>
  <si>
    <t>2_all_miti_pc_beneficiaries__yd_9</t>
  </si>
  <si>
    <t>2_all_miti_pc_benefits__yd_9</t>
  </si>
  <si>
    <t>2_all_miti_pc_coverage__yd_9</t>
  </si>
  <si>
    <t>2_all_miti_pc_mean__yd_9</t>
  </si>
  <si>
    <t>2_all_miti_noST_pc_beneficiaries__yd_9</t>
  </si>
  <si>
    <t>2_all_miti_noST_pc_benefits__yd_9</t>
  </si>
  <si>
    <t>2_all_miti_noST_pc_coverage__yd_9</t>
  </si>
  <si>
    <t>2_all_miti_noST_pc_mean__yd_9</t>
  </si>
  <si>
    <t>2_all_policies_miti_pc_beneficiaries__yd_9</t>
  </si>
  <si>
    <t>2_all_policies_miti_pc_benefits__yd_9</t>
  </si>
  <si>
    <t>2_all_policies_miti_pc_coverage__yd_9</t>
  </si>
  <si>
    <t>2_all_policies_miti_pc_mean__yd_9</t>
  </si>
  <si>
    <t>2_all_policies_noST_pc_beneficiaries__yd_9</t>
  </si>
  <si>
    <t>2_all_policies_noST_pc_benefits__yd_9</t>
  </si>
  <si>
    <t>2_all_policies_noST_pc_coverage__yd_9</t>
  </si>
  <si>
    <t>2_all_policies_noST_pc_mean__yd_9</t>
  </si>
  <si>
    <t>2_all_policies_pc_beneficiaries__yd_9</t>
  </si>
  <si>
    <t>2_all_policies_pc_benefits__yd_9</t>
  </si>
  <si>
    <t>2_all_policies_pc_coverage__yd_9</t>
  </si>
  <si>
    <t>2_all_policies_pc_mean__yd_9</t>
  </si>
  <si>
    <t>2_subsidy_fuel_indirect_pc_beneficiaries__yd_9</t>
  </si>
  <si>
    <t>2_subsidy_fuel_indirect_pc_benefits__yd_9</t>
  </si>
  <si>
    <t>2_subsidy_fuel_indirect_pc_coverage__yd_9</t>
  </si>
  <si>
    <t>2_subsidy_fuel_indirect_pc_mean__yd_9</t>
  </si>
  <si>
    <t>2_all_tax_pc_beneficiaries__yd_9</t>
  </si>
  <si>
    <t>2_all_tax_pc_benefits__yd_9</t>
  </si>
  <si>
    <t>2_all_tax_pc_coverage__yd_9</t>
  </si>
  <si>
    <t>2_all_tax_pc_mean__yd_9</t>
  </si>
  <si>
    <t>2_all_subs_noST_pc_beneficiaries__yd_9</t>
  </si>
  <si>
    <t>2_all_subs_noST_pc_benefits__yd_9</t>
  </si>
  <si>
    <t>2_all_subs_noST_pc_coverage__yd_9</t>
  </si>
  <si>
    <t>2_all_subs_noST_pc_mean__yd_9</t>
  </si>
  <si>
    <t>2_all_subs_pc_beneficiaries__yd_9</t>
  </si>
  <si>
    <t>2_all_subs_pc_benefits__yd_9</t>
  </si>
  <si>
    <t>2_all_subs_pc_coverage__yd_9</t>
  </si>
  <si>
    <t>2_all_subs_pc_mean__yd_9</t>
  </si>
  <si>
    <t>2_all_elec_noST_pc_beneficiaries__yd_9</t>
  </si>
  <si>
    <t>2_all_elec_noST_pc_benefits__yd_9</t>
  </si>
  <si>
    <t>2_all_elec_noST_pc_coverage__yd_9</t>
  </si>
  <si>
    <t>2_all_elec_noST_pc_mean__yd_9</t>
  </si>
  <si>
    <t>2_all_elec_pc_beneficiaries__yd_9</t>
  </si>
  <si>
    <t>2_all_elec_pc_benefits__yd_9</t>
  </si>
  <si>
    <t>2_all_elec_pc_coverage__yd_9</t>
  </si>
  <si>
    <t>2_all_elec_pc_mean__yd_9</t>
  </si>
  <si>
    <t>2_all_fuel_pc_beneficiaries__yd_9</t>
  </si>
  <si>
    <t>2_all_fuel_pc_benefits__yd_9</t>
  </si>
  <si>
    <t>2_all_fuel_pc_coverage__yd_9</t>
  </si>
  <si>
    <t>2_all_fuel_pc_mean__yd_9</t>
  </si>
  <si>
    <t>2_subsidy_fuel_pc_beneficiaries__yd_9</t>
  </si>
  <si>
    <t>2_subsidy_fuel_pc_benefits__yd_9</t>
  </si>
  <si>
    <t>2_subsidy_fuel_pc_coverage__yd_9</t>
  </si>
  <si>
    <t>2_subsidy_fuel_pc_mean__yd_9</t>
  </si>
  <si>
    <t>2_subsidy_elec_direct_pc_beneficiaries__yd_9</t>
  </si>
  <si>
    <t>2_subsidy_elec_direct_pc_benefits__yd_9</t>
  </si>
  <si>
    <t>2_subsidy_elec_direct_pc_coverage__yd_9</t>
  </si>
  <si>
    <t>2_subsidy_elec_direct_pc_mean__yd_9</t>
  </si>
  <si>
    <t>2_subsidy_elec_indirect_pc_beneficiaries__yd_9</t>
  </si>
  <si>
    <t>2_subsidy_elec_indirect_pc_benefits__yd_9</t>
  </si>
  <si>
    <t>2_subsidy_elec_indirect_pc_coverage__yd_9</t>
  </si>
  <si>
    <t>2_subsidy_elec_indirect_pc_mean__yd_9</t>
  </si>
  <si>
    <t>2_subsidy_elec_pc_beneficiaries__yd_9</t>
  </si>
  <si>
    <t>2_subsidy_elec_pc_benefits__yd_9</t>
  </si>
  <si>
    <t>2_subsidy_elec_pc_coverage__yd_9</t>
  </si>
  <si>
    <t>2_subsidy_elec_pc_mean__yd_9</t>
  </si>
  <si>
    <t>2_vat_elec_pc_beneficiaries__yd_9</t>
  </si>
  <si>
    <t>2_vat_elec_pc_benefits__yd_9</t>
  </si>
  <si>
    <t>2_vat_elec_pc_coverage__yd_9</t>
  </si>
  <si>
    <t>2_vat_elec_pc_mean__yd_9</t>
  </si>
  <si>
    <t>2_vat_fuel_pc_beneficiaries__yd_9</t>
  </si>
  <si>
    <t>2_vat_fuel_pc_benefits__yd_9</t>
  </si>
  <si>
    <t>2_vat_fuel_pc_coverage__yd_9</t>
  </si>
  <si>
    <t>2_vat_fuel_pc_mean__yd_9</t>
  </si>
  <si>
    <t>2_am_new_pnbsf_pc_beneficiaries__yd_9</t>
  </si>
  <si>
    <t>2_am_new_pnbsf_pc_benefits__yd_9</t>
  </si>
  <si>
    <t>2_am_new_pnbsf_pc_coverage__yd_9</t>
  </si>
  <si>
    <t>2_am_new_pnbsf_pc_mean__yd_9</t>
  </si>
  <si>
    <t>2_subsidy_fuel_direct_pc_beneficiaries__yd_10</t>
  </si>
  <si>
    <t>2_subsidy_fuel_direct_pc_benefits__yd_10</t>
  </si>
  <si>
    <t>2_subsidy_fuel_direct_pc_coverage__yd_10</t>
  </si>
  <si>
    <t>2_subsidy_fuel_direct_pc_mean__yd_10</t>
  </si>
  <si>
    <t>2_am_delayed_pnbsf_pc_beneficiaries__yd_10</t>
  </si>
  <si>
    <t>2_am_delayed_pnbsf_pc_benefits__yd_10</t>
  </si>
  <si>
    <t>2_am_delayed_pnbsf_pc_coverage__yd_10</t>
  </si>
  <si>
    <t>2_am_delayed_pnbsf_pc_mean__yd_10</t>
  </si>
  <si>
    <t>2_social_tranche_pc_beneficiaries__yd_10</t>
  </si>
  <si>
    <t>2_social_tranche_pc_benefits__yd_10</t>
  </si>
  <si>
    <t>2_social_tranche_pc_coverage__yd_10</t>
  </si>
  <si>
    <t>2_social_tranche_pc_mean__yd_10</t>
  </si>
  <si>
    <t>2_subs_public_transport_pc_beneficiaries__yd_10</t>
  </si>
  <si>
    <t>2_subs_public_transport_pc_benefits__yd_10</t>
  </si>
  <si>
    <t>2_subs_public_transport_pc_coverage__yd_10</t>
  </si>
  <si>
    <t>2_subs_public_transport_pc_mean__yd_10</t>
  </si>
  <si>
    <t>2_am_pnbsf_transferinc_pc_beneficiaries__yd_10</t>
  </si>
  <si>
    <t>2_am_pnbsf_transferinc_pc_benefits__yd_10</t>
  </si>
  <si>
    <t>2_am_pnbsf_transferinc_pc_coverage__yd_10</t>
  </si>
  <si>
    <t>2_am_pnbsf_transferinc_pc_mean__yd_10</t>
  </si>
  <si>
    <t>2_am_pnbsf_newbenefs_pc_beneficiaries__yd_10</t>
  </si>
  <si>
    <t>2_am_pnbsf_newbenefs_pc_benefits__yd_10</t>
  </si>
  <si>
    <t>2_am_pnbsf_newbenefs_pc_coverage__yd_10</t>
  </si>
  <si>
    <t>2_am_pnbsf_newbenefs_pc_mean__yd_10</t>
  </si>
  <si>
    <t>2_all_miti_pc_beneficiaries__yd_10</t>
  </si>
  <si>
    <t>2_all_miti_pc_benefits__yd_10</t>
  </si>
  <si>
    <t>2_all_miti_pc_coverage__yd_10</t>
  </si>
  <si>
    <t>2_all_miti_pc_mean__yd_10</t>
  </si>
  <si>
    <t>2_all_miti_noST_pc_beneficiaries__yd_10</t>
  </si>
  <si>
    <t>2_all_miti_noST_pc_benefits__yd_10</t>
  </si>
  <si>
    <t>2_all_miti_noST_pc_coverage__yd_10</t>
  </si>
  <si>
    <t>2_all_miti_noST_pc_mean__yd_10</t>
  </si>
  <si>
    <t>2_all_policies_miti_pc_beneficiaries__yd_10</t>
  </si>
  <si>
    <t>2_all_policies_miti_pc_benefits__yd_10</t>
  </si>
  <si>
    <t>2_all_policies_miti_pc_coverage__yd_10</t>
  </si>
  <si>
    <t>2_all_policies_miti_pc_mean__yd_10</t>
  </si>
  <si>
    <t>2_all_policies_noST_pc_beneficiaries__yd_10</t>
  </si>
  <si>
    <t>2_all_policies_noST_pc_benefits__yd_10</t>
  </si>
  <si>
    <t>2_all_policies_noST_pc_coverage__yd_10</t>
  </si>
  <si>
    <t>2_all_policies_noST_pc_mean__yd_10</t>
  </si>
  <si>
    <t>2_all_policies_pc_beneficiaries__yd_10</t>
  </si>
  <si>
    <t>2_all_policies_pc_benefits__yd_10</t>
  </si>
  <si>
    <t>2_all_policies_pc_coverage__yd_10</t>
  </si>
  <si>
    <t>2_all_policies_pc_mean__yd_10</t>
  </si>
  <si>
    <t>2_subsidy_fuel_indirect_pc_beneficiaries__yd_10</t>
  </si>
  <si>
    <t>2_subsidy_fuel_indirect_pc_benefits__yd_10</t>
  </si>
  <si>
    <t>2_subsidy_fuel_indirect_pc_coverage__yd_10</t>
  </si>
  <si>
    <t>2_subsidy_fuel_indirect_pc_mean__yd_10</t>
  </si>
  <si>
    <t>2_all_tax_pc_beneficiaries__yd_10</t>
  </si>
  <si>
    <t>2_all_tax_pc_benefits__yd_10</t>
  </si>
  <si>
    <t>2_all_tax_pc_coverage__yd_10</t>
  </si>
  <si>
    <t>2_all_tax_pc_mean__yd_10</t>
  </si>
  <si>
    <t>2_all_subs_noST_pc_beneficiaries__yd_10</t>
  </si>
  <si>
    <t>2_all_subs_noST_pc_benefits__yd_10</t>
  </si>
  <si>
    <t>2_all_subs_noST_pc_coverage__yd_10</t>
  </si>
  <si>
    <t>2_all_subs_noST_pc_mean__yd_10</t>
  </si>
  <si>
    <t>2_all_subs_pc_beneficiaries__yd_10</t>
  </si>
  <si>
    <t>2_all_subs_pc_benefits__yd_10</t>
  </si>
  <si>
    <t>2_all_subs_pc_coverage__yd_10</t>
  </si>
  <si>
    <t>2_all_subs_pc_mean__yd_10</t>
  </si>
  <si>
    <t>2_all_elec_noST_pc_beneficiaries__yd_10</t>
  </si>
  <si>
    <t>2_all_elec_noST_pc_benefits__yd_10</t>
  </si>
  <si>
    <t>2_all_elec_noST_pc_coverage__yd_10</t>
  </si>
  <si>
    <t>2_all_elec_noST_pc_mean__yd_10</t>
  </si>
  <si>
    <t>2_all_elec_pc_beneficiaries__yd_10</t>
  </si>
  <si>
    <t>2_all_elec_pc_benefits__yd_10</t>
  </si>
  <si>
    <t>2_all_elec_pc_coverage__yd_10</t>
  </si>
  <si>
    <t>2_all_elec_pc_mean__yd_10</t>
  </si>
  <si>
    <t>2_all_fuel_pc_beneficiaries__yd_10</t>
  </si>
  <si>
    <t>2_all_fuel_pc_benefits__yd_10</t>
  </si>
  <si>
    <t>2_all_fuel_pc_coverage__yd_10</t>
  </si>
  <si>
    <t>2_all_fuel_pc_mean__yd_10</t>
  </si>
  <si>
    <t>2_subsidy_fuel_pc_beneficiaries__yd_10</t>
  </si>
  <si>
    <t>2_subsidy_fuel_pc_benefits__yd_10</t>
  </si>
  <si>
    <t>2_subsidy_fuel_pc_coverage__yd_10</t>
  </si>
  <si>
    <t>2_subsidy_fuel_pc_mean__yd_10</t>
  </si>
  <si>
    <t>2_subsidy_elec_direct_pc_beneficiaries__yd_10</t>
  </si>
  <si>
    <t>2_subsidy_elec_direct_pc_benefits__yd_10</t>
  </si>
  <si>
    <t>2_subsidy_elec_direct_pc_coverage__yd_10</t>
  </si>
  <si>
    <t>2_subsidy_elec_direct_pc_mean__yd_10</t>
  </si>
  <si>
    <t>2_subsidy_elec_indirect_pc_beneficiaries__yd_10</t>
  </si>
  <si>
    <t>2_subsidy_elec_indirect_pc_benefits__yd_10</t>
  </si>
  <si>
    <t>2_subsidy_elec_indirect_pc_coverage__yd_10</t>
  </si>
  <si>
    <t>2_subsidy_elec_indirect_pc_mean__yd_10</t>
  </si>
  <si>
    <t>2_subsidy_elec_pc_beneficiaries__yd_10</t>
  </si>
  <si>
    <t>2_subsidy_elec_pc_benefits__yd_10</t>
  </si>
  <si>
    <t>2_subsidy_elec_pc_coverage__yd_10</t>
  </si>
  <si>
    <t>2_subsidy_elec_pc_mean__yd_10</t>
  </si>
  <si>
    <t>2_vat_elec_pc_beneficiaries__yd_10</t>
  </si>
  <si>
    <t>2_vat_elec_pc_benefits__yd_10</t>
  </si>
  <si>
    <t>2_vat_elec_pc_coverage__yd_10</t>
  </si>
  <si>
    <t>2_vat_elec_pc_mean__yd_10</t>
  </si>
  <si>
    <t>2_vat_fuel_pc_beneficiaries__yd_10</t>
  </si>
  <si>
    <t>2_vat_fuel_pc_benefits__yd_10</t>
  </si>
  <si>
    <t>2_vat_fuel_pc_coverage__yd_10</t>
  </si>
  <si>
    <t>2_vat_fuel_pc_mean__yd_10</t>
  </si>
  <si>
    <t>2_am_new_pnbsf_pc_beneficiaries__yd_10</t>
  </si>
  <si>
    <t>2_am_new_pnbsf_pc_benefits__yd_10</t>
  </si>
  <si>
    <t>2_am_new_pnbsf_pc_coverage__yd_10</t>
  </si>
  <si>
    <t>2_am_new_pnbsf_pc_mean__yd_10</t>
  </si>
  <si>
    <t>2_all_elec_noST_pc_netcash__yd_1</t>
  </si>
  <si>
    <t>2_all_elec_pc_netcash__yd_1</t>
  </si>
  <si>
    <t>2_all_fuel_pc_netcash__yd_1</t>
  </si>
  <si>
    <t>2_all_miti_noST_pc_netcash__yd_1</t>
  </si>
  <si>
    <t>2_all_miti_pc_netcash__yd_1</t>
  </si>
  <si>
    <t>2_all_policies_miti_pc_netcash__yd_1</t>
  </si>
  <si>
    <t>2_all_policies_noST_pc_netcash__yd_1</t>
  </si>
  <si>
    <t>2_all_policies_pc_netcash__yd_1</t>
  </si>
  <si>
    <t>2_all_subs_noST_pc_netcash__yd_1</t>
  </si>
  <si>
    <t>2_all_subs_pc_netcash__yd_1</t>
  </si>
  <si>
    <t>2_all_tax_pc_netcash__yd_1</t>
  </si>
  <si>
    <t>2_am_delayed_pnbsf_pc_netcash__yd_1</t>
  </si>
  <si>
    <t>2_am_new_pnbsf_pc_netcash__yd_1</t>
  </si>
  <si>
    <t>2_am_pnbsf_newbenefs_pc_netcash__yd_1</t>
  </si>
  <si>
    <t>2_am_pnbsf_transferinc_pc_netcash__yd_1</t>
  </si>
  <si>
    <t>2_social_tranche_pc_netcash__yd_1</t>
  </si>
  <si>
    <t>2_subs_public_transport_pc_netcash__yd_1</t>
  </si>
  <si>
    <t>2_subsidy_elec_direct_pc_netcash__yd_1</t>
  </si>
  <si>
    <t>2_subsidy_elec_indirect_pc_netcash__yd_1</t>
  </si>
  <si>
    <t>2_subsidy_elec_pc_netcash__yd_1</t>
  </si>
  <si>
    <t>2_subsidy_fuel_direct_pc_netcash__yd_1</t>
  </si>
  <si>
    <t>2_subsidy_fuel_indirect_pc_netcash__yd_1</t>
  </si>
  <si>
    <t>2_subsidy_fuel_pc_netcash__yd_1</t>
  </si>
  <si>
    <t>2_vat_elec_pc_netcash__yd_1</t>
  </si>
  <si>
    <t>2_vat_fuel_pc_netcash__yd_1</t>
  </si>
  <si>
    <t>2_all_elec_noST_pc_netcash__yd_2</t>
  </si>
  <si>
    <t>2_all_elec_pc_netcash__yd_2</t>
  </si>
  <si>
    <t>2_all_fuel_pc_netcash__yd_2</t>
  </si>
  <si>
    <t>2_all_miti_noST_pc_netcash__yd_2</t>
  </si>
  <si>
    <t>2_all_miti_pc_netcash__yd_2</t>
  </si>
  <si>
    <t>2_all_policies_miti_pc_netcash__yd_2</t>
  </si>
  <si>
    <t>2_all_policies_noST_pc_netcash__yd_2</t>
  </si>
  <si>
    <t>2_all_policies_pc_netcash__yd_2</t>
  </si>
  <si>
    <t>2_all_subs_noST_pc_netcash__yd_2</t>
  </si>
  <si>
    <t>2_all_subs_pc_netcash__yd_2</t>
  </si>
  <si>
    <t>2_all_tax_pc_netcash__yd_2</t>
  </si>
  <si>
    <t>2_am_delayed_pnbsf_pc_netcash__yd_2</t>
  </si>
  <si>
    <t>2_am_new_pnbsf_pc_netcash__yd_2</t>
  </si>
  <si>
    <t>2_am_pnbsf_newbenefs_pc_netcash__yd_2</t>
  </si>
  <si>
    <t>2_am_pnbsf_transferinc_pc_netcash__yd_2</t>
  </si>
  <si>
    <t>2_social_tranche_pc_netcash__yd_2</t>
  </si>
  <si>
    <t>2_subs_public_transport_pc_netcash__yd_2</t>
  </si>
  <si>
    <t>2_subsidy_elec_direct_pc_netcash__yd_2</t>
  </si>
  <si>
    <t>2_subsidy_elec_indirect_pc_netcash__yd_2</t>
  </si>
  <si>
    <t>2_subsidy_elec_pc_netcash__yd_2</t>
  </si>
  <si>
    <t>2_subsidy_fuel_direct_pc_netcash__yd_2</t>
  </si>
  <si>
    <t>2_subsidy_fuel_indirect_pc_netcash__yd_2</t>
  </si>
  <si>
    <t>2_subsidy_fuel_pc_netcash__yd_2</t>
  </si>
  <si>
    <t>2_vat_elec_pc_netcash__yd_2</t>
  </si>
  <si>
    <t>2_vat_fuel_pc_netcash__yd_2</t>
  </si>
  <si>
    <t>2_all_elec_noST_pc_netcash__yd_3</t>
  </si>
  <si>
    <t>2_all_elec_pc_netcash__yd_3</t>
  </si>
  <si>
    <t>2_all_fuel_pc_netcash__yd_3</t>
  </si>
  <si>
    <t>2_all_miti_noST_pc_netcash__yd_3</t>
  </si>
  <si>
    <t>2_all_miti_pc_netcash__yd_3</t>
  </si>
  <si>
    <t>2_all_policies_miti_pc_netcash__yd_3</t>
  </si>
  <si>
    <t>2_all_policies_noST_pc_netcash__yd_3</t>
  </si>
  <si>
    <t>2_all_policies_pc_netcash__yd_3</t>
  </si>
  <si>
    <t>2_all_subs_noST_pc_netcash__yd_3</t>
  </si>
  <si>
    <t>2_all_subs_pc_netcash__yd_3</t>
  </si>
  <si>
    <t>2_all_tax_pc_netcash__yd_3</t>
  </si>
  <si>
    <t>2_am_delayed_pnbsf_pc_netcash__yd_3</t>
  </si>
  <si>
    <t>2_am_new_pnbsf_pc_netcash__yd_3</t>
  </si>
  <si>
    <t>2_am_pnbsf_newbenefs_pc_netcash__yd_3</t>
  </si>
  <si>
    <t>2_am_pnbsf_transferinc_pc_netcash__yd_3</t>
  </si>
  <si>
    <t>2_social_tranche_pc_netcash__yd_3</t>
  </si>
  <si>
    <t>2_subs_public_transport_pc_netcash__yd_3</t>
  </si>
  <si>
    <t>2_subsidy_elec_direct_pc_netcash__yd_3</t>
  </si>
  <si>
    <t>2_subsidy_elec_indirect_pc_netcash__yd_3</t>
  </si>
  <si>
    <t>2_subsidy_elec_pc_netcash__yd_3</t>
  </si>
  <si>
    <t>2_subsidy_fuel_direct_pc_netcash__yd_3</t>
  </si>
  <si>
    <t>2_subsidy_fuel_indirect_pc_netcash__yd_3</t>
  </si>
  <si>
    <t>2_subsidy_fuel_pc_netcash__yd_3</t>
  </si>
  <si>
    <t>2_vat_elec_pc_netcash__yd_3</t>
  </si>
  <si>
    <t>2_vat_fuel_pc_netcash__yd_3</t>
  </si>
  <si>
    <t>2_all_elec_noST_pc_netcash__yd_4</t>
  </si>
  <si>
    <t>2_all_elec_pc_netcash__yd_4</t>
  </si>
  <si>
    <t>2_all_fuel_pc_netcash__yd_4</t>
  </si>
  <si>
    <t>2_all_miti_noST_pc_netcash__yd_4</t>
  </si>
  <si>
    <t>2_all_miti_pc_netcash__yd_4</t>
  </si>
  <si>
    <t>2_all_policies_miti_pc_netcash__yd_4</t>
  </si>
  <si>
    <t>2_all_policies_noST_pc_netcash__yd_4</t>
  </si>
  <si>
    <t>2_all_policies_pc_netcash__yd_4</t>
  </si>
  <si>
    <t>2_all_subs_noST_pc_netcash__yd_4</t>
  </si>
  <si>
    <t>2_all_subs_pc_netcash__yd_4</t>
  </si>
  <si>
    <t>2_all_tax_pc_netcash__yd_4</t>
  </si>
  <si>
    <t>2_am_delayed_pnbsf_pc_netcash__yd_4</t>
  </si>
  <si>
    <t>2_am_new_pnbsf_pc_netcash__yd_4</t>
  </si>
  <si>
    <t>2_am_pnbsf_newbenefs_pc_netcash__yd_4</t>
  </si>
  <si>
    <t>2_am_pnbsf_transferinc_pc_netcash__yd_4</t>
  </si>
  <si>
    <t>2_social_tranche_pc_netcash__yd_4</t>
  </si>
  <si>
    <t>2_subs_public_transport_pc_netcash__yd_4</t>
  </si>
  <si>
    <t>2_subsidy_elec_direct_pc_netcash__yd_4</t>
  </si>
  <si>
    <t>2_subsidy_elec_indirect_pc_netcash__yd_4</t>
  </si>
  <si>
    <t>2_subsidy_elec_pc_netcash__yd_4</t>
  </si>
  <si>
    <t>2_subsidy_fuel_direct_pc_netcash__yd_4</t>
  </si>
  <si>
    <t>2_subsidy_fuel_indirect_pc_netcash__yd_4</t>
  </si>
  <si>
    <t>2_subsidy_fuel_pc_netcash__yd_4</t>
  </si>
  <si>
    <t>2_vat_elec_pc_netcash__yd_4</t>
  </si>
  <si>
    <t>2_vat_fuel_pc_netcash__yd_4</t>
  </si>
  <si>
    <t>2_all_elec_noST_pc_netcash__yd_5</t>
  </si>
  <si>
    <t>2_all_elec_pc_netcash__yd_5</t>
  </si>
  <si>
    <t>2_all_fuel_pc_netcash__yd_5</t>
  </si>
  <si>
    <t>2_all_miti_noST_pc_netcash__yd_5</t>
  </si>
  <si>
    <t>2_all_miti_pc_netcash__yd_5</t>
  </si>
  <si>
    <t>2_all_policies_miti_pc_netcash__yd_5</t>
  </si>
  <si>
    <t>2_all_policies_noST_pc_netcash__yd_5</t>
  </si>
  <si>
    <t>2_all_policies_pc_netcash__yd_5</t>
  </si>
  <si>
    <t>2_all_subs_noST_pc_netcash__yd_5</t>
  </si>
  <si>
    <t>2_all_subs_pc_netcash__yd_5</t>
  </si>
  <si>
    <t>2_all_tax_pc_netcash__yd_5</t>
  </si>
  <si>
    <t>2_am_delayed_pnbsf_pc_netcash__yd_5</t>
  </si>
  <si>
    <t>2_am_new_pnbsf_pc_netcash__yd_5</t>
  </si>
  <si>
    <t>2_am_pnbsf_newbenefs_pc_netcash__yd_5</t>
  </si>
  <si>
    <t>2_am_pnbsf_transferinc_pc_netcash__yd_5</t>
  </si>
  <si>
    <t>2_social_tranche_pc_netcash__yd_5</t>
  </si>
  <si>
    <t>2_subs_public_transport_pc_netcash__yd_5</t>
  </si>
  <si>
    <t>2_subsidy_elec_direct_pc_netcash__yd_5</t>
  </si>
  <si>
    <t>2_subsidy_elec_indirect_pc_netcash__yd_5</t>
  </si>
  <si>
    <t>2_subsidy_elec_pc_netcash__yd_5</t>
  </si>
  <si>
    <t>2_subsidy_fuel_direct_pc_netcash__yd_5</t>
  </si>
  <si>
    <t>2_subsidy_fuel_indirect_pc_netcash__yd_5</t>
  </si>
  <si>
    <t>2_subsidy_fuel_pc_netcash__yd_5</t>
  </si>
  <si>
    <t>2_vat_elec_pc_netcash__yd_5</t>
  </si>
  <si>
    <t>2_vat_fuel_pc_netcash__yd_5</t>
  </si>
  <si>
    <t>2_all_elec_noST_pc_netcash__yd_6</t>
  </si>
  <si>
    <t>2_all_elec_pc_netcash__yd_6</t>
  </si>
  <si>
    <t>2_all_fuel_pc_netcash__yd_6</t>
  </si>
  <si>
    <t>2_all_miti_noST_pc_netcash__yd_6</t>
  </si>
  <si>
    <t>2_all_miti_pc_netcash__yd_6</t>
  </si>
  <si>
    <t>2_all_policies_miti_pc_netcash__yd_6</t>
  </si>
  <si>
    <t>2_all_policies_noST_pc_netcash__yd_6</t>
  </si>
  <si>
    <t>2_all_policies_pc_netcash__yd_6</t>
  </si>
  <si>
    <t>2_all_subs_noST_pc_netcash__yd_6</t>
  </si>
  <si>
    <t>2_all_subs_pc_netcash__yd_6</t>
  </si>
  <si>
    <t>2_all_tax_pc_netcash__yd_6</t>
  </si>
  <si>
    <t>2_am_delayed_pnbsf_pc_netcash__yd_6</t>
  </si>
  <si>
    <t>2_am_new_pnbsf_pc_netcash__yd_6</t>
  </si>
  <si>
    <t>2_am_pnbsf_newbenefs_pc_netcash__yd_6</t>
  </si>
  <si>
    <t>2_am_pnbsf_transferinc_pc_netcash__yd_6</t>
  </si>
  <si>
    <t>2_social_tranche_pc_netcash__yd_6</t>
  </si>
  <si>
    <t>2_subs_public_transport_pc_netcash__yd_6</t>
  </si>
  <si>
    <t>2_subsidy_elec_direct_pc_netcash__yd_6</t>
  </si>
  <si>
    <t>2_subsidy_elec_indirect_pc_netcash__yd_6</t>
  </si>
  <si>
    <t>2_subsidy_elec_pc_netcash__yd_6</t>
  </si>
  <si>
    <t>2_subsidy_fuel_direct_pc_netcash__yd_6</t>
  </si>
  <si>
    <t>2_subsidy_fuel_indirect_pc_netcash__yd_6</t>
  </si>
  <si>
    <t>2_subsidy_fuel_pc_netcash__yd_6</t>
  </si>
  <si>
    <t>2_vat_elec_pc_netcash__yd_6</t>
  </si>
  <si>
    <t>2_vat_fuel_pc_netcash__yd_6</t>
  </si>
  <si>
    <t>2_all_elec_noST_pc_netcash__yd_7</t>
  </si>
  <si>
    <t>2_all_elec_pc_netcash__yd_7</t>
  </si>
  <si>
    <t>2_all_fuel_pc_netcash__yd_7</t>
  </si>
  <si>
    <t>2_all_miti_noST_pc_netcash__yd_7</t>
  </si>
  <si>
    <t>2_all_miti_pc_netcash__yd_7</t>
  </si>
  <si>
    <t>2_all_policies_miti_pc_netcash__yd_7</t>
  </si>
  <si>
    <t>2_all_policies_noST_pc_netcash__yd_7</t>
  </si>
  <si>
    <t>2_all_policies_pc_netcash__yd_7</t>
  </si>
  <si>
    <t>2_all_subs_noST_pc_netcash__yd_7</t>
  </si>
  <si>
    <t>2_all_subs_pc_netcash__yd_7</t>
  </si>
  <si>
    <t>2_all_tax_pc_netcash__yd_7</t>
  </si>
  <si>
    <t>2_am_delayed_pnbsf_pc_netcash__yd_7</t>
  </si>
  <si>
    <t>2_am_new_pnbsf_pc_netcash__yd_7</t>
  </si>
  <si>
    <t>2_am_pnbsf_newbenefs_pc_netcash__yd_7</t>
  </si>
  <si>
    <t>2_am_pnbsf_transferinc_pc_netcash__yd_7</t>
  </si>
  <si>
    <t>2_social_tranche_pc_netcash__yd_7</t>
  </si>
  <si>
    <t>2_subs_public_transport_pc_netcash__yd_7</t>
  </si>
  <si>
    <t>2_subsidy_elec_direct_pc_netcash__yd_7</t>
  </si>
  <si>
    <t>2_subsidy_elec_indirect_pc_netcash__yd_7</t>
  </si>
  <si>
    <t>2_subsidy_elec_pc_netcash__yd_7</t>
  </si>
  <si>
    <t>2_subsidy_fuel_direct_pc_netcash__yd_7</t>
  </si>
  <si>
    <t>2_subsidy_fuel_indirect_pc_netcash__yd_7</t>
  </si>
  <si>
    <t>2_subsidy_fuel_pc_netcash__yd_7</t>
  </si>
  <si>
    <t>2_vat_elec_pc_netcash__yd_7</t>
  </si>
  <si>
    <t>2_vat_fuel_pc_netcash__yd_7</t>
  </si>
  <si>
    <t>2_all_elec_noST_pc_netcash__yd_8</t>
  </si>
  <si>
    <t>2_all_elec_pc_netcash__yd_8</t>
  </si>
  <si>
    <t>2_all_fuel_pc_netcash__yd_8</t>
  </si>
  <si>
    <t>2_all_miti_noST_pc_netcash__yd_8</t>
  </si>
  <si>
    <t>2_all_miti_pc_netcash__yd_8</t>
  </si>
  <si>
    <t>2_all_policies_miti_pc_netcash__yd_8</t>
  </si>
  <si>
    <t>2_all_policies_noST_pc_netcash__yd_8</t>
  </si>
  <si>
    <t>2_all_policies_pc_netcash__yd_8</t>
  </si>
  <si>
    <t>2_all_subs_noST_pc_netcash__yd_8</t>
  </si>
  <si>
    <t>2_all_subs_pc_netcash__yd_8</t>
  </si>
  <si>
    <t>2_all_tax_pc_netcash__yd_8</t>
  </si>
  <si>
    <t>2_am_delayed_pnbsf_pc_netcash__yd_8</t>
  </si>
  <si>
    <t>2_am_new_pnbsf_pc_netcash__yd_8</t>
  </si>
  <si>
    <t>2_am_pnbsf_newbenefs_pc_netcash__yd_8</t>
  </si>
  <si>
    <t>2_am_pnbsf_transferinc_pc_netcash__yd_8</t>
  </si>
  <si>
    <t>2_social_tranche_pc_netcash__yd_8</t>
  </si>
  <si>
    <t>2_subs_public_transport_pc_netcash__yd_8</t>
  </si>
  <si>
    <t>2_subsidy_elec_direct_pc_netcash__yd_8</t>
  </si>
  <si>
    <t>2_subsidy_elec_indirect_pc_netcash__yd_8</t>
  </si>
  <si>
    <t>2_subsidy_elec_pc_netcash__yd_8</t>
  </si>
  <si>
    <t>2_subsidy_fuel_direct_pc_netcash__yd_8</t>
  </si>
  <si>
    <t>2_subsidy_fuel_indirect_pc_netcash__yd_8</t>
  </si>
  <si>
    <t>2_subsidy_fuel_pc_netcash__yd_8</t>
  </si>
  <si>
    <t>2_vat_elec_pc_netcash__yd_8</t>
  </si>
  <si>
    <t>2_vat_fuel_pc_netcash__yd_8</t>
  </si>
  <si>
    <t>2_all_elec_noST_pc_netcash__yd_9</t>
  </si>
  <si>
    <t>2_all_elec_pc_netcash__yd_9</t>
  </si>
  <si>
    <t>2_all_fuel_pc_netcash__yd_9</t>
  </si>
  <si>
    <t>2_all_miti_noST_pc_netcash__yd_9</t>
  </si>
  <si>
    <t>2_all_miti_pc_netcash__yd_9</t>
  </si>
  <si>
    <t>2_all_policies_miti_pc_netcash__yd_9</t>
  </si>
  <si>
    <t>2_all_policies_noST_pc_netcash__yd_9</t>
  </si>
  <si>
    <t>2_all_policies_pc_netcash__yd_9</t>
  </si>
  <si>
    <t>2_all_subs_noST_pc_netcash__yd_9</t>
  </si>
  <si>
    <t>2_all_subs_pc_netcash__yd_9</t>
  </si>
  <si>
    <t>2_all_tax_pc_netcash__yd_9</t>
  </si>
  <si>
    <t>2_am_delayed_pnbsf_pc_netcash__yd_9</t>
  </si>
  <si>
    <t>2_am_new_pnbsf_pc_netcash__yd_9</t>
  </si>
  <si>
    <t>2_am_pnbsf_newbenefs_pc_netcash__yd_9</t>
  </si>
  <si>
    <t>2_am_pnbsf_transferinc_pc_netcash__yd_9</t>
  </si>
  <si>
    <t>2_social_tranche_pc_netcash__yd_9</t>
  </si>
  <si>
    <t>2_subs_public_transport_pc_netcash__yd_9</t>
  </si>
  <si>
    <t>2_subsidy_elec_direct_pc_netcash__yd_9</t>
  </si>
  <si>
    <t>2_subsidy_elec_indirect_pc_netcash__yd_9</t>
  </si>
  <si>
    <t>2_subsidy_elec_pc_netcash__yd_9</t>
  </si>
  <si>
    <t>2_subsidy_fuel_direct_pc_netcash__yd_9</t>
  </si>
  <si>
    <t>2_subsidy_fuel_indirect_pc_netcash__yd_9</t>
  </si>
  <si>
    <t>2_subsidy_fuel_pc_netcash__yd_9</t>
  </si>
  <si>
    <t>2_vat_elec_pc_netcash__yd_9</t>
  </si>
  <si>
    <t>2_vat_fuel_pc_netcash__yd_9</t>
  </si>
  <si>
    <t>2_all_elec_noST_pc_netcash__yd_10</t>
  </si>
  <si>
    <t>2_all_elec_pc_netcash__yd_10</t>
  </si>
  <si>
    <t>2_all_fuel_pc_netcash__yd_10</t>
  </si>
  <si>
    <t>2_all_miti_noST_pc_netcash__yd_10</t>
  </si>
  <si>
    <t>2_all_miti_pc_netcash__yd_10</t>
  </si>
  <si>
    <t>2_all_policies_miti_pc_netcash__yd_10</t>
  </si>
  <si>
    <t>2_all_policies_noST_pc_netcash__yd_10</t>
  </si>
  <si>
    <t>2_all_policies_pc_netcash__yd_10</t>
  </si>
  <si>
    <t>2_all_subs_noST_pc_netcash__yd_10</t>
  </si>
  <si>
    <t>2_all_subs_pc_netcash__yd_10</t>
  </si>
  <si>
    <t>2_all_tax_pc_netcash__yd_10</t>
  </si>
  <si>
    <t>2_am_delayed_pnbsf_pc_netcash__yd_10</t>
  </si>
  <si>
    <t>2_am_new_pnbsf_pc_netcash__yd_10</t>
  </si>
  <si>
    <t>2_am_pnbsf_newbenefs_pc_netcash__yd_10</t>
  </si>
  <si>
    <t>2_am_pnbsf_transferinc_pc_netcash__yd_10</t>
  </si>
  <si>
    <t>2_social_tranche_pc_netcash__yd_10</t>
  </si>
  <si>
    <t>2_subs_public_transport_pc_netcash__yd_10</t>
  </si>
  <si>
    <t>2_subsidy_elec_direct_pc_netcash__yd_10</t>
  </si>
  <si>
    <t>2_subsidy_elec_indirect_pc_netcash__yd_10</t>
  </si>
  <si>
    <t>2_subsidy_elec_pc_netcash__yd_10</t>
  </si>
  <si>
    <t>2_subsidy_fuel_direct_pc_netcash__yd_10</t>
  </si>
  <si>
    <t>2_subsidy_fuel_indirect_pc_netcash__yd_10</t>
  </si>
  <si>
    <t>2_subsidy_fuel_pc_netcash__yd_10</t>
  </si>
  <si>
    <t>2_vat_elec_pc_netcash__yd_10</t>
  </si>
  <si>
    <t>2_vat_fuel_pc_netcash__yd_10</t>
  </si>
  <si>
    <t>2_all_elec_noST_pc_cond_netcash__yd_1</t>
  </si>
  <si>
    <t>2_all_elec_pc_cond_netcash__yd_1</t>
  </si>
  <si>
    <t>2_all_fuel_pc_cond_netcash__yd_1</t>
  </si>
  <si>
    <t>2_all_miti_noST_pc_cond_netcash__yd_1</t>
  </si>
  <si>
    <t>2_all_miti_pc_cond_netcash__yd_1</t>
  </si>
  <si>
    <t>2_all_policies_miti_pc_cond_netcash__yd_1</t>
  </si>
  <si>
    <t>2_all_policies_noST_pc_cond_netcash__yd_1</t>
  </si>
  <si>
    <t>2_all_policies_pc_cond_netcash__yd_1</t>
  </si>
  <si>
    <t>2_all_subs_noST_pc_cond_netcash__yd_1</t>
  </si>
  <si>
    <t>2_all_subs_pc_cond_netcash__yd_1</t>
  </si>
  <si>
    <t>2_all_tax_pc_cond_netcash__yd_1</t>
  </si>
  <si>
    <t>2_am_delayed_pnbsf_pc_cond_netcash__yd_1</t>
  </si>
  <si>
    <t>2_am_new_pnbsf_pc_cond_netcash__yd_1</t>
  </si>
  <si>
    <t>2_am_pnbsf_newbenefs_pc_cond_netcash__yd_1</t>
  </si>
  <si>
    <t>2_am_pnbsf_transferinc_pc_cond_netcash__yd_1</t>
  </si>
  <si>
    <t>2_social_tranche_pc_cond_netcash__yd_1</t>
  </si>
  <si>
    <t>2_subs_public_transport_pc_cond_netcash__yd_1</t>
  </si>
  <si>
    <t>2_subsidy_elec_direct_pc_cond_netcash__yd_1</t>
  </si>
  <si>
    <t>2_subsidy_elec_indirect_pc_cond_netcash__yd_1</t>
  </si>
  <si>
    <t>2_subsidy_elec_pc_cond_netcash__yd_1</t>
  </si>
  <si>
    <t>2_subsidy_fuel_direct_pc_cond_netcash__yd_1</t>
  </si>
  <si>
    <t>2_subsidy_fuel_indirect_pc_cond_netcash__yd_1</t>
  </si>
  <si>
    <t>2_subsidy_fuel_pc_cond_netcash__yd_1</t>
  </si>
  <si>
    <t>2_vat_elec_pc_cond_netcash__yd_1</t>
  </si>
  <si>
    <t>2_vat_fuel_pc_cond_netcash__yd_1</t>
  </si>
  <si>
    <t>2_all_elec_noST_pc_cond_netcash__yd_2</t>
  </si>
  <si>
    <t>2_all_elec_pc_cond_netcash__yd_2</t>
  </si>
  <si>
    <t>2_all_fuel_pc_cond_netcash__yd_2</t>
  </si>
  <si>
    <t>2_all_miti_noST_pc_cond_netcash__yd_2</t>
  </si>
  <si>
    <t>2_all_miti_pc_cond_netcash__yd_2</t>
  </si>
  <si>
    <t>2_all_policies_miti_pc_cond_netcash__yd_2</t>
  </si>
  <si>
    <t>2_all_policies_noST_pc_cond_netcash__yd_2</t>
  </si>
  <si>
    <t>2_all_policies_pc_cond_netcash__yd_2</t>
  </si>
  <si>
    <t>2_all_subs_noST_pc_cond_netcash__yd_2</t>
  </si>
  <si>
    <t>2_all_subs_pc_cond_netcash__yd_2</t>
  </si>
  <si>
    <t>2_all_tax_pc_cond_netcash__yd_2</t>
  </si>
  <si>
    <t>2_am_delayed_pnbsf_pc_cond_netcash__yd_2</t>
  </si>
  <si>
    <t>2_am_new_pnbsf_pc_cond_netcash__yd_2</t>
  </si>
  <si>
    <t>2_am_pnbsf_newbenefs_pc_cond_netcash__yd_2</t>
  </si>
  <si>
    <t>2_am_pnbsf_transferinc_pc_cond_netcash__yd_2</t>
  </si>
  <si>
    <t>2_social_tranche_pc_cond_netcash__yd_2</t>
  </si>
  <si>
    <t>2_subs_public_transport_pc_cond_netcash__yd_2</t>
  </si>
  <si>
    <t>2_subsidy_elec_direct_pc_cond_netcash__yd_2</t>
  </si>
  <si>
    <t>2_subsidy_elec_indirect_pc_cond_netcash__yd_2</t>
  </si>
  <si>
    <t>2_subsidy_elec_pc_cond_netcash__yd_2</t>
  </si>
  <si>
    <t>2_subsidy_fuel_direct_pc_cond_netcash__yd_2</t>
  </si>
  <si>
    <t>2_subsidy_fuel_indirect_pc_cond_netcash__yd_2</t>
  </si>
  <si>
    <t>2_subsidy_fuel_pc_cond_netcash__yd_2</t>
  </si>
  <si>
    <t>2_vat_elec_pc_cond_netcash__yd_2</t>
  </si>
  <si>
    <t>2_vat_fuel_pc_cond_netcash__yd_2</t>
  </si>
  <si>
    <t>2_all_elec_noST_pc_cond_netcash__yd_3</t>
  </si>
  <si>
    <t>2_all_elec_pc_cond_netcash__yd_3</t>
  </si>
  <si>
    <t>2_all_fuel_pc_cond_netcash__yd_3</t>
  </si>
  <si>
    <t>2_all_miti_noST_pc_cond_netcash__yd_3</t>
  </si>
  <si>
    <t>2_all_miti_pc_cond_netcash__yd_3</t>
  </si>
  <si>
    <t>2_all_policies_miti_pc_cond_netcash__yd_3</t>
  </si>
  <si>
    <t>2_all_policies_noST_pc_cond_netcash__yd_3</t>
  </si>
  <si>
    <t>2_all_policies_pc_cond_netcash__yd_3</t>
  </si>
  <si>
    <t>2_all_subs_noST_pc_cond_netcash__yd_3</t>
  </si>
  <si>
    <t>2_all_subs_pc_cond_netcash__yd_3</t>
  </si>
  <si>
    <t>2_all_tax_pc_cond_netcash__yd_3</t>
  </si>
  <si>
    <t>2_am_delayed_pnbsf_pc_cond_netcash__yd_3</t>
  </si>
  <si>
    <t>2_am_new_pnbsf_pc_cond_netcash__yd_3</t>
  </si>
  <si>
    <t>2_am_pnbsf_newbenefs_pc_cond_netcash__yd_3</t>
  </si>
  <si>
    <t>2_am_pnbsf_transferinc_pc_cond_netcash__yd_3</t>
  </si>
  <si>
    <t>2_social_tranche_pc_cond_netcash__yd_3</t>
  </si>
  <si>
    <t>2_subs_public_transport_pc_cond_netcash__yd_3</t>
  </si>
  <si>
    <t>2_subsidy_elec_direct_pc_cond_netcash__yd_3</t>
  </si>
  <si>
    <t>2_subsidy_elec_indirect_pc_cond_netcash__yd_3</t>
  </si>
  <si>
    <t>2_subsidy_elec_pc_cond_netcash__yd_3</t>
  </si>
  <si>
    <t>2_subsidy_fuel_direct_pc_cond_netcash__yd_3</t>
  </si>
  <si>
    <t>2_subsidy_fuel_indirect_pc_cond_netcash__yd_3</t>
  </si>
  <si>
    <t>2_subsidy_fuel_pc_cond_netcash__yd_3</t>
  </si>
  <si>
    <t>2_vat_elec_pc_cond_netcash__yd_3</t>
  </si>
  <si>
    <t>2_vat_fuel_pc_cond_netcash__yd_3</t>
  </si>
  <si>
    <t>2_all_elec_noST_pc_cond_netcash__yd_4</t>
  </si>
  <si>
    <t>2_all_elec_pc_cond_netcash__yd_4</t>
  </si>
  <si>
    <t>2_all_fuel_pc_cond_netcash__yd_4</t>
  </si>
  <si>
    <t>2_all_miti_noST_pc_cond_netcash__yd_4</t>
  </si>
  <si>
    <t>2_all_miti_pc_cond_netcash__yd_4</t>
  </si>
  <si>
    <t>2_all_policies_miti_pc_cond_netcash__yd_4</t>
  </si>
  <si>
    <t>2_all_policies_noST_pc_cond_netcash__yd_4</t>
  </si>
  <si>
    <t>2_all_policies_pc_cond_netcash__yd_4</t>
  </si>
  <si>
    <t>2_all_subs_noST_pc_cond_netcash__yd_4</t>
  </si>
  <si>
    <t>2_all_subs_pc_cond_netcash__yd_4</t>
  </si>
  <si>
    <t>2_all_tax_pc_cond_netcash__yd_4</t>
  </si>
  <si>
    <t>2_am_delayed_pnbsf_pc_cond_netcash__yd_4</t>
  </si>
  <si>
    <t>2_am_new_pnbsf_pc_cond_netcash__yd_4</t>
  </si>
  <si>
    <t>2_am_pnbsf_newbenefs_pc_cond_netcash__yd_4</t>
  </si>
  <si>
    <t>2_am_pnbsf_transferinc_pc_cond_netcash__yd_4</t>
  </si>
  <si>
    <t>2_social_tranche_pc_cond_netcash__yd_4</t>
  </si>
  <si>
    <t>2_subs_public_transport_pc_cond_netcash__yd_4</t>
  </si>
  <si>
    <t>2_subsidy_elec_direct_pc_cond_netcash__yd_4</t>
  </si>
  <si>
    <t>2_subsidy_elec_indirect_pc_cond_netcash__yd_4</t>
  </si>
  <si>
    <t>2_subsidy_elec_pc_cond_netcash__yd_4</t>
  </si>
  <si>
    <t>2_subsidy_fuel_direct_pc_cond_netcash__yd_4</t>
  </si>
  <si>
    <t>2_subsidy_fuel_indirect_pc_cond_netcash__yd_4</t>
  </si>
  <si>
    <t>2_subsidy_fuel_pc_cond_netcash__yd_4</t>
  </si>
  <si>
    <t>2_vat_elec_pc_cond_netcash__yd_4</t>
  </si>
  <si>
    <t>2_vat_fuel_pc_cond_netcash__yd_4</t>
  </si>
  <si>
    <t>2_all_elec_noST_pc_cond_netcash__yd_5</t>
  </si>
  <si>
    <t>2_all_elec_pc_cond_netcash__yd_5</t>
  </si>
  <si>
    <t>2_all_fuel_pc_cond_netcash__yd_5</t>
  </si>
  <si>
    <t>2_all_miti_noST_pc_cond_netcash__yd_5</t>
  </si>
  <si>
    <t>2_all_miti_pc_cond_netcash__yd_5</t>
  </si>
  <si>
    <t>2_all_policies_miti_pc_cond_netcash__yd_5</t>
  </si>
  <si>
    <t>2_all_policies_noST_pc_cond_netcash__yd_5</t>
  </si>
  <si>
    <t>2_all_policies_pc_cond_netcash__yd_5</t>
  </si>
  <si>
    <t>2_all_subs_noST_pc_cond_netcash__yd_5</t>
  </si>
  <si>
    <t>2_all_subs_pc_cond_netcash__yd_5</t>
  </si>
  <si>
    <t>2_all_tax_pc_cond_netcash__yd_5</t>
  </si>
  <si>
    <t>2_am_delayed_pnbsf_pc_cond_netcash__yd_5</t>
  </si>
  <si>
    <t>2_am_new_pnbsf_pc_cond_netcash__yd_5</t>
  </si>
  <si>
    <t>2_am_pnbsf_newbenefs_pc_cond_netcash__yd_5</t>
  </si>
  <si>
    <t>2_am_pnbsf_transferinc_pc_cond_netcash__yd_5</t>
  </si>
  <si>
    <t>2_social_tranche_pc_cond_netcash__yd_5</t>
  </si>
  <si>
    <t>2_subs_public_transport_pc_cond_netcash__yd_5</t>
  </si>
  <si>
    <t>2_subsidy_elec_direct_pc_cond_netcash__yd_5</t>
  </si>
  <si>
    <t>2_subsidy_elec_indirect_pc_cond_netcash__yd_5</t>
  </si>
  <si>
    <t>2_subsidy_elec_pc_cond_netcash__yd_5</t>
  </si>
  <si>
    <t>2_subsidy_fuel_direct_pc_cond_netcash__yd_5</t>
  </si>
  <si>
    <t>2_subsidy_fuel_indirect_pc_cond_netcash__yd_5</t>
  </si>
  <si>
    <t>2_subsidy_fuel_pc_cond_netcash__yd_5</t>
  </si>
  <si>
    <t>2_vat_elec_pc_cond_netcash__yd_5</t>
  </si>
  <si>
    <t>2_vat_fuel_pc_cond_netcash__yd_5</t>
  </si>
  <si>
    <t>2_all_elec_noST_pc_cond_netcash__yd_6</t>
  </si>
  <si>
    <t>2_all_elec_pc_cond_netcash__yd_6</t>
  </si>
  <si>
    <t>2_all_fuel_pc_cond_netcash__yd_6</t>
  </si>
  <si>
    <t>2_all_miti_noST_pc_cond_netcash__yd_6</t>
  </si>
  <si>
    <t>2_all_miti_pc_cond_netcash__yd_6</t>
  </si>
  <si>
    <t>2_all_policies_miti_pc_cond_netcash__yd_6</t>
  </si>
  <si>
    <t>2_all_policies_noST_pc_cond_netcash__yd_6</t>
  </si>
  <si>
    <t>2_all_policies_pc_cond_netcash__yd_6</t>
  </si>
  <si>
    <t>2_all_subs_noST_pc_cond_netcash__yd_6</t>
  </si>
  <si>
    <t>2_all_subs_pc_cond_netcash__yd_6</t>
  </si>
  <si>
    <t>2_all_tax_pc_cond_netcash__yd_6</t>
  </si>
  <si>
    <t>2_am_delayed_pnbsf_pc_cond_netcash__yd_6</t>
  </si>
  <si>
    <t>2_am_new_pnbsf_pc_cond_netcash__yd_6</t>
  </si>
  <si>
    <t>2_am_pnbsf_newbenefs_pc_cond_netcash__yd_6</t>
  </si>
  <si>
    <t>2_am_pnbsf_transferinc_pc_cond_netcash__yd_6</t>
  </si>
  <si>
    <t>2_social_tranche_pc_cond_netcash__yd_6</t>
  </si>
  <si>
    <t>2_subs_public_transport_pc_cond_netcash__yd_6</t>
  </si>
  <si>
    <t>2_subsidy_elec_direct_pc_cond_netcash__yd_6</t>
  </si>
  <si>
    <t>2_subsidy_elec_indirect_pc_cond_netcash__yd_6</t>
  </si>
  <si>
    <t>2_subsidy_elec_pc_cond_netcash__yd_6</t>
  </si>
  <si>
    <t>2_subsidy_fuel_direct_pc_cond_netcash__yd_6</t>
  </si>
  <si>
    <t>2_subsidy_fuel_indirect_pc_cond_netcash__yd_6</t>
  </si>
  <si>
    <t>2_subsidy_fuel_pc_cond_netcash__yd_6</t>
  </si>
  <si>
    <t>2_vat_elec_pc_cond_netcash__yd_6</t>
  </si>
  <si>
    <t>2_vat_fuel_pc_cond_netcash__yd_6</t>
  </si>
  <si>
    <t>2_all_elec_noST_pc_cond_netcash__yd_7</t>
  </si>
  <si>
    <t>2_all_elec_pc_cond_netcash__yd_7</t>
  </si>
  <si>
    <t>2_all_fuel_pc_cond_netcash__yd_7</t>
  </si>
  <si>
    <t>2_all_miti_noST_pc_cond_netcash__yd_7</t>
  </si>
  <si>
    <t>2_all_miti_pc_cond_netcash__yd_7</t>
  </si>
  <si>
    <t>2_all_policies_miti_pc_cond_netcash__yd_7</t>
  </si>
  <si>
    <t>2_all_policies_noST_pc_cond_netcash__yd_7</t>
  </si>
  <si>
    <t>2_all_policies_pc_cond_netcash__yd_7</t>
  </si>
  <si>
    <t>2_all_subs_noST_pc_cond_netcash__yd_7</t>
  </si>
  <si>
    <t>2_all_subs_pc_cond_netcash__yd_7</t>
  </si>
  <si>
    <t>2_all_tax_pc_cond_netcash__yd_7</t>
  </si>
  <si>
    <t>2_am_delayed_pnbsf_pc_cond_netcash__yd_7</t>
  </si>
  <si>
    <t>2_am_new_pnbsf_pc_cond_netcash__yd_7</t>
  </si>
  <si>
    <t>2_am_pnbsf_newbenefs_pc_cond_netcash__yd_7</t>
  </si>
  <si>
    <t>2_am_pnbsf_transferinc_pc_cond_netcash__yd_7</t>
  </si>
  <si>
    <t>2_social_tranche_pc_cond_netcash__yd_7</t>
  </si>
  <si>
    <t>2_subs_public_transport_pc_cond_netcash__yd_7</t>
  </si>
  <si>
    <t>2_subsidy_elec_direct_pc_cond_netcash__yd_7</t>
  </si>
  <si>
    <t>2_subsidy_elec_indirect_pc_cond_netcash__yd_7</t>
  </si>
  <si>
    <t>2_subsidy_elec_pc_cond_netcash__yd_7</t>
  </si>
  <si>
    <t>2_subsidy_fuel_direct_pc_cond_netcash__yd_7</t>
  </si>
  <si>
    <t>2_subsidy_fuel_indirect_pc_cond_netcash__yd_7</t>
  </si>
  <si>
    <t>2_subsidy_fuel_pc_cond_netcash__yd_7</t>
  </si>
  <si>
    <t>2_vat_elec_pc_cond_netcash__yd_7</t>
  </si>
  <si>
    <t>2_vat_fuel_pc_cond_netcash__yd_7</t>
  </si>
  <si>
    <t>2_all_elec_noST_pc_cond_netcash__yd_8</t>
  </si>
  <si>
    <t>2_all_elec_pc_cond_netcash__yd_8</t>
  </si>
  <si>
    <t>2_all_fuel_pc_cond_netcash__yd_8</t>
  </si>
  <si>
    <t>2_all_miti_noST_pc_cond_netcash__yd_8</t>
  </si>
  <si>
    <t>2_all_miti_pc_cond_netcash__yd_8</t>
  </si>
  <si>
    <t>2_all_policies_miti_pc_cond_netcash__yd_8</t>
  </si>
  <si>
    <t>2_all_policies_noST_pc_cond_netcash__yd_8</t>
  </si>
  <si>
    <t>2_all_policies_pc_cond_netcash__yd_8</t>
  </si>
  <si>
    <t>2_all_subs_noST_pc_cond_netcash__yd_8</t>
  </si>
  <si>
    <t>2_all_subs_pc_cond_netcash__yd_8</t>
  </si>
  <si>
    <t>2_all_tax_pc_cond_netcash__yd_8</t>
  </si>
  <si>
    <t>2_am_delayed_pnbsf_pc_cond_netcash__yd_8</t>
  </si>
  <si>
    <t>2_am_new_pnbsf_pc_cond_netcash__yd_8</t>
  </si>
  <si>
    <t>2_am_pnbsf_newbenefs_pc_cond_netcash__yd_8</t>
  </si>
  <si>
    <t>2_am_pnbsf_transferinc_pc_cond_netcash__yd_8</t>
  </si>
  <si>
    <t>2_social_tranche_pc_cond_netcash__yd_8</t>
  </si>
  <si>
    <t>2_subs_public_transport_pc_cond_netcash__yd_8</t>
  </si>
  <si>
    <t>2_subsidy_elec_direct_pc_cond_netcash__yd_8</t>
  </si>
  <si>
    <t>2_subsidy_elec_indirect_pc_cond_netcash__yd_8</t>
  </si>
  <si>
    <t>2_subsidy_elec_pc_cond_netcash__yd_8</t>
  </si>
  <si>
    <t>2_subsidy_fuel_direct_pc_cond_netcash__yd_8</t>
  </si>
  <si>
    <t>2_subsidy_fuel_indirect_pc_cond_netcash__yd_8</t>
  </si>
  <si>
    <t>2_subsidy_fuel_pc_cond_netcash__yd_8</t>
  </si>
  <si>
    <t>2_vat_elec_pc_cond_netcash__yd_8</t>
  </si>
  <si>
    <t>2_vat_fuel_pc_cond_netcash__yd_8</t>
  </si>
  <si>
    <t>2_all_elec_noST_pc_cond_netcash__yd_9</t>
  </si>
  <si>
    <t>2_all_elec_pc_cond_netcash__yd_9</t>
  </si>
  <si>
    <t>2_all_fuel_pc_cond_netcash__yd_9</t>
  </si>
  <si>
    <t>2_all_miti_noST_pc_cond_netcash__yd_9</t>
  </si>
  <si>
    <t>2_all_miti_pc_cond_netcash__yd_9</t>
  </si>
  <si>
    <t>2_all_policies_miti_pc_cond_netcash__yd_9</t>
  </si>
  <si>
    <t>2_all_policies_noST_pc_cond_netcash__yd_9</t>
  </si>
  <si>
    <t>2_all_policies_pc_cond_netcash__yd_9</t>
  </si>
  <si>
    <t>2_all_subs_noST_pc_cond_netcash__yd_9</t>
  </si>
  <si>
    <t>2_all_subs_pc_cond_netcash__yd_9</t>
  </si>
  <si>
    <t>2_all_tax_pc_cond_netcash__yd_9</t>
  </si>
  <si>
    <t>2_am_delayed_pnbsf_pc_cond_netcash__yd_9</t>
  </si>
  <si>
    <t>2_am_new_pnbsf_pc_cond_netcash__yd_9</t>
  </si>
  <si>
    <t>2_am_pnbsf_newbenefs_pc_cond_netcash__yd_9</t>
  </si>
  <si>
    <t>2_am_pnbsf_transferinc_pc_cond_netcash__yd_9</t>
  </si>
  <si>
    <t>2_social_tranche_pc_cond_netcash__yd_9</t>
  </si>
  <si>
    <t>2_subs_public_transport_pc_cond_netcash__yd_9</t>
  </si>
  <si>
    <t>2_subsidy_elec_direct_pc_cond_netcash__yd_9</t>
  </si>
  <si>
    <t>2_subsidy_elec_indirect_pc_cond_netcash__yd_9</t>
  </si>
  <si>
    <t>2_subsidy_elec_pc_cond_netcash__yd_9</t>
  </si>
  <si>
    <t>2_subsidy_fuel_direct_pc_cond_netcash__yd_9</t>
  </si>
  <si>
    <t>2_subsidy_fuel_indirect_pc_cond_netcash__yd_9</t>
  </si>
  <si>
    <t>2_subsidy_fuel_pc_cond_netcash__yd_9</t>
  </si>
  <si>
    <t>2_vat_elec_pc_cond_netcash__yd_9</t>
  </si>
  <si>
    <t>2_vat_fuel_pc_cond_netcash__yd_9</t>
  </si>
  <si>
    <t>2_all_elec_noST_pc_cond_netcash__yd_10</t>
  </si>
  <si>
    <t>2_all_elec_pc_cond_netcash__yd_10</t>
  </si>
  <si>
    <t>2_all_fuel_pc_cond_netcash__yd_10</t>
  </si>
  <si>
    <t>2_all_miti_noST_pc_cond_netcash__yd_10</t>
  </si>
  <si>
    <t>2_all_miti_pc_cond_netcash__yd_10</t>
  </si>
  <si>
    <t>2_all_policies_miti_pc_cond_netcash__yd_10</t>
  </si>
  <si>
    <t>2_all_policies_noST_pc_cond_netcash__yd_10</t>
  </si>
  <si>
    <t>2_all_policies_pc_cond_netcash__yd_10</t>
  </si>
  <si>
    <t>2_all_subs_noST_pc_cond_netcash__yd_10</t>
  </si>
  <si>
    <t>2_all_subs_pc_cond_netcash__yd_10</t>
  </si>
  <si>
    <t>2_all_tax_pc_cond_netcash__yd_10</t>
  </si>
  <si>
    <t>2_am_delayed_pnbsf_pc_cond_netcash__yd_10</t>
  </si>
  <si>
    <t>2_am_new_pnbsf_pc_cond_netcash__yd_10</t>
  </si>
  <si>
    <t>2_am_pnbsf_newbenefs_pc_cond_netcash__yd_10</t>
  </si>
  <si>
    <t>2_am_pnbsf_transferinc_pc_cond_netcash__yd_10</t>
  </si>
  <si>
    <t>2_social_tranche_pc_cond_netcash__yd_10</t>
  </si>
  <si>
    <t>2_subs_public_transport_pc_cond_netcash__yd_10</t>
  </si>
  <si>
    <t>2_subsidy_elec_direct_pc_cond_netcash__yd_10</t>
  </si>
  <si>
    <t>2_subsidy_elec_indirect_pc_cond_netcash__yd_10</t>
  </si>
  <si>
    <t>2_subsidy_elec_pc_cond_netcash__yd_10</t>
  </si>
  <si>
    <t>2_subsidy_fuel_direct_pc_cond_netcash__yd_10</t>
  </si>
  <si>
    <t>2_subsidy_fuel_indirect_pc_cond_netcash__yd_10</t>
  </si>
  <si>
    <t>2_subsidy_fuel_pc_cond_netcash__yd_10</t>
  </si>
  <si>
    <t>2_vat_elec_pc_cond_netcash__yd_10</t>
  </si>
  <si>
    <t>2_vat_fuel_pc_cond_netcash__yd_10</t>
  </si>
  <si>
    <t>2_subsidy_fuel_direct_pc_ai__yd_1</t>
  </si>
  <si>
    <t>2_subsidy_fuel_pc_ai__yd_1</t>
  </si>
  <si>
    <t>2_all_fuel_pc_ai__yd_1</t>
  </si>
  <si>
    <t>2_subsidy_elec_pc_ai__yd_1</t>
  </si>
  <si>
    <t>2_am_pnbsf_transferinc_pc_ai__yd_1</t>
  </si>
  <si>
    <t>2_subsidy_elec_direct_pc_ai__yd_1</t>
  </si>
  <si>
    <t>2_vat_elec_pc_ai__yd_1</t>
  </si>
  <si>
    <t>2_all_tax_pc_ai__yd_1</t>
  </si>
  <si>
    <t>2_social_tranche_pc_ai__yd_1</t>
  </si>
  <si>
    <t>2_am_delayed_pnbsf_pc_ai__yd_1</t>
  </si>
  <si>
    <t>2_subs_public_transport_pc_ai__yd_1</t>
  </si>
  <si>
    <t>2_vat_fuel_pc_ai__yd_1</t>
  </si>
  <si>
    <t>2_all_elec_noST_pc_ai__yd_1</t>
  </si>
  <si>
    <t>2_subsidy_elec_indirect_pc_ai__yd_1</t>
  </si>
  <si>
    <t>2_all_policies_noST_pc_ai__yd_1</t>
  </si>
  <si>
    <t>2_all_subs_pc_ai__yd_1</t>
  </si>
  <si>
    <t>2_all_policies_miti_pc_ai__yd_1</t>
  </si>
  <si>
    <t>2_am_new_pnbsf_pc_ai__yd_1</t>
  </si>
  <si>
    <t>2_all_miti_noST_pc_ai__yd_1</t>
  </si>
  <si>
    <t>2_all_subs_noST_pc_ai__yd_1</t>
  </si>
  <si>
    <t>2_subsidy_fuel_indirect_pc_ai__yd_1</t>
  </si>
  <si>
    <t>2_all_miti_pc_ai__yd_1</t>
  </si>
  <si>
    <t>2_am_pnbsf_newbenefs_pc_ai__yd_1</t>
  </si>
  <si>
    <t>2_all_elec_pc_ai__yd_1</t>
  </si>
  <si>
    <t>2_all_policies_pc_ai__yd_1</t>
  </si>
  <si>
    <t>2_subsidy_elec_pc_ai__yd_2</t>
  </si>
  <si>
    <t>2_am_new_pnbsf_pc_ai__yd_2</t>
  </si>
  <si>
    <t>2_am_pnbsf_newbenefs_pc_ai__yd_2</t>
  </si>
  <si>
    <t>2_vat_fuel_pc_ai__yd_2</t>
  </si>
  <si>
    <t>2_social_tranche_pc_ai__yd_2</t>
  </si>
  <si>
    <t>2_subs_public_transport_pc_ai__yd_2</t>
  </si>
  <si>
    <t>2_vat_elec_pc_ai__yd_2</t>
  </si>
  <si>
    <t>2_all_elec_pc_ai__yd_2</t>
  </si>
  <si>
    <t>2_all_fuel_pc_ai__yd_2</t>
  </si>
  <si>
    <t>2_subsidy_elec_direct_pc_ai__yd_2</t>
  </si>
  <si>
    <t>2_subsidy_fuel_indirect_pc_ai__yd_2</t>
  </si>
  <si>
    <t>2_all_subs_noST_pc_ai__yd_2</t>
  </si>
  <si>
    <t>2_subsidy_fuel_direct_pc_ai__yd_2</t>
  </si>
  <si>
    <t>2_all_policies_pc_ai__yd_2</t>
  </si>
  <si>
    <t>2_all_miti_pc_ai__yd_2</t>
  </si>
  <si>
    <t>2_subsidy_fuel_pc_ai__yd_2</t>
  </si>
  <si>
    <t>2_am_pnbsf_transferinc_pc_ai__yd_2</t>
  </si>
  <si>
    <t>2_all_policies_noST_pc_ai__yd_2</t>
  </si>
  <si>
    <t>2_all_subs_pc_ai__yd_2</t>
  </si>
  <si>
    <t>2_subsidy_elec_indirect_pc_ai__yd_2</t>
  </si>
  <si>
    <t>2_am_delayed_pnbsf_pc_ai__yd_2</t>
  </si>
  <si>
    <t>2_all_tax_pc_ai__yd_2</t>
  </si>
  <si>
    <t>2_all_elec_noST_pc_ai__yd_2</t>
  </si>
  <si>
    <t>2_all_miti_noST_pc_ai__yd_2</t>
  </si>
  <si>
    <t>2_all_policies_miti_pc_ai__yd_2</t>
  </si>
  <si>
    <t>2_all_elec_noST_pc_ai__yd_3</t>
  </si>
  <si>
    <t>2_all_elec_pc_ai__yd_3</t>
  </si>
  <si>
    <t>2_subsidy_elec_pc_ai__yd_3</t>
  </si>
  <si>
    <t>2_all_subs_noST_pc_ai__yd_3</t>
  </si>
  <si>
    <t>2_vat_fuel_pc_ai__yd_3</t>
  </si>
  <si>
    <t>2_vat_elec_pc_ai__yd_3</t>
  </si>
  <si>
    <t>2_subsidy_elec_direct_pc_ai__yd_3</t>
  </si>
  <si>
    <t>2_all_policies_pc_ai__yd_3</t>
  </si>
  <si>
    <t>2_subsidy_fuel_indirect_pc_ai__yd_3</t>
  </si>
  <si>
    <t>2_am_pnbsf_newbenefs_pc_ai__yd_3</t>
  </si>
  <si>
    <t>2_am_pnbsf_transferinc_pc_ai__yd_3</t>
  </si>
  <si>
    <t>2_all_policies_miti_pc_ai__yd_3</t>
  </si>
  <si>
    <t>2_subsidy_fuel_direct_pc_ai__yd_3</t>
  </si>
  <si>
    <t>2_subsidy_elec_indirect_pc_ai__yd_3</t>
  </si>
  <si>
    <t>2_all_subs_pc_ai__yd_3</t>
  </si>
  <si>
    <t>2_subs_public_transport_pc_ai__yd_3</t>
  </si>
  <si>
    <t>2_am_delayed_pnbsf_pc_ai__yd_3</t>
  </si>
  <si>
    <t>2_all_miti_noST_pc_ai__yd_3</t>
  </si>
  <si>
    <t>2_am_new_pnbsf_pc_ai__yd_3</t>
  </si>
  <si>
    <t>2_all_fuel_pc_ai__yd_3</t>
  </si>
  <si>
    <t>2_subsidy_fuel_pc_ai__yd_3</t>
  </si>
  <si>
    <t>2_all_policies_noST_pc_ai__yd_3</t>
  </si>
  <si>
    <t>2_all_tax_pc_ai__yd_3</t>
  </si>
  <si>
    <t>2_social_tranche_pc_ai__yd_3</t>
  </si>
  <si>
    <t>2_all_miti_pc_ai__yd_3</t>
  </si>
  <si>
    <t>2_all_elec_pc_ai__yd_4</t>
  </si>
  <si>
    <t>2_all_miti_noST_pc_ai__yd_4</t>
  </si>
  <si>
    <t>2_all_policies_noST_pc_ai__yd_4</t>
  </si>
  <si>
    <t>2_am_delayed_pnbsf_pc_ai__yd_4</t>
  </si>
  <si>
    <t>2_all_tax_pc_ai__yd_4</t>
  </si>
  <si>
    <t>2_subsidy_elec_indirect_pc_ai__yd_4</t>
  </si>
  <si>
    <t>2_vat_fuel_pc_ai__yd_4</t>
  </si>
  <si>
    <t>2_subsidy_elec_direct_pc_ai__yd_4</t>
  </si>
  <si>
    <t>2_social_tranche_pc_ai__yd_4</t>
  </si>
  <si>
    <t>2_subsidy_fuel_direct_pc_ai__yd_4</t>
  </si>
  <si>
    <t>2_vat_elec_pc_ai__yd_4</t>
  </si>
  <si>
    <t>2_subsidy_elec_pc_ai__yd_4</t>
  </si>
  <si>
    <t>2_am_new_pnbsf_pc_ai__yd_4</t>
  </si>
  <si>
    <t>2_all_elec_noST_pc_ai__yd_4</t>
  </si>
  <si>
    <t>2_am_pnbsf_newbenefs_pc_ai__yd_4</t>
  </si>
  <si>
    <t>2_all_subs_noST_pc_ai__yd_4</t>
  </si>
  <si>
    <t>2_subsidy_fuel_pc_ai__yd_4</t>
  </si>
  <si>
    <t>2_am_pnbsf_transferinc_pc_ai__yd_4</t>
  </si>
  <si>
    <t>2_all_subs_pc_ai__yd_4</t>
  </si>
  <si>
    <t>2_all_policies_miti_pc_ai__yd_4</t>
  </si>
  <si>
    <t>2_subs_public_transport_pc_ai__yd_4</t>
  </si>
  <si>
    <t>2_subsidy_fuel_indirect_pc_ai__yd_4</t>
  </si>
  <si>
    <t>2_all_miti_pc_ai__yd_4</t>
  </si>
  <si>
    <t>2_all_fuel_pc_ai__yd_4</t>
  </si>
  <si>
    <t>2_all_policies_pc_ai__yd_4</t>
  </si>
  <si>
    <t>2_vat_fuel_pc_ai__yd_5</t>
  </si>
  <si>
    <t>2_subsidy_fuel_pc_ai__yd_5</t>
  </si>
  <si>
    <t>2_vat_elec_pc_ai__yd_5</t>
  </si>
  <si>
    <t>2_social_tranche_pc_ai__yd_5</t>
  </si>
  <si>
    <t>2_subsidy_elec_direct_pc_ai__yd_5</t>
  </si>
  <si>
    <t>2_subs_public_transport_pc_ai__yd_5</t>
  </si>
  <si>
    <t>2_am_pnbsf_newbenefs_pc_ai__yd_5</t>
  </si>
  <si>
    <t>2_subsidy_elec_indirect_pc_ai__yd_5</t>
  </si>
  <si>
    <t>2_all_policies_noST_pc_ai__yd_5</t>
  </si>
  <si>
    <t>2_all_fuel_pc_ai__yd_5</t>
  </si>
  <si>
    <t>2_subsidy_fuel_direct_pc_ai__yd_5</t>
  </si>
  <si>
    <t>2_all_tax_pc_ai__yd_5</t>
  </si>
  <si>
    <t>2_all_subs_pc_ai__yd_5</t>
  </si>
  <si>
    <t>2_subsidy_fuel_indirect_pc_ai__yd_5</t>
  </si>
  <si>
    <t>2_all_subs_noST_pc_ai__yd_5</t>
  </si>
  <si>
    <t>2_all_miti_noST_pc_ai__yd_5</t>
  </si>
  <si>
    <t>2_am_new_pnbsf_pc_ai__yd_5</t>
  </si>
  <si>
    <t>2_subsidy_elec_pc_ai__yd_5</t>
  </si>
  <si>
    <t>2_all_elec_pc_ai__yd_5</t>
  </si>
  <si>
    <t>2_all_policies_miti_pc_ai__yd_5</t>
  </si>
  <si>
    <t>2_am_pnbsf_transferinc_pc_ai__yd_5</t>
  </si>
  <si>
    <t>2_all_policies_pc_ai__yd_5</t>
  </si>
  <si>
    <t>2_all_miti_pc_ai__yd_5</t>
  </si>
  <si>
    <t>2_all_elec_noST_pc_ai__yd_5</t>
  </si>
  <si>
    <t>2_am_delayed_pnbsf_pc_ai__yd_5</t>
  </si>
  <si>
    <t>2_subsidy_fuel_direct_pc_ai__yd_6</t>
  </si>
  <si>
    <t>2_all_miti_noST_pc_ai__yd_6</t>
  </si>
  <si>
    <t>2_subsidy_fuel_indirect_pc_ai__yd_6</t>
  </si>
  <si>
    <t>2_am_pnbsf_transferinc_pc_ai__yd_6</t>
  </si>
  <si>
    <t>2_subsidy_elec_indirect_pc_ai__yd_6</t>
  </si>
  <si>
    <t>2_subsidy_elec_direct_pc_ai__yd_6</t>
  </si>
  <si>
    <t>2_social_tranche_pc_ai__yd_6</t>
  </si>
  <si>
    <t>2_all_policies_pc_ai__yd_6</t>
  </si>
  <si>
    <t>2_all_tax_pc_ai__yd_6</t>
  </si>
  <si>
    <t>2_am_new_pnbsf_pc_ai__yd_6</t>
  </si>
  <si>
    <t>2_all_elec_pc_ai__yd_6</t>
  </si>
  <si>
    <t>2_vat_elec_pc_ai__yd_6</t>
  </si>
  <si>
    <t>2_subsidy_fuel_pc_ai__yd_6</t>
  </si>
  <si>
    <t>2_all_subs_noST_pc_ai__yd_6</t>
  </si>
  <si>
    <t>2_all_miti_pc_ai__yd_6</t>
  </si>
  <si>
    <t>2_all_elec_noST_pc_ai__yd_6</t>
  </si>
  <si>
    <t>2_all_fuel_pc_ai__yd_6</t>
  </si>
  <si>
    <t>2_subs_public_transport_pc_ai__yd_6</t>
  </si>
  <si>
    <t>2_am_pnbsf_newbenefs_pc_ai__yd_6</t>
  </si>
  <si>
    <t>2_all_subs_pc_ai__yd_6</t>
  </si>
  <si>
    <t>2_all_policies_miti_pc_ai__yd_6</t>
  </si>
  <si>
    <t>2_all_policies_noST_pc_ai__yd_6</t>
  </si>
  <si>
    <t>2_vat_fuel_pc_ai__yd_6</t>
  </si>
  <si>
    <t>2_am_delayed_pnbsf_pc_ai__yd_6</t>
  </si>
  <si>
    <t>2_subsidy_elec_pc_ai__yd_6</t>
  </si>
  <si>
    <t>2_all_elec_pc_ai__yd_7</t>
  </si>
  <si>
    <t>2_subs_public_transport_pc_ai__yd_7</t>
  </si>
  <si>
    <t>2_all_subs_pc_ai__yd_7</t>
  </si>
  <si>
    <t>2_all_subs_noST_pc_ai__yd_7</t>
  </si>
  <si>
    <t>2_all_miti_noST_pc_ai__yd_7</t>
  </si>
  <si>
    <t>2_all_fuel_pc_ai__yd_7</t>
  </si>
  <si>
    <t>2_subsidy_fuel_indirect_pc_ai__yd_7</t>
  </si>
  <si>
    <t>2_am_pnbsf_newbenefs_pc_ai__yd_7</t>
  </si>
  <si>
    <t>2_subsidy_fuel_direct_pc_ai__yd_7</t>
  </si>
  <si>
    <t>2_am_pnbsf_transferinc_pc_ai__yd_7</t>
  </si>
  <si>
    <t>2_all_elec_noST_pc_ai__yd_7</t>
  </si>
  <si>
    <t>2_subsidy_elec_indirect_pc_ai__yd_7</t>
  </si>
  <si>
    <t>2_all_policies_noST_pc_ai__yd_7</t>
  </si>
  <si>
    <t>2_all_tax_pc_ai__yd_7</t>
  </si>
  <si>
    <t>2_subsidy_elec_direct_pc_ai__yd_7</t>
  </si>
  <si>
    <t>2_social_tranche_pc_ai__yd_7</t>
  </si>
  <si>
    <t>2_am_delayed_pnbsf_pc_ai__yd_7</t>
  </si>
  <si>
    <t>2_subsidy_elec_pc_ai__yd_7</t>
  </si>
  <si>
    <t>2_vat_elec_pc_ai__yd_7</t>
  </si>
  <si>
    <t>2_vat_fuel_pc_ai__yd_7</t>
  </si>
  <si>
    <t>2_all_miti_pc_ai__yd_7</t>
  </si>
  <si>
    <t>2_all_policies_miti_pc_ai__yd_7</t>
  </si>
  <si>
    <t>2_all_policies_pc_ai__yd_7</t>
  </si>
  <si>
    <t>2_subsidy_fuel_pc_ai__yd_7</t>
  </si>
  <si>
    <t>2_am_new_pnbsf_pc_ai__yd_7</t>
  </si>
  <si>
    <t>2_all_elec_noST_pc_ai__yd_8</t>
  </si>
  <si>
    <t>2_subsidy_fuel_indirect_pc_ai__yd_8</t>
  </si>
  <si>
    <t>2_subsidy_fuel_direct_pc_ai__yd_8</t>
  </si>
  <si>
    <t>2_all_policies_noST_pc_ai__yd_8</t>
  </si>
  <si>
    <t>2_subsidy_elec_pc_ai__yd_8</t>
  </si>
  <si>
    <t>2_social_tranche_pc_ai__yd_8</t>
  </si>
  <si>
    <t>2_subsidy_elec_indirect_pc_ai__yd_8</t>
  </si>
  <si>
    <t>2_am_pnbsf_transferinc_pc_ai__yd_8</t>
  </si>
  <si>
    <t>2_all_policies_miti_pc_ai__yd_8</t>
  </si>
  <si>
    <t>2_all_subs_noST_pc_ai__yd_8</t>
  </si>
  <si>
    <t>2_all_elec_pc_ai__yd_8</t>
  </si>
  <si>
    <t>2_all_tax_pc_ai__yd_8</t>
  </si>
  <si>
    <t>2_subsidy_fuel_pc_ai__yd_8</t>
  </si>
  <si>
    <t>2_subsidy_elec_direct_pc_ai__yd_8</t>
  </si>
  <si>
    <t>2_all_miti_noST_pc_ai__yd_8</t>
  </si>
  <si>
    <t>2_all_miti_pc_ai__yd_8</t>
  </si>
  <si>
    <t>2_vat_elec_pc_ai__yd_8</t>
  </si>
  <si>
    <t>2_am_pnbsf_newbenefs_pc_ai__yd_8</t>
  </si>
  <si>
    <t>2_all_subs_pc_ai__yd_8</t>
  </si>
  <si>
    <t>2_subs_public_transport_pc_ai__yd_8</t>
  </si>
  <si>
    <t>2_am_delayed_pnbsf_pc_ai__yd_8</t>
  </si>
  <si>
    <t>2_all_policies_pc_ai__yd_8</t>
  </si>
  <si>
    <t>2_all_fuel_pc_ai__yd_8</t>
  </si>
  <si>
    <t>2_am_new_pnbsf_pc_ai__yd_8</t>
  </si>
  <si>
    <t>2_vat_fuel_pc_ai__yd_8</t>
  </si>
  <si>
    <t>2_social_tranche_pc_ai__yd_9</t>
  </si>
  <si>
    <t>2_am_new_pnbsf_pc_ai__yd_9</t>
  </si>
  <si>
    <t>2_all_miti_pc_ai__yd_9</t>
  </si>
  <si>
    <t>2_vat_fuel_pc_ai__yd_9</t>
  </si>
  <si>
    <t>2_subsidy_fuel_pc_ai__yd_9</t>
  </si>
  <si>
    <t>2_subsidy_elec_direct_pc_ai__yd_9</t>
  </si>
  <si>
    <t>2_am_pnbsf_newbenefs_pc_ai__yd_9</t>
  </si>
  <si>
    <t>2_all_policies_noST_pc_ai__yd_9</t>
  </si>
  <si>
    <t>2_all_subs_pc_ai__yd_9</t>
  </si>
  <si>
    <t>2_all_fuel_pc_ai__yd_9</t>
  </si>
  <si>
    <t>2_all_subs_noST_pc_ai__yd_9</t>
  </si>
  <si>
    <t>2_subsidy_fuel_direct_pc_ai__yd_9</t>
  </si>
  <si>
    <t>2_am_delayed_pnbsf_pc_ai__yd_9</t>
  </si>
  <si>
    <t>2_subsidy_elec_pc_ai__yd_9</t>
  </si>
  <si>
    <t>2_am_pnbsf_transferinc_pc_ai__yd_9</t>
  </si>
  <si>
    <t>2_all_elec_noST_pc_ai__yd_9</t>
  </si>
  <si>
    <t>2_all_tax_pc_ai__yd_9</t>
  </si>
  <si>
    <t>2_all_elec_pc_ai__yd_9</t>
  </si>
  <si>
    <t>2_all_policies_miti_pc_ai__yd_9</t>
  </si>
  <si>
    <t>2_vat_elec_pc_ai__yd_9</t>
  </si>
  <si>
    <t>2_subsidy_elec_indirect_pc_ai__yd_9</t>
  </si>
  <si>
    <t>2_subsidy_fuel_indirect_pc_ai__yd_9</t>
  </si>
  <si>
    <t>2_all_policies_pc_ai__yd_9</t>
  </si>
  <si>
    <t>2_subs_public_transport_pc_ai__yd_9</t>
  </si>
  <si>
    <t>2_all_miti_noST_pc_ai__yd_9</t>
  </si>
  <si>
    <t>2_subsidy_fuel_indirect_pc_ai__yd_10</t>
  </si>
  <si>
    <t>2_am_new_pnbsf_pc_ai__yd_10</t>
  </si>
  <si>
    <t>2_am_delayed_pnbsf_pc_ai__yd_10</t>
  </si>
  <si>
    <t>2_social_tranche_pc_ai__yd_10</t>
  </si>
  <si>
    <t>2_all_policies_pc_ai__yd_10</t>
  </si>
  <si>
    <t>2_subsidy_fuel_pc_ai__yd_10</t>
  </si>
  <si>
    <t>2_subsidy_fuel_direct_pc_ai__yd_10</t>
  </si>
  <si>
    <t>2_all_miti_noST_pc_ai__yd_10</t>
  </si>
  <si>
    <t>2_vat_fuel_pc_ai__yd_10</t>
  </si>
  <si>
    <t>2_all_subs_noST_pc_ai__yd_10</t>
  </si>
  <si>
    <t>2_all_miti_pc_ai__yd_10</t>
  </si>
  <si>
    <t>2_all_elec_noST_pc_ai__yd_10</t>
  </si>
  <si>
    <t>2_all_fuel_pc_ai__yd_10</t>
  </si>
  <si>
    <t>2_subs_public_transport_pc_ai__yd_10</t>
  </si>
  <si>
    <t>2_subsidy_elec_indirect_pc_ai__yd_10</t>
  </si>
  <si>
    <t>2_all_policies_noST_pc_ai__yd_10</t>
  </si>
  <si>
    <t>2_subsidy_elec_direct_pc_ai__yd_10</t>
  </si>
  <si>
    <t>2_all_subs_pc_ai__yd_10</t>
  </si>
  <si>
    <t>2_all_tax_pc_ai__yd_10</t>
  </si>
  <si>
    <t>2_am_pnbsf_transferinc_pc_ai__yd_10</t>
  </si>
  <si>
    <t>2_subsidy_elec_pc_ai__yd_10</t>
  </si>
  <si>
    <t>2_am_pnbsf_newbenefs_pc_ai__yd_10</t>
  </si>
  <si>
    <t>2_all_policies_miti_pc_ai__yd_10</t>
  </si>
  <si>
    <t>2_all_elec_pc_ai__yd_10</t>
  </si>
  <si>
    <t>2_vat_elec_pc_ai__yd_10</t>
  </si>
  <si>
    <t>2_subsidy_fuel_direct_pc_beneficiaries__yd_0</t>
  </si>
  <si>
    <t>2_subsidy_fuel_direct_pc_benefits__yd_0</t>
  </si>
  <si>
    <t>2_subsidy_fuel_direct_pc_coverage__yd_0</t>
  </si>
  <si>
    <t>2_subsidy_fuel_direct_pc_mean__yd_0</t>
  </si>
  <si>
    <t>2_am_delayed_pnbsf_pc_beneficiaries__yd_0</t>
  </si>
  <si>
    <t>2_am_delayed_pnbsf_pc_benefits__yd_0</t>
  </si>
  <si>
    <t>2_am_delayed_pnbsf_pc_coverage__yd_0</t>
  </si>
  <si>
    <t>2_am_delayed_pnbsf_pc_mean__yd_0</t>
  </si>
  <si>
    <t>2_social_tranche_pc_beneficiaries__yd_0</t>
  </si>
  <si>
    <t>2_social_tranche_pc_benefits__yd_0</t>
  </si>
  <si>
    <t>2_social_tranche_pc_coverage__yd_0</t>
  </si>
  <si>
    <t>2_social_tranche_pc_mean__yd_0</t>
  </si>
  <si>
    <t>2_subs_public_transport_pc_beneficiaries__yd_0</t>
  </si>
  <si>
    <t>2_subs_public_transport_pc_benefits__yd_0</t>
  </si>
  <si>
    <t>2_subs_public_transport_pc_coverage__yd_0</t>
  </si>
  <si>
    <t>2_subs_public_transport_pc_mean__yd_0</t>
  </si>
  <si>
    <t>2_am_pnbsf_transferinc_pc_beneficiaries__yd_0</t>
  </si>
  <si>
    <t>2_am_pnbsf_transferinc_pc_benefits__yd_0</t>
  </si>
  <si>
    <t>2_am_pnbsf_transferinc_pc_coverage__yd_0</t>
  </si>
  <si>
    <t>2_am_pnbsf_transferinc_pc_mean__yd_0</t>
  </si>
  <si>
    <t>2_am_pnbsf_newbenefs_pc_beneficiaries__yd_0</t>
  </si>
  <si>
    <t>2_am_pnbsf_newbenefs_pc_benefits__yd_0</t>
  </si>
  <si>
    <t>2_am_pnbsf_newbenefs_pc_coverage__yd_0</t>
  </si>
  <si>
    <t>2_am_pnbsf_newbenefs_pc_mean__yd_0</t>
  </si>
  <si>
    <t>2_all_miti_pc_beneficiaries__yd_0</t>
  </si>
  <si>
    <t>2_all_miti_pc_benefits__yd_0</t>
  </si>
  <si>
    <t>2_all_miti_pc_coverage__yd_0</t>
  </si>
  <si>
    <t>2_all_miti_pc_mean__yd_0</t>
  </si>
  <si>
    <t>2_all_miti_noST_pc_beneficiaries__yd_0</t>
  </si>
  <si>
    <t>2_all_miti_noST_pc_benefits__yd_0</t>
  </si>
  <si>
    <t>2_all_miti_noST_pc_coverage__yd_0</t>
  </si>
  <si>
    <t>2_all_miti_noST_pc_mean__yd_0</t>
  </si>
  <si>
    <t>2_all_policies_miti_pc_beneficiaries__yd_0</t>
  </si>
  <si>
    <t>2_all_policies_miti_pc_benefits__yd_0</t>
  </si>
  <si>
    <t>2_all_policies_miti_pc_coverage__yd_0</t>
  </si>
  <si>
    <t>2_all_policies_miti_pc_mean__yd_0</t>
  </si>
  <si>
    <t>2_all_policies_noST_pc_beneficiaries__yd_0</t>
  </si>
  <si>
    <t>2_all_policies_noST_pc_benefits__yd_0</t>
  </si>
  <si>
    <t>2_all_policies_noST_pc_coverage__yd_0</t>
  </si>
  <si>
    <t>2_all_policies_noST_pc_mean__yd_0</t>
  </si>
  <si>
    <t>2_all_policies_pc_beneficiaries__yd_0</t>
  </si>
  <si>
    <t>2_all_policies_pc_benefits__yd_0</t>
  </si>
  <si>
    <t>2_all_policies_pc_coverage__yd_0</t>
  </si>
  <si>
    <t>2_all_policies_pc_mean__yd_0</t>
  </si>
  <si>
    <t>2_subsidy_fuel_indirect_pc_beneficiaries__yd_0</t>
  </si>
  <si>
    <t>2_subsidy_fuel_indirect_pc_benefits__yd_0</t>
  </si>
  <si>
    <t>2_subsidy_fuel_indirect_pc_coverage__yd_0</t>
  </si>
  <si>
    <t>2_subsidy_fuel_indirect_pc_mean__yd_0</t>
  </si>
  <si>
    <t>2_all_tax_pc_beneficiaries__yd_0</t>
  </si>
  <si>
    <t>2_all_tax_pc_benefits__yd_0</t>
  </si>
  <si>
    <t>2_all_tax_pc_coverage__yd_0</t>
  </si>
  <si>
    <t>2_all_tax_pc_mean__yd_0</t>
  </si>
  <si>
    <t>2_all_subs_noST_pc_beneficiaries__yd_0</t>
  </si>
  <si>
    <t>2_all_subs_noST_pc_benefits__yd_0</t>
  </si>
  <si>
    <t>2_all_subs_noST_pc_coverage__yd_0</t>
  </si>
  <si>
    <t>2_all_subs_noST_pc_mean__yd_0</t>
  </si>
  <si>
    <t>2_all_subs_pc_beneficiaries__yd_0</t>
  </si>
  <si>
    <t>2_all_subs_pc_benefits__yd_0</t>
  </si>
  <si>
    <t>2_all_subs_pc_coverage__yd_0</t>
  </si>
  <si>
    <t>2_all_subs_pc_mean__yd_0</t>
  </si>
  <si>
    <t>2_all_elec_noST_pc_beneficiaries__yd_0</t>
  </si>
  <si>
    <t>2_all_elec_noST_pc_benefits__yd_0</t>
  </si>
  <si>
    <t>2_all_elec_noST_pc_coverage__yd_0</t>
  </si>
  <si>
    <t>2_all_elec_noST_pc_mean__yd_0</t>
  </si>
  <si>
    <t>2_all_elec_pc_beneficiaries__yd_0</t>
  </si>
  <si>
    <t>2_all_elec_pc_benefits__yd_0</t>
  </si>
  <si>
    <t>2_all_elec_pc_coverage__yd_0</t>
  </si>
  <si>
    <t>2_all_elec_pc_mean__yd_0</t>
  </si>
  <si>
    <t>2_all_fuel_pc_beneficiaries__yd_0</t>
  </si>
  <si>
    <t>2_all_fuel_pc_benefits__yd_0</t>
  </si>
  <si>
    <t>2_all_fuel_pc_coverage__yd_0</t>
  </si>
  <si>
    <t>2_all_fuel_pc_mean__yd_0</t>
  </si>
  <si>
    <t>2_subsidy_fuel_pc_beneficiaries__yd_0</t>
  </si>
  <si>
    <t>2_subsidy_fuel_pc_benefits__yd_0</t>
  </si>
  <si>
    <t>2_subsidy_fuel_pc_coverage__yd_0</t>
  </si>
  <si>
    <t>2_subsidy_fuel_pc_mean__yd_0</t>
  </si>
  <si>
    <t>2_subsidy_elec_direct_pc_beneficiaries__yd_0</t>
  </si>
  <si>
    <t>2_subsidy_elec_direct_pc_benefits__yd_0</t>
  </si>
  <si>
    <t>2_subsidy_elec_direct_pc_coverage__yd_0</t>
  </si>
  <si>
    <t>2_subsidy_elec_direct_pc_mean__yd_0</t>
  </si>
  <si>
    <t>2_subsidy_elec_indirect_pc_beneficiaries__yd_0</t>
  </si>
  <si>
    <t>2_subsidy_elec_indirect_pc_benefits__yd_0</t>
  </si>
  <si>
    <t>2_subsidy_elec_indirect_pc_coverage__yd_0</t>
  </si>
  <si>
    <t>2_subsidy_elec_indirect_pc_mean__yd_0</t>
  </si>
  <si>
    <t>2_subsidy_elec_pc_beneficiaries__yd_0</t>
  </si>
  <si>
    <t>2_subsidy_elec_pc_benefits__yd_0</t>
  </si>
  <si>
    <t>2_subsidy_elec_pc_coverage__yd_0</t>
  </si>
  <si>
    <t>2_subsidy_elec_pc_mean__yd_0</t>
  </si>
  <si>
    <t>2_vat_elec_pc_beneficiaries__yd_0</t>
  </si>
  <si>
    <t>2_vat_elec_pc_benefits__yd_0</t>
  </si>
  <si>
    <t>2_vat_elec_pc_coverage__yd_0</t>
  </si>
  <si>
    <t>2_vat_elec_pc_mean__yd_0</t>
  </si>
  <si>
    <t>2_vat_fuel_pc_beneficiaries__yd_0</t>
  </si>
  <si>
    <t>2_vat_fuel_pc_benefits__yd_0</t>
  </si>
  <si>
    <t>2_vat_fuel_pc_coverage__yd_0</t>
  </si>
  <si>
    <t>2_vat_fuel_pc_mean__yd_0</t>
  </si>
  <si>
    <t>2_am_new_pnbsf_pc_beneficiaries__yd_0</t>
  </si>
  <si>
    <t>2_am_new_pnbsf_pc_benefits__yd_0</t>
  </si>
  <si>
    <t>2_am_new_pnbsf_pc_coverage__yd_0</t>
  </si>
  <si>
    <t>2_am_new_pnbsf_pc_mean__yd_0</t>
  </si>
  <si>
    <t>2_yd_pc_gini__yd_0</t>
  </si>
  <si>
    <t>2_yd_pc_theil__yd_0</t>
  </si>
  <si>
    <t>2_inc_am_new_pnbsf_gini__yd_0</t>
  </si>
  <si>
    <t>2_inc_am_new_pnbsf_theil__yd_0</t>
  </si>
  <si>
    <t>2_inc_am_new_pnbsf_fgt0__yd_0</t>
  </si>
  <si>
    <t>2_inc_am_new_pnbsf_fgt1__yd_0</t>
  </si>
  <si>
    <t>2_inc_am_new_pnbsf_fgt2__yd_0</t>
  </si>
  <si>
    <t>2_inc_am_delayed_pnbsf_gini__yd_0</t>
  </si>
  <si>
    <t>2_inc_am_delayed_pnbsf_theil__yd_0</t>
  </si>
  <si>
    <t>2_inc_am_delayed_pnbsf_fgt0__yd_0</t>
  </si>
  <si>
    <t>2_inc_am_delayed_pnbsf_fgt1__yd_0</t>
  </si>
  <si>
    <t>2_inc_am_delayed_pnbsf_fgt2__yd_0</t>
  </si>
  <si>
    <t>2_inc_social_tranche_gini__yd_0</t>
  </si>
  <si>
    <t>2_inc_social_tranche_theil__yd_0</t>
  </si>
  <si>
    <t>2_inc_social_tranche_fgt0__yd_0</t>
  </si>
  <si>
    <t>2_inc_social_tranche_fgt1__yd_0</t>
  </si>
  <si>
    <t>2_inc_social_tranche_fgt2__yd_0</t>
  </si>
  <si>
    <t>2_inc_subs_public_transport_gini__yd_0</t>
  </si>
  <si>
    <t>2_inc_subs_public_transport_theil__yd_0</t>
  </si>
  <si>
    <t>2_inc_subs_public_transport_fgt0__yd_0</t>
  </si>
  <si>
    <t>2_inc_subs_public_transport_fgt1__yd_0</t>
  </si>
  <si>
    <t>2_inc_subs_public_transport_fgt2__yd_0</t>
  </si>
  <si>
    <t>2_inc_am_pnbsf_transferinc_gini__yd_0</t>
  </si>
  <si>
    <t>2_inc_am_pnbsf_transferinc_theil__yd_0</t>
  </si>
  <si>
    <t>2_inc_am_pnbsf_transferinc_fgt0__yd_0</t>
  </si>
  <si>
    <t>2_inc_am_pnbsf_transferinc_fgt1__yd_0</t>
  </si>
  <si>
    <t>2_inc_am_pnbsf_transferinc_fgt2__yd_0</t>
  </si>
  <si>
    <t>2_inc_am_pnbsf_newbenefs_gini__yd_0</t>
  </si>
  <si>
    <t>2_inc_am_pnbsf_newbenefs_theil__yd_0</t>
  </si>
  <si>
    <t>2_inc_am_pnbsf_newbenefs_fgt0__yd_0</t>
  </si>
  <si>
    <t>2_inc_am_pnbsf_newbenefs_fgt1__yd_0</t>
  </si>
  <si>
    <t>2_inc_am_pnbsf_newbenefs_fgt2__yd_0</t>
  </si>
  <si>
    <t>2_inc_all_miti_gini__yd_0</t>
  </si>
  <si>
    <t>2_inc_all_miti_theil__yd_0</t>
  </si>
  <si>
    <t>2_inc_all_miti_fgt0__yd_0</t>
  </si>
  <si>
    <t>2_inc_all_miti_fgt1__yd_0</t>
  </si>
  <si>
    <t>2_inc_all_miti_fgt2__yd_0</t>
  </si>
  <si>
    <t>2_inc_all_miti_noST_gini__yd_0</t>
  </si>
  <si>
    <t>2_inc_all_miti_noST_theil__yd_0</t>
  </si>
  <si>
    <t>2_inc_all_miti_noST_fgt0__yd_0</t>
  </si>
  <si>
    <t>2_inc_all_miti_noST_fgt1__yd_0</t>
  </si>
  <si>
    <t>2_inc_all_miti_noST_fgt2__yd_0</t>
  </si>
  <si>
    <t>2_inc_all_policies_miti_gini__yd_0</t>
  </si>
  <si>
    <t>2_inc_all_policies_miti_theil__yd_0</t>
  </si>
  <si>
    <t>2_inc_all_policies_miti_fgt0__yd_0</t>
  </si>
  <si>
    <t>2_inc_all_policies_miti_fgt1__yd_0</t>
  </si>
  <si>
    <t>2_inc_all_policies_miti_fgt2__yd_0</t>
  </si>
  <si>
    <t>2_inc_all_policies_noST_gini__yd_0</t>
  </si>
  <si>
    <t>2_inc_all_policies_noST_theil__yd_0</t>
  </si>
  <si>
    <t>2_inc_all_policies_noST_fgt0__yd_0</t>
  </si>
  <si>
    <t>2_inc_all_policies_noST_fgt1__yd_0</t>
  </si>
  <si>
    <t>2_inc_all_policies_noST_fgt2__yd_0</t>
  </si>
  <si>
    <t>2_yd_pc_fgt0__yd_0</t>
  </si>
  <si>
    <t>2_yd_pc_fgt1__yd_0</t>
  </si>
  <si>
    <t>2_yd_pc_fgt2__yd_0</t>
  </si>
  <si>
    <t>2_inc_vat_elec_gini__yd_0</t>
  </si>
  <si>
    <t>2_inc_vat_elec_theil__yd_0</t>
  </si>
  <si>
    <t>2_inc_all_policies_gini__yd_0</t>
  </si>
  <si>
    <t>2_inc_all_policies_theil__yd_0</t>
  </si>
  <si>
    <t>2_inc_all_policies_fgt0__yd_0</t>
  </si>
  <si>
    <t>2_inc_all_policies_fgt1__yd_0</t>
  </si>
  <si>
    <t>2_inc_all_policies_fgt2__yd_0</t>
  </si>
  <si>
    <t>2_inc_all_tax_gini__yd_0</t>
  </si>
  <si>
    <t>2_inc_all_tax_theil__yd_0</t>
  </si>
  <si>
    <t>2_inc_all_tax_fgt0__yd_0</t>
  </si>
  <si>
    <t>2_inc_all_tax_fgt1__yd_0</t>
  </si>
  <si>
    <t>2_inc_all_tax_fgt2__yd_0</t>
  </si>
  <si>
    <t>2_inc_all_subs_noST_gini__yd_0</t>
  </si>
  <si>
    <t>2_inc_all_subs_noST_theil__yd_0</t>
  </si>
  <si>
    <t>2_inc_all_subs_noST_fgt0__yd_0</t>
  </si>
  <si>
    <t>2_inc_all_subs_noST_fgt1__yd_0</t>
  </si>
  <si>
    <t>2_inc_all_subs_noST_fgt2__yd_0</t>
  </si>
  <si>
    <t>2_inc_all_subs_gini__yd_0</t>
  </si>
  <si>
    <t>2_inc_all_subs_theil__yd_0</t>
  </si>
  <si>
    <t>2_inc_all_subs_fgt0__yd_0</t>
  </si>
  <si>
    <t>2_inc_all_subs_fgt1__yd_0</t>
  </si>
  <si>
    <t>2_inc_all_subs_fgt2__yd_0</t>
  </si>
  <si>
    <t>2_inc_all_elec_noST_gini__yd_0</t>
  </si>
  <si>
    <t>2_inc_all_elec_noST_theil__yd_0</t>
  </si>
  <si>
    <t>2_inc_all_elec_noST_fgt0__yd_0</t>
  </si>
  <si>
    <t>2_inc_all_elec_noST_fgt1__yd_0</t>
  </si>
  <si>
    <t>2_inc_all_elec_noST_fgt2__yd_0</t>
  </si>
  <si>
    <t>2_inc_all_elec_gini__yd_0</t>
  </si>
  <si>
    <t>2_inc_all_elec_theil__yd_0</t>
  </si>
  <si>
    <t>2_inc_all_elec_fgt0__yd_0</t>
  </si>
  <si>
    <t>2_inc_all_elec_fgt1__yd_0</t>
  </si>
  <si>
    <t>2_inc_all_elec_fgt2__yd_0</t>
  </si>
  <si>
    <t>2_inc_all_fuel_gini__yd_0</t>
  </si>
  <si>
    <t>2_inc_all_fuel_theil__yd_0</t>
  </si>
  <si>
    <t>2_inc_all_fuel_fgt0__yd_0</t>
  </si>
  <si>
    <t>2_inc_all_fuel_fgt1__yd_0</t>
  </si>
  <si>
    <t>2_inc_all_fuel_fgt2__yd_0</t>
  </si>
  <si>
    <t>2_inc_vat_elec_fgt0__yd_0</t>
  </si>
  <si>
    <t>2_inc_vat_elec_fgt1__yd_0</t>
  </si>
  <si>
    <t>2_inc_vat_elec_fgt2__yd_0</t>
  </si>
  <si>
    <t>2_inc_vat_fuel_gini__yd_0</t>
  </si>
  <si>
    <t>2_inc_vat_fuel_theil__yd_0</t>
  </si>
  <si>
    <t>2_inc_vat_fuel_fgt0__yd_0</t>
  </si>
  <si>
    <t>2_inc_vat_fuel_fgt1__yd_0</t>
  </si>
  <si>
    <t>2_inc_vat_fuel_fgt2__yd_0</t>
  </si>
  <si>
    <t>2_inc_subsidy_fuel_direct_gini__yd_0</t>
  </si>
  <si>
    <t>2_inc_subsidy_fuel_direct_theil__yd_0</t>
  </si>
  <si>
    <t>2_inc_subsidy_fuel_direct_fgt0__yd_0</t>
  </si>
  <si>
    <t>2_inc_subsidy_fuel_direct_fgt1__yd_0</t>
  </si>
  <si>
    <t>2_inc_subsidy_fuel_direct_fgt2__yd_0</t>
  </si>
  <si>
    <t>2_inc_subsidy_fuel_indirect_gini__yd_0</t>
  </si>
  <si>
    <t>2_inc_subsidy_fuel_indirect_theil__yd_0</t>
  </si>
  <si>
    <t>2_inc_subsidy_fuel_indirect_fgt0__yd_0</t>
  </si>
  <si>
    <t>2_inc_subsidy_fuel_indirect_fgt1__yd_0</t>
  </si>
  <si>
    <t>2_inc_subsidy_fuel_indirect_fgt2__yd_0</t>
  </si>
  <si>
    <t>2_inc_subsidy_fuel_gini__yd_0</t>
  </si>
  <si>
    <t>2_inc_subsidy_fuel_theil__yd_0</t>
  </si>
  <si>
    <t>2_inc_subsidy_fuel_fgt0__yd_0</t>
  </si>
  <si>
    <t>2_inc_subsidy_fuel_fgt1__yd_0</t>
  </si>
  <si>
    <t>2_inc_subsidy_fuel_fgt2__yd_0</t>
  </si>
  <si>
    <t>2_inc_subsidy_elec_direct_gini__yd_0</t>
  </si>
  <si>
    <t>2_inc_subsidy_elec_direct_theil__yd_0</t>
  </si>
  <si>
    <t>2_inc_subsidy_elec_direct_fgt0__yd_0</t>
  </si>
  <si>
    <t>2_inc_subsidy_elec_direct_fgt1__yd_0</t>
  </si>
  <si>
    <t>2_inc_subsidy_elec_direct_fgt2__yd_0</t>
  </si>
  <si>
    <t>2_inc_subsidy_elec_indirect_gini__yd_0</t>
  </si>
  <si>
    <t>2_inc_subsidy_elec_indirect_theil__yd_0</t>
  </si>
  <si>
    <t>2_inc_subsidy_elec_indirect_fgt0__yd_0</t>
  </si>
  <si>
    <t>2_inc_subsidy_elec_indirect_fgt1__yd_0</t>
  </si>
  <si>
    <t>2_inc_subsidy_elec_indirect_fgt2__yd_0</t>
  </si>
  <si>
    <t>2_inc_subsidy_elec_gini__yd_0</t>
  </si>
  <si>
    <t>2_inc_subsidy_elec_theil__yd_0</t>
  </si>
  <si>
    <t>2_inc_subsidy_elec_fgt0__yd_0</t>
  </si>
  <si>
    <t>2_inc_subsidy_elec_fgt1__yd_0</t>
  </si>
  <si>
    <t>2_inc_subsidy_elec_fgt2__yd_0</t>
  </si>
  <si>
    <t>3_subsidy_fuel_direct_pc_beneficiaries__yd_1</t>
  </si>
  <si>
    <t>3_subsidy_fuel_direct_pc_benefits__yd_1</t>
  </si>
  <si>
    <t>3_subsidy_fuel_direct_pc_coverage__yd_1</t>
  </si>
  <si>
    <t>3_subsidy_fuel_direct_pc_mean__yd_1</t>
  </si>
  <si>
    <t>3_am_delayed_pnbsf_pc_beneficiaries__yd_1</t>
  </si>
  <si>
    <t>3_am_delayed_pnbsf_pc_benefits__yd_1</t>
  </si>
  <si>
    <t>3_am_delayed_pnbsf_pc_coverage__yd_1</t>
  </si>
  <si>
    <t>3_am_delayed_pnbsf_pc_mean__yd_1</t>
  </si>
  <si>
    <t>3_social_tranche_pc_beneficiaries__yd_1</t>
  </si>
  <si>
    <t>3_social_tranche_pc_benefits__yd_1</t>
  </si>
  <si>
    <t>3_social_tranche_pc_coverage__yd_1</t>
  </si>
  <si>
    <t>3_social_tranche_pc_mean__yd_1</t>
  </si>
  <si>
    <t>3_subs_public_transport_pc_beneficiaries__yd_1</t>
  </si>
  <si>
    <t>3_subs_public_transport_pc_benefits__yd_1</t>
  </si>
  <si>
    <t>3_subs_public_transport_pc_coverage__yd_1</t>
  </si>
  <si>
    <t>3_subs_public_transport_pc_mean__yd_1</t>
  </si>
  <si>
    <t>3_am_pnbsf_transferinc_pc_beneficiaries__yd_1</t>
  </si>
  <si>
    <t>3_am_pnbsf_transferinc_pc_benefits__yd_1</t>
  </si>
  <si>
    <t>3_am_pnbsf_transferinc_pc_coverage__yd_1</t>
  </si>
  <si>
    <t>3_am_pnbsf_transferinc_pc_mean__yd_1</t>
  </si>
  <si>
    <t>3_am_pnbsf_newbenefs_pc_beneficiaries__yd_1</t>
  </si>
  <si>
    <t>3_am_pnbsf_newbenefs_pc_benefits__yd_1</t>
  </si>
  <si>
    <t>3_am_pnbsf_newbenefs_pc_coverage__yd_1</t>
  </si>
  <si>
    <t>3_am_pnbsf_newbenefs_pc_mean__yd_1</t>
  </si>
  <si>
    <t>3_all_miti_pc_beneficiaries__yd_1</t>
  </si>
  <si>
    <t>3_all_miti_pc_benefits__yd_1</t>
  </si>
  <si>
    <t>3_all_miti_pc_coverage__yd_1</t>
  </si>
  <si>
    <t>3_all_miti_pc_mean__yd_1</t>
  </si>
  <si>
    <t>3_all_miti_noST_pc_beneficiaries__yd_1</t>
  </si>
  <si>
    <t>3_all_miti_noST_pc_benefits__yd_1</t>
  </si>
  <si>
    <t>3_all_miti_noST_pc_coverage__yd_1</t>
  </si>
  <si>
    <t>3_all_miti_noST_pc_mean__yd_1</t>
  </si>
  <si>
    <t>3_all_policies_miti_pc_beneficiaries__yd_1</t>
  </si>
  <si>
    <t>3_all_policies_miti_pc_benefits__yd_1</t>
  </si>
  <si>
    <t>3_all_policies_miti_pc_coverage__yd_1</t>
  </si>
  <si>
    <t>3_all_policies_miti_pc_mean__yd_1</t>
  </si>
  <si>
    <t>3_all_policies_noST_pc_beneficiaries__yd_1</t>
  </si>
  <si>
    <t>3_all_policies_noST_pc_benefits__yd_1</t>
  </si>
  <si>
    <t>3_all_policies_noST_pc_coverage__yd_1</t>
  </si>
  <si>
    <t>3_all_policies_noST_pc_mean__yd_1</t>
  </si>
  <si>
    <t>3_all_policies_pc_beneficiaries__yd_1</t>
  </si>
  <si>
    <t>3_all_policies_pc_benefits__yd_1</t>
  </si>
  <si>
    <t>3_all_policies_pc_coverage__yd_1</t>
  </si>
  <si>
    <t>3_all_policies_pc_mean__yd_1</t>
  </si>
  <si>
    <t>3_subsidy_fuel_indirect_pc_beneficiaries__yd_1</t>
  </si>
  <si>
    <t>3_subsidy_fuel_indirect_pc_benefits__yd_1</t>
  </si>
  <si>
    <t>3_subsidy_fuel_indirect_pc_coverage__yd_1</t>
  </si>
  <si>
    <t>3_subsidy_fuel_indirect_pc_mean__yd_1</t>
  </si>
  <si>
    <t>3_all_tax_pc_beneficiaries__yd_1</t>
  </si>
  <si>
    <t>3_all_tax_pc_benefits__yd_1</t>
  </si>
  <si>
    <t>3_all_tax_pc_coverage__yd_1</t>
  </si>
  <si>
    <t>3_all_tax_pc_mean__yd_1</t>
  </si>
  <si>
    <t>3_all_subs_noST_pc_beneficiaries__yd_1</t>
  </si>
  <si>
    <t>3_all_subs_noST_pc_benefits__yd_1</t>
  </si>
  <si>
    <t>3_all_subs_noST_pc_coverage__yd_1</t>
  </si>
  <si>
    <t>3_all_subs_noST_pc_mean__yd_1</t>
  </si>
  <si>
    <t>3_all_subs_pc_beneficiaries__yd_1</t>
  </si>
  <si>
    <t>3_all_subs_pc_benefits__yd_1</t>
  </si>
  <si>
    <t>3_all_subs_pc_coverage__yd_1</t>
  </si>
  <si>
    <t>3_all_subs_pc_mean__yd_1</t>
  </si>
  <si>
    <t>3_all_elec_noST_pc_beneficiaries__yd_1</t>
  </si>
  <si>
    <t>3_all_elec_noST_pc_benefits__yd_1</t>
  </si>
  <si>
    <t>3_all_elec_noST_pc_coverage__yd_1</t>
  </si>
  <si>
    <t>3_all_elec_noST_pc_mean__yd_1</t>
  </si>
  <si>
    <t>3_all_elec_pc_beneficiaries__yd_1</t>
  </si>
  <si>
    <t>3_all_elec_pc_benefits__yd_1</t>
  </si>
  <si>
    <t>3_all_elec_pc_coverage__yd_1</t>
  </si>
  <si>
    <t>3_all_elec_pc_mean__yd_1</t>
  </si>
  <si>
    <t>3_all_fuel_pc_beneficiaries__yd_1</t>
  </si>
  <si>
    <t>3_all_fuel_pc_benefits__yd_1</t>
  </si>
  <si>
    <t>3_all_fuel_pc_coverage__yd_1</t>
  </si>
  <si>
    <t>3_all_fuel_pc_mean__yd_1</t>
  </si>
  <si>
    <t>3_subsidy_fuel_pc_beneficiaries__yd_1</t>
  </si>
  <si>
    <t>3_subsidy_fuel_pc_benefits__yd_1</t>
  </si>
  <si>
    <t>3_subsidy_fuel_pc_coverage__yd_1</t>
  </si>
  <si>
    <t>3_subsidy_fuel_pc_mean__yd_1</t>
  </si>
  <si>
    <t>3_subsidy_elec_direct_pc_beneficiaries__yd_1</t>
  </si>
  <si>
    <t>3_subsidy_elec_direct_pc_benefits__yd_1</t>
  </si>
  <si>
    <t>3_subsidy_elec_direct_pc_coverage__yd_1</t>
  </si>
  <si>
    <t>3_subsidy_elec_direct_pc_mean__yd_1</t>
  </si>
  <si>
    <t>3_subsidy_elec_indirect_pc_beneficiaries__yd_1</t>
  </si>
  <si>
    <t>3_subsidy_elec_indirect_pc_benefits__yd_1</t>
  </si>
  <si>
    <t>3_subsidy_elec_indirect_pc_coverage__yd_1</t>
  </si>
  <si>
    <t>3_subsidy_elec_indirect_pc_mean__yd_1</t>
  </si>
  <si>
    <t>3_subsidy_elec_pc_beneficiaries__yd_1</t>
  </si>
  <si>
    <t>3_subsidy_elec_pc_benefits__yd_1</t>
  </si>
  <si>
    <t>3_subsidy_elec_pc_coverage__yd_1</t>
  </si>
  <si>
    <t>3_subsidy_elec_pc_mean__yd_1</t>
  </si>
  <si>
    <t>3_vat_elec_pc_beneficiaries__yd_1</t>
  </si>
  <si>
    <t>3_vat_elec_pc_benefits__yd_1</t>
  </si>
  <si>
    <t>3_vat_elec_pc_coverage__yd_1</t>
  </si>
  <si>
    <t>3_vat_elec_pc_mean__yd_1</t>
  </si>
  <si>
    <t>3_vat_fuel_pc_beneficiaries__yd_1</t>
  </si>
  <si>
    <t>3_vat_fuel_pc_benefits__yd_1</t>
  </si>
  <si>
    <t>3_vat_fuel_pc_coverage__yd_1</t>
  </si>
  <si>
    <t>3_vat_fuel_pc_mean__yd_1</t>
  </si>
  <si>
    <t>3_am_new_pnbsf_pc_beneficiaries__yd_1</t>
  </si>
  <si>
    <t>3_am_new_pnbsf_pc_benefits__yd_1</t>
  </si>
  <si>
    <t>3_am_new_pnbsf_pc_coverage__yd_1</t>
  </si>
  <si>
    <t>3_am_new_pnbsf_pc_mean__yd_1</t>
  </si>
  <si>
    <t>3_subsidy_fuel_direct_pc_beneficiaries__yd_2</t>
  </si>
  <si>
    <t>3_subsidy_fuel_direct_pc_benefits__yd_2</t>
  </si>
  <si>
    <t>3_subsidy_fuel_direct_pc_coverage__yd_2</t>
  </si>
  <si>
    <t>3_subsidy_fuel_direct_pc_mean__yd_2</t>
  </si>
  <si>
    <t>3_am_delayed_pnbsf_pc_beneficiaries__yd_2</t>
  </si>
  <si>
    <t>3_am_delayed_pnbsf_pc_benefits__yd_2</t>
  </si>
  <si>
    <t>3_am_delayed_pnbsf_pc_coverage__yd_2</t>
  </si>
  <si>
    <t>3_am_delayed_pnbsf_pc_mean__yd_2</t>
  </si>
  <si>
    <t>3_social_tranche_pc_beneficiaries__yd_2</t>
  </si>
  <si>
    <t>3_social_tranche_pc_benefits__yd_2</t>
  </si>
  <si>
    <t>3_social_tranche_pc_coverage__yd_2</t>
  </si>
  <si>
    <t>3_social_tranche_pc_mean__yd_2</t>
  </si>
  <si>
    <t>3_subs_public_transport_pc_beneficiaries__yd_2</t>
  </si>
  <si>
    <t>3_subs_public_transport_pc_benefits__yd_2</t>
  </si>
  <si>
    <t>3_subs_public_transport_pc_coverage__yd_2</t>
  </si>
  <si>
    <t>3_subs_public_transport_pc_mean__yd_2</t>
  </si>
  <si>
    <t>3_am_pnbsf_transferinc_pc_beneficiaries__yd_2</t>
  </si>
  <si>
    <t>3_am_pnbsf_transferinc_pc_benefits__yd_2</t>
  </si>
  <si>
    <t>3_am_pnbsf_transferinc_pc_coverage__yd_2</t>
  </si>
  <si>
    <t>3_am_pnbsf_transferinc_pc_mean__yd_2</t>
  </si>
  <si>
    <t>3_am_pnbsf_newbenefs_pc_beneficiaries__yd_2</t>
  </si>
  <si>
    <t>3_am_pnbsf_newbenefs_pc_benefits__yd_2</t>
  </si>
  <si>
    <t>3_am_pnbsf_newbenefs_pc_coverage__yd_2</t>
  </si>
  <si>
    <t>3_am_pnbsf_newbenefs_pc_mean__yd_2</t>
  </si>
  <si>
    <t>3_all_miti_pc_beneficiaries__yd_2</t>
  </si>
  <si>
    <t>3_all_miti_pc_benefits__yd_2</t>
  </si>
  <si>
    <t>3_all_miti_pc_coverage__yd_2</t>
  </si>
  <si>
    <t>3_all_miti_pc_mean__yd_2</t>
  </si>
  <si>
    <t>3_all_miti_noST_pc_beneficiaries__yd_2</t>
  </si>
  <si>
    <t>3_all_miti_noST_pc_benefits__yd_2</t>
  </si>
  <si>
    <t>3_all_miti_noST_pc_coverage__yd_2</t>
  </si>
  <si>
    <t>3_all_miti_noST_pc_mean__yd_2</t>
  </si>
  <si>
    <t>3_all_policies_miti_pc_beneficiaries__yd_2</t>
  </si>
  <si>
    <t>3_all_policies_miti_pc_benefits__yd_2</t>
  </si>
  <si>
    <t>3_all_policies_miti_pc_coverage__yd_2</t>
  </si>
  <si>
    <t>3_all_policies_miti_pc_mean__yd_2</t>
  </si>
  <si>
    <t>3_all_policies_noST_pc_beneficiaries__yd_2</t>
  </si>
  <si>
    <t>3_all_policies_noST_pc_benefits__yd_2</t>
  </si>
  <si>
    <t>3_all_policies_noST_pc_coverage__yd_2</t>
  </si>
  <si>
    <t>3_all_policies_noST_pc_mean__yd_2</t>
  </si>
  <si>
    <t>3_all_policies_pc_beneficiaries__yd_2</t>
  </si>
  <si>
    <t>3_all_policies_pc_benefits__yd_2</t>
  </si>
  <si>
    <t>3_all_policies_pc_coverage__yd_2</t>
  </si>
  <si>
    <t>3_all_policies_pc_mean__yd_2</t>
  </si>
  <si>
    <t>3_subsidy_fuel_indirect_pc_beneficiaries__yd_2</t>
  </si>
  <si>
    <t>3_subsidy_fuel_indirect_pc_benefits__yd_2</t>
  </si>
  <si>
    <t>3_subsidy_fuel_indirect_pc_coverage__yd_2</t>
  </si>
  <si>
    <t>3_subsidy_fuel_indirect_pc_mean__yd_2</t>
  </si>
  <si>
    <t>3_all_tax_pc_beneficiaries__yd_2</t>
  </si>
  <si>
    <t>3_all_tax_pc_benefits__yd_2</t>
  </si>
  <si>
    <t>3_all_tax_pc_coverage__yd_2</t>
  </si>
  <si>
    <t>3_all_tax_pc_mean__yd_2</t>
  </si>
  <si>
    <t>3_all_subs_noST_pc_beneficiaries__yd_2</t>
  </si>
  <si>
    <t>3_all_subs_noST_pc_benefits__yd_2</t>
  </si>
  <si>
    <t>3_all_subs_noST_pc_coverage__yd_2</t>
  </si>
  <si>
    <t>3_all_subs_noST_pc_mean__yd_2</t>
  </si>
  <si>
    <t>3_all_subs_pc_beneficiaries__yd_2</t>
  </si>
  <si>
    <t>3_all_subs_pc_benefits__yd_2</t>
  </si>
  <si>
    <t>3_all_subs_pc_coverage__yd_2</t>
  </si>
  <si>
    <t>3_all_subs_pc_mean__yd_2</t>
  </si>
  <si>
    <t>3_all_elec_noST_pc_beneficiaries__yd_2</t>
  </si>
  <si>
    <t>3_all_elec_noST_pc_benefits__yd_2</t>
  </si>
  <si>
    <t>3_all_elec_noST_pc_coverage__yd_2</t>
  </si>
  <si>
    <t>3_all_elec_noST_pc_mean__yd_2</t>
  </si>
  <si>
    <t>3_all_elec_pc_beneficiaries__yd_2</t>
  </si>
  <si>
    <t>3_all_elec_pc_benefits__yd_2</t>
  </si>
  <si>
    <t>3_all_elec_pc_coverage__yd_2</t>
  </si>
  <si>
    <t>3_all_elec_pc_mean__yd_2</t>
  </si>
  <si>
    <t>3_all_fuel_pc_beneficiaries__yd_2</t>
  </si>
  <si>
    <t>3_all_fuel_pc_benefits__yd_2</t>
  </si>
  <si>
    <t>3_all_fuel_pc_coverage__yd_2</t>
  </si>
  <si>
    <t>3_all_fuel_pc_mean__yd_2</t>
  </si>
  <si>
    <t>3_subsidy_fuel_pc_beneficiaries__yd_2</t>
  </si>
  <si>
    <t>3_subsidy_fuel_pc_benefits__yd_2</t>
  </si>
  <si>
    <t>3_subsidy_fuel_pc_coverage__yd_2</t>
  </si>
  <si>
    <t>3_subsidy_fuel_pc_mean__yd_2</t>
  </si>
  <si>
    <t>3_subsidy_elec_direct_pc_beneficiaries__yd_2</t>
  </si>
  <si>
    <t>3_subsidy_elec_direct_pc_benefits__yd_2</t>
  </si>
  <si>
    <t>3_subsidy_elec_direct_pc_coverage__yd_2</t>
  </si>
  <si>
    <t>3_subsidy_elec_direct_pc_mean__yd_2</t>
  </si>
  <si>
    <t>3_subsidy_elec_indirect_pc_beneficiaries__yd_2</t>
  </si>
  <si>
    <t>3_subsidy_elec_indirect_pc_benefits__yd_2</t>
  </si>
  <si>
    <t>3_subsidy_elec_indirect_pc_coverage__yd_2</t>
  </si>
  <si>
    <t>3_subsidy_elec_indirect_pc_mean__yd_2</t>
  </si>
  <si>
    <t>3_subsidy_elec_pc_beneficiaries__yd_2</t>
  </si>
  <si>
    <t>3_subsidy_elec_pc_benefits__yd_2</t>
  </si>
  <si>
    <t>3_subsidy_elec_pc_coverage__yd_2</t>
  </si>
  <si>
    <t>3_subsidy_elec_pc_mean__yd_2</t>
  </si>
  <si>
    <t>3_vat_elec_pc_beneficiaries__yd_2</t>
  </si>
  <si>
    <t>3_vat_elec_pc_benefits__yd_2</t>
  </si>
  <si>
    <t>3_vat_elec_pc_coverage__yd_2</t>
  </si>
  <si>
    <t>3_vat_elec_pc_mean__yd_2</t>
  </si>
  <si>
    <t>3_vat_fuel_pc_beneficiaries__yd_2</t>
  </si>
  <si>
    <t>3_vat_fuel_pc_benefits__yd_2</t>
  </si>
  <si>
    <t>3_vat_fuel_pc_coverage__yd_2</t>
  </si>
  <si>
    <t>3_vat_fuel_pc_mean__yd_2</t>
  </si>
  <si>
    <t>3_am_new_pnbsf_pc_beneficiaries__yd_2</t>
  </si>
  <si>
    <t>3_am_new_pnbsf_pc_benefits__yd_2</t>
  </si>
  <si>
    <t>3_am_new_pnbsf_pc_coverage__yd_2</t>
  </si>
  <si>
    <t>3_am_new_pnbsf_pc_mean__yd_2</t>
  </si>
  <si>
    <t>3_subsidy_fuel_direct_pc_beneficiaries__yd_3</t>
  </si>
  <si>
    <t>3_subsidy_fuel_direct_pc_benefits__yd_3</t>
  </si>
  <si>
    <t>3_subsidy_fuel_direct_pc_coverage__yd_3</t>
  </si>
  <si>
    <t>3_subsidy_fuel_direct_pc_mean__yd_3</t>
  </si>
  <si>
    <t>3_am_delayed_pnbsf_pc_beneficiaries__yd_3</t>
  </si>
  <si>
    <t>3_am_delayed_pnbsf_pc_benefits__yd_3</t>
  </si>
  <si>
    <t>3_am_delayed_pnbsf_pc_coverage__yd_3</t>
  </si>
  <si>
    <t>3_am_delayed_pnbsf_pc_mean__yd_3</t>
  </si>
  <si>
    <t>3_social_tranche_pc_beneficiaries__yd_3</t>
  </si>
  <si>
    <t>3_social_tranche_pc_benefits__yd_3</t>
  </si>
  <si>
    <t>3_social_tranche_pc_coverage__yd_3</t>
  </si>
  <si>
    <t>3_social_tranche_pc_mean__yd_3</t>
  </si>
  <si>
    <t>3_subs_public_transport_pc_beneficiaries__yd_3</t>
  </si>
  <si>
    <t>3_subs_public_transport_pc_benefits__yd_3</t>
  </si>
  <si>
    <t>3_subs_public_transport_pc_coverage__yd_3</t>
  </si>
  <si>
    <t>3_subs_public_transport_pc_mean__yd_3</t>
  </si>
  <si>
    <t>3_am_pnbsf_transferinc_pc_beneficiaries__yd_3</t>
  </si>
  <si>
    <t>3_am_pnbsf_transferinc_pc_benefits__yd_3</t>
  </si>
  <si>
    <t>3_am_pnbsf_transferinc_pc_coverage__yd_3</t>
  </si>
  <si>
    <t>3_am_pnbsf_transferinc_pc_mean__yd_3</t>
  </si>
  <si>
    <t>3_am_pnbsf_newbenefs_pc_beneficiaries__yd_3</t>
  </si>
  <si>
    <t>3_am_pnbsf_newbenefs_pc_benefits__yd_3</t>
  </si>
  <si>
    <t>3_am_pnbsf_newbenefs_pc_coverage__yd_3</t>
  </si>
  <si>
    <t>3_am_pnbsf_newbenefs_pc_mean__yd_3</t>
  </si>
  <si>
    <t>3_all_miti_pc_beneficiaries__yd_3</t>
  </si>
  <si>
    <t>3_all_miti_pc_benefits__yd_3</t>
  </si>
  <si>
    <t>3_all_miti_pc_coverage__yd_3</t>
  </si>
  <si>
    <t>3_all_miti_pc_mean__yd_3</t>
  </si>
  <si>
    <t>3_all_miti_noST_pc_beneficiaries__yd_3</t>
  </si>
  <si>
    <t>3_all_miti_noST_pc_benefits__yd_3</t>
  </si>
  <si>
    <t>3_all_miti_noST_pc_coverage__yd_3</t>
  </si>
  <si>
    <t>3_all_miti_noST_pc_mean__yd_3</t>
  </si>
  <si>
    <t>3_all_policies_miti_pc_beneficiaries__yd_3</t>
  </si>
  <si>
    <t>3_all_policies_miti_pc_benefits__yd_3</t>
  </si>
  <si>
    <t>3_all_policies_miti_pc_coverage__yd_3</t>
  </si>
  <si>
    <t>3_all_policies_miti_pc_mean__yd_3</t>
  </si>
  <si>
    <t>3_all_policies_noST_pc_beneficiaries__yd_3</t>
  </si>
  <si>
    <t>3_all_policies_noST_pc_benefits__yd_3</t>
  </si>
  <si>
    <t>3_all_policies_noST_pc_coverage__yd_3</t>
  </si>
  <si>
    <t>3_all_policies_noST_pc_mean__yd_3</t>
  </si>
  <si>
    <t>3_all_policies_pc_beneficiaries__yd_3</t>
  </si>
  <si>
    <t>3_all_policies_pc_benefits__yd_3</t>
  </si>
  <si>
    <t>3_all_policies_pc_coverage__yd_3</t>
  </si>
  <si>
    <t>3_all_policies_pc_mean__yd_3</t>
  </si>
  <si>
    <t>3_subsidy_fuel_indirect_pc_beneficiaries__yd_3</t>
  </si>
  <si>
    <t>3_subsidy_fuel_indirect_pc_benefits__yd_3</t>
  </si>
  <si>
    <t>3_subsidy_fuel_indirect_pc_coverage__yd_3</t>
  </si>
  <si>
    <t>3_subsidy_fuel_indirect_pc_mean__yd_3</t>
  </si>
  <si>
    <t>3_all_tax_pc_beneficiaries__yd_3</t>
  </si>
  <si>
    <t>3_all_tax_pc_benefits__yd_3</t>
  </si>
  <si>
    <t>3_all_tax_pc_coverage__yd_3</t>
  </si>
  <si>
    <t>3_all_tax_pc_mean__yd_3</t>
  </si>
  <si>
    <t>3_all_subs_noST_pc_beneficiaries__yd_3</t>
  </si>
  <si>
    <t>3_all_subs_noST_pc_benefits__yd_3</t>
  </si>
  <si>
    <t>3_all_subs_noST_pc_coverage__yd_3</t>
  </si>
  <si>
    <t>3_all_subs_noST_pc_mean__yd_3</t>
  </si>
  <si>
    <t>3_all_subs_pc_beneficiaries__yd_3</t>
  </si>
  <si>
    <t>3_all_subs_pc_benefits__yd_3</t>
  </si>
  <si>
    <t>3_all_subs_pc_coverage__yd_3</t>
  </si>
  <si>
    <t>3_all_subs_pc_mean__yd_3</t>
  </si>
  <si>
    <t>3_all_elec_noST_pc_beneficiaries__yd_3</t>
  </si>
  <si>
    <t>3_all_elec_noST_pc_benefits__yd_3</t>
  </si>
  <si>
    <t>3_all_elec_noST_pc_coverage__yd_3</t>
  </si>
  <si>
    <t>3_all_elec_noST_pc_mean__yd_3</t>
  </si>
  <si>
    <t>3_all_elec_pc_beneficiaries__yd_3</t>
  </si>
  <si>
    <t>3_all_elec_pc_benefits__yd_3</t>
  </si>
  <si>
    <t>3_all_elec_pc_coverage__yd_3</t>
  </si>
  <si>
    <t>3_all_elec_pc_mean__yd_3</t>
  </si>
  <si>
    <t>3_all_fuel_pc_beneficiaries__yd_3</t>
  </si>
  <si>
    <t>3_all_fuel_pc_benefits__yd_3</t>
  </si>
  <si>
    <t>3_all_fuel_pc_coverage__yd_3</t>
  </si>
  <si>
    <t>3_all_fuel_pc_mean__yd_3</t>
  </si>
  <si>
    <t>3_subsidy_fuel_pc_beneficiaries__yd_3</t>
  </si>
  <si>
    <t>3_subsidy_fuel_pc_benefits__yd_3</t>
  </si>
  <si>
    <t>3_subsidy_fuel_pc_coverage__yd_3</t>
  </si>
  <si>
    <t>3_subsidy_fuel_pc_mean__yd_3</t>
  </si>
  <si>
    <t>3_subsidy_elec_direct_pc_beneficiaries__yd_3</t>
  </si>
  <si>
    <t>3_subsidy_elec_direct_pc_benefits__yd_3</t>
  </si>
  <si>
    <t>3_subsidy_elec_direct_pc_coverage__yd_3</t>
  </si>
  <si>
    <t>3_subsidy_elec_direct_pc_mean__yd_3</t>
  </si>
  <si>
    <t>3_subsidy_elec_indirect_pc_beneficiaries__yd_3</t>
  </si>
  <si>
    <t>3_subsidy_elec_indirect_pc_benefits__yd_3</t>
  </si>
  <si>
    <t>3_subsidy_elec_indirect_pc_coverage__yd_3</t>
  </si>
  <si>
    <t>3_subsidy_elec_indirect_pc_mean__yd_3</t>
  </si>
  <si>
    <t>3_subsidy_elec_pc_beneficiaries__yd_3</t>
  </si>
  <si>
    <t>3_subsidy_elec_pc_benefits__yd_3</t>
  </si>
  <si>
    <t>3_subsidy_elec_pc_coverage__yd_3</t>
  </si>
  <si>
    <t>3_subsidy_elec_pc_mean__yd_3</t>
  </si>
  <si>
    <t>3_vat_elec_pc_beneficiaries__yd_3</t>
  </si>
  <si>
    <t>3_vat_elec_pc_benefits__yd_3</t>
  </si>
  <si>
    <t>3_vat_elec_pc_coverage__yd_3</t>
  </si>
  <si>
    <t>3_vat_elec_pc_mean__yd_3</t>
  </si>
  <si>
    <t>3_vat_fuel_pc_beneficiaries__yd_3</t>
  </si>
  <si>
    <t>3_vat_fuel_pc_benefits__yd_3</t>
  </si>
  <si>
    <t>3_vat_fuel_pc_coverage__yd_3</t>
  </si>
  <si>
    <t>3_vat_fuel_pc_mean__yd_3</t>
  </si>
  <si>
    <t>3_am_new_pnbsf_pc_beneficiaries__yd_3</t>
  </si>
  <si>
    <t>3_am_new_pnbsf_pc_benefits__yd_3</t>
  </si>
  <si>
    <t>3_am_new_pnbsf_pc_coverage__yd_3</t>
  </si>
  <si>
    <t>3_am_new_pnbsf_pc_mean__yd_3</t>
  </si>
  <si>
    <t>3_subsidy_fuel_direct_pc_beneficiaries__yd_4</t>
  </si>
  <si>
    <t>3_subsidy_fuel_direct_pc_benefits__yd_4</t>
  </si>
  <si>
    <t>3_subsidy_fuel_direct_pc_coverage__yd_4</t>
  </si>
  <si>
    <t>3_subsidy_fuel_direct_pc_mean__yd_4</t>
  </si>
  <si>
    <t>3_am_delayed_pnbsf_pc_beneficiaries__yd_4</t>
  </si>
  <si>
    <t>3_am_delayed_pnbsf_pc_benefits__yd_4</t>
  </si>
  <si>
    <t>3_am_delayed_pnbsf_pc_coverage__yd_4</t>
  </si>
  <si>
    <t>3_am_delayed_pnbsf_pc_mean__yd_4</t>
  </si>
  <si>
    <t>3_social_tranche_pc_beneficiaries__yd_4</t>
  </si>
  <si>
    <t>3_social_tranche_pc_benefits__yd_4</t>
  </si>
  <si>
    <t>3_social_tranche_pc_coverage__yd_4</t>
  </si>
  <si>
    <t>3_social_tranche_pc_mean__yd_4</t>
  </si>
  <si>
    <t>3_subs_public_transport_pc_beneficiaries__yd_4</t>
  </si>
  <si>
    <t>3_subs_public_transport_pc_benefits__yd_4</t>
  </si>
  <si>
    <t>3_subs_public_transport_pc_coverage__yd_4</t>
  </si>
  <si>
    <t>3_subs_public_transport_pc_mean__yd_4</t>
  </si>
  <si>
    <t>3_am_pnbsf_transferinc_pc_beneficiaries__yd_4</t>
  </si>
  <si>
    <t>3_am_pnbsf_transferinc_pc_benefits__yd_4</t>
  </si>
  <si>
    <t>3_am_pnbsf_transferinc_pc_coverage__yd_4</t>
  </si>
  <si>
    <t>3_am_pnbsf_transferinc_pc_mean__yd_4</t>
  </si>
  <si>
    <t>3_am_pnbsf_newbenefs_pc_beneficiaries__yd_4</t>
  </si>
  <si>
    <t>3_am_pnbsf_newbenefs_pc_benefits__yd_4</t>
  </si>
  <si>
    <t>3_am_pnbsf_newbenefs_pc_coverage__yd_4</t>
  </si>
  <si>
    <t>3_am_pnbsf_newbenefs_pc_mean__yd_4</t>
  </si>
  <si>
    <t>3_all_miti_pc_beneficiaries__yd_4</t>
  </si>
  <si>
    <t>3_all_miti_pc_benefits__yd_4</t>
  </si>
  <si>
    <t>3_all_miti_pc_coverage__yd_4</t>
  </si>
  <si>
    <t>3_all_miti_pc_mean__yd_4</t>
  </si>
  <si>
    <t>3_all_miti_noST_pc_beneficiaries__yd_4</t>
  </si>
  <si>
    <t>3_all_miti_noST_pc_benefits__yd_4</t>
  </si>
  <si>
    <t>3_all_miti_noST_pc_coverage__yd_4</t>
  </si>
  <si>
    <t>3_all_miti_noST_pc_mean__yd_4</t>
  </si>
  <si>
    <t>3_all_policies_miti_pc_beneficiaries__yd_4</t>
  </si>
  <si>
    <t>3_all_policies_miti_pc_benefits__yd_4</t>
  </si>
  <si>
    <t>3_all_policies_miti_pc_coverage__yd_4</t>
  </si>
  <si>
    <t>3_all_policies_miti_pc_mean__yd_4</t>
  </si>
  <si>
    <t>3_all_policies_noST_pc_beneficiaries__yd_4</t>
  </si>
  <si>
    <t>3_all_policies_noST_pc_benefits__yd_4</t>
  </si>
  <si>
    <t>3_all_policies_noST_pc_coverage__yd_4</t>
  </si>
  <si>
    <t>3_all_policies_noST_pc_mean__yd_4</t>
  </si>
  <si>
    <t>3_all_policies_pc_beneficiaries__yd_4</t>
  </si>
  <si>
    <t>3_all_policies_pc_benefits__yd_4</t>
  </si>
  <si>
    <t>3_all_policies_pc_coverage__yd_4</t>
  </si>
  <si>
    <t>3_all_policies_pc_mean__yd_4</t>
  </si>
  <si>
    <t>3_subsidy_fuel_indirect_pc_beneficiaries__yd_4</t>
  </si>
  <si>
    <t>3_subsidy_fuel_indirect_pc_benefits__yd_4</t>
  </si>
  <si>
    <t>3_subsidy_fuel_indirect_pc_coverage__yd_4</t>
  </si>
  <si>
    <t>3_subsidy_fuel_indirect_pc_mean__yd_4</t>
  </si>
  <si>
    <t>3_all_tax_pc_beneficiaries__yd_4</t>
  </si>
  <si>
    <t>3_all_tax_pc_benefits__yd_4</t>
  </si>
  <si>
    <t>3_all_tax_pc_coverage__yd_4</t>
  </si>
  <si>
    <t>3_all_tax_pc_mean__yd_4</t>
  </si>
  <si>
    <t>3_all_subs_noST_pc_beneficiaries__yd_4</t>
  </si>
  <si>
    <t>3_all_subs_noST_pc_benefits__yd_4</t>
  </si>
  <si>
    <t>3_all_subs_noST_pc_coverage__yd_4</t>
  </si>
  <si>
    <t>3_all_subs_noST_pc_mean__yd_4</t>
  </si>
  <si>
    <t>3_all_subs_pc_beneficiaries__yd_4</t>
  </si>
  <si>
    <t>3_all_subs_pc_benefits__yd_4</t>
  </si>
  <si>
    <t>3_all_subs_pc_coverage__yd_4</t>
  </si>
  <si>
    <t>3_all_subs_pc_mean__yd_4</t>
  </si>
  <si>
    <t>3_all_elec_noST_pc_beneficiaries__yd_4</t>
  </si>
  <si>
    <t>3_all_elec_noST_pc_benefits__yd_4</t>
  </si>
  <si>
    <t>3_all_elec_noST_pc_coverage__yd_4</t>
  </si>
  <si>
    <t>3_all_elec_noST_pc_mean__yd_4</t>
  </si>
  <si>
    <t>3_all_elec_pc_beneficiaries__yd_4</t>
  </si>
  <si>
    <t>3_all_elec_pc_benefits__yd_4</t>
  </si>
  <si>
    <t>3_all_elec_pc_coverage__yd_4</t>
  </si>
  <si>
    <t>3_all_elec_pc_mean__yd_4</t>
  </si>
  <si>
    <t>3_all_fuel_pc_beneficiaries__yd_4</t>
  </si>
  <si>
    <t>3_all_fuel_pc_benefits__yd_4</t>
  </si>
  <si>
    <t>3_all_fuel_pc_coverage__yd_4</t>
  </si>
  <si>
    <t>3_all_fuel_pc_mean__yd_4</t>
  </si>
  <si>
    <t>3_subsidy_fuel_pc_beneficiaries__yd_4</t>
  </si>
  <si>
    <t>3_subsidy_fuel_pc_benefits__yd_4</t>
  </si>
  <si>
    <t>3_subsidy_fuel_pc_coverage__yd_4</t>
  </si>
  <si>
    <t>3_subsidy_fuel_pc_mean__yd_4</t>
  </si>
  <si>
    <t>3_subsidy_elec_direct_pc_beneficiaries__yd_4</t>
  </si>
  <si>
    <t>3_subsidy_elec_direct_pc_benefits__yd_4</t>
  </si>
  <si>
    <t>3_subsidy_elec_direct_pc_coverage__yd_4</t>
  </si>
  <si>
    <t>3_subsidy_elec_direct_pc_mean__yd_4</t>
  </si>
  <si>
    <t>3_subsidy_elec_indirect_pc_beneficiaries__yd_4</t>
  </si>
  <si>
    <t>3_subsidy_elec_indirect_pc_benefits__yd_4</t>
  </si>
  <si>
    <t>3_subsidy_elec_indirect_pc_coverage__yd_4</t>
  </si>
  <si>
    <t>3_subsidy_elec_indirect_pc_mean__yd_4</t>
  </si>
  <si>
    <t>3_subsidy_elec_pc_beneficiaries__yd_4</t>
  </si>
  <si>
    <t>3_subsidy_elec_pc_benefits__yd_4</t>
  </si>
  <si>
    <t>3_subsidy_elec_pc_coverage__yd_4</t>
  </si>
  <si>
    <t>3_subsidy_elec_pc_mean__yd_4</t>
  </si>
  <si>
    <t>3_vat_elec_pc_beneficiaries__yd_4</t>
  </si>
  <si>
    <t>3_vat_elec_pc_benefits__yd_4</t>
  </si>
  <si>
    <t>3_vat_elec_pc_coverage__yd_4</t>
  </si>
  <si>
    <t>3_vat_elec_pc_mean__yd_4</t>
  </si>
  <si>
    <t>3_vat_fuel_pc_beneficiaries__yd_4</t>
  </si>
  <si>
    <t>3_vat_fuel_pc_benefits__yd_4</t>
  </si>
  <si>
    <t>3_vat_fuel_pc_coverage__yd_4</t>
  </si>
  <si>
    <t>3_vat_fuel_pc_mean__yd_4</t>
  </si>
  <si>
    <t>3_am_new_pnbsf_pc_beneficiaries__yd_4</t>
  </si>
  <si>
    <t>3_am_new_pnbsf_pc_benefits__yd_4</t>
  </si>
  <si>
    <t>3_am_new_pnbsf_pc_coverage__yd_4</t>
  </si>
  <si>
    <t>3_am_new_pnbsf_pc_mean__yd_4</t>
  </si>
  <si>
    <t>3_subsidy_fuel_direct_pc_beneficiaries__yd_5</t>
  </si>
  <si>
    <t>3_subsidy_fuel_direct_pc_benefits__yd_5</t>
  </si>
  <si>
    <t>3_subsidy_fuel_direct_pc_coverage__yd_5</t>
  </si>
  <si>
    <t>3_subsidy_fuel_direct_pc_mean__yd_5</t>
  </si>
  <si>
    <t>3_am_delayed_pnbsf_pc_beneficiaries__yd_5</t>
  </si>
  <si>
    <t>3_am_delayed_pnbsf_pc_benefits__yd_5</t>
  </si>
  <si>
    <t>3_am_delayed_pnbsf_pc_coverage__yd_5</t>
  </si>
  <si>
    <t>3_am_delayed_pnbsf_pc_mean__yd_5</t>
  </si>
  <si>
    <t>3_social_tranche_pc_beneficiaries__yd_5</t>
  </si>
  <si>
    <t>3_social_tranche_pc_benefits__yd_5</t>
  </si>
  <si>
    <t>3_social_tranche_pc_coverage__yd_5</t>
  </si>
  <si>
    <t>3_social_tranche_pc_mean__yd_5</t>
  </si>
  <si>
    <t>3_subs_public_transport_pc_beneficiaries__yd_5</t>
  </si>
  <si>
    <t>3_subs_public_transport_pc_benefits__yd_5</t>
  </si>
  <si>
    <t>3_subs_public_transport_pc_coverage__yd_5</t>
  </si>
  <si>
    <t>3_subs_public_transport_pc_mean__yd_5</t>
  </si>
  <si>
    <t>3_am_pnbsf_transferinc_pc_beneficiaries__yd_5</t>
  </si>
  <si>
    <t>3_am_pnbsf_transferinc_pc_benefits__yd_5</t>
  </si>
  <si>
    <t>3_am_pnbsf_transferinc_pc_coverage__yd_5</t>
  </si>
  <si>
    <t>3_am_pnbsf_transferinc_pc_mean__yd_5</t>
  </si>
  <si>
    <t>3_am_pnbsf_newbenefs_pc_beneficiaries__yd_5</t>
  </si>
  <si>
    <t>3_am_pnbsf_newbenefs_pc_benefits__yd_5</t>
  </si>
  <si>
    <t>3_am_pnbsf_newbenefs_pc_coverage__yd_5</t>
  </si>
  <si>
    <t>3_am_pnbsf_newbenefs_pc_mean__yd_5</t>
  </si>
  <si>
    <t>3_all_miti_pc_beneficiaries__yd_5</t>
  </si>
  <si>
    <t>3_all_miti_pc_benefits__yd_5</t>
  </si>
  <si>
    <t>3_all_miti_pc_coverage__yd_5</t>
  </si>
  <si>
    <t>3_all_miti_pc_mean__yd_5</t>
  </si>
  <si>
    <t>3_all_miti_noST_pc_beneficiaries__yd_5</t>
  </si>
  <si>
    <t>3_all_miti_noST_pc_benefits__yd_5</t>
  </si>
  <si>
    <t>3_all_miti_noST_pc_coverage__yd_5</t>
  </si>
  <si>
    <t>3_all_miti_noST_pc_mean__yd_5</t>
  </si>
  <si>
    <t>3_all_policies_miti_pc_beneficiaries__yd_5</t>
  </si>
  <si>
    <t>3_all_policies_miti_pc_benefits__yd_5</t>
  </si>
  <si>
    <t>3_all_policies_miti_pc_coverage__yd_5</t>
  </si>
  <si>
    <t>3_all_policies_miti_pc_mean__yd_5</t>
  </si>
  <si>
    <t>3_all_policies_noST_pc_beneficiaries__yd_5</t>
  </si>
  <si>
    <t>3_all_policies_noST_pc_benefits__yd_5</t>
  </si>
  <si>
    <t>3_all_policies_noST_pc_coverage__yd_5</t>
  </si>
  <si>
    <t>3_all_policies_noST_pc_mean__yd_5</t>
  </si>
  <si>
    <t>3_all_policies_pc_beneficiaries__yd_5</t>
  </si>
  <si>
    <t>3_all_policies_pc_benefits__yd_5</t>
  </si>
  <si>
    <t>3_all_policies_pc_coverage__yd_5</t>
  </si>
  <si>
    <t>3_all_policies_pc_mean__yd_5</t>
  </si>
  <si>
    <t>3_subsidy_fuel_indirect_pc_beneficiaries__yd_5</t>
  </si>
  <si>
    <t>3_subsidy_fuel_indirect_pc_benefits__yd_5</t>
  </si>
  <si>
    <t>3_subsidy_fuel_indirect_pc_coverage__yd_5</t>
  </si>
  <si>
    <t>3_subsidy_fuel_indirect_pc_mean__yd_5</t>
  </si>
  <si>
    <t>3_all_tax_pc_beneficiaries__yd_5</t>
  </si>
  <si>
    <t>3_all_tax_pc_benefits__yd_5</t>
  </si>
  <si>
    <t>3_all_tax_pc_coverage__yd_5</t>
  </si>
  <si>
    <t>3_all_tax_pc_mean__yd_5</t>
  </si>
  <si>
    <t>3_all_subs_noST_pc_beneficiaries__yd_5</t>
  </si>
  <si>
    <t>3_all_subs_noST_pc_benefits__yd_5</t>
  </si>
  <si>
    <t>3_all_subs_noST_pc_coverage__yd_5</t>
  </si>
  <si>
    <t>3_all_subs_noST_pc_mean__yd_5</t>
  </si>
  <si>
    <t>3_all_subs_pc_beneficiaries__yd_5</t>
  </si>
  <si>
    <t>3_all_subs_pc_benefits__yd_5</t>
  </si>
  <si>
    <t>3_all_subs_pc_coverage__yd_5</t>
  </si>
  <si>
    <t>3_all_subs_pc_mean__yd_5</t>
  </si>
  <si>
    <t>3_all_elec_noST_pc_beneficiaries__yd_5</t>
  </si>
  <si>
    <t>3_all_elec_noST_pc_benefits__yd_5</t>
  </si>
  <si>
    <t>3_all_elec_noST_pc_coverage__yd_5</t>
  </si>
  <si>
    <t>3_all_elec_noST_pc_mean__yd_5</t>
  </si>
  <si>
    <t>3_all_elec_pc_beneficiaries__yd_5</t>
  </si>
  <si>
    <t>3_all_elec_pc_benefits__yd_5</t>
  </si>
  <si>
    <t>3_all_elec_pc_coverage__yd_5</t>
  </si>
  <si>
    <t>3_all_elec_pc_mean__yd_5</t>
  </si>
  <si>
    <t>3_all_fuel_pc_beneficiaries__yd_5</t>
  </si>
  <si>
    <t>3_all_fuel_pc_benefits__yd_5</t>
  </si>
  <si>
    <t>3_all_fuel_pc_coverage__yd_5</t>
  </si>
  <si>
    <t>3_all_fuel_pc_mean__yd_5</t>
  </si>
  <si>
    <t>3_subsidy_fuel_pc_beneficiaries__yd_5</t>
  </si>
  <si>
    <t>3_subsidy_fuel_pc_benefits__yd_5</t>
  </si>
  <si>
    <t>3_subsidy_fuel_pc_coverage__yd_5</t>
  </si>
  <si>
    <t>3_subsidy_fuel_pc_mean__yd_5</t>
  </si>
  <si>
    <t>3_subsidy_elec_direct_pc_beneficiaries__yd_5</t>
  </si>
  <si>
    <t>3_subsidy_elec_direct_pc_benefits__yd_5</t>
  </si>
  <si>
    <t>3_subsidy_elec_direct_pc_coverage__yd_5</t>
  </si>
  <si>
    <t>3_subsidy_elec_direct_pc_mean__yd_5</t>
  </si>
  <si>
    <t>3_subsidy_elec_indirect_pc_beneficiaries__yd_5</t>
  </si>
  <si>
    <t>3_subsidy_elec_indirect_pc_benefits__yd_5</t>
  </si>
  <si>
    <t>3_subsidy_elec_indirect_pc_coverage__yd_5</t>
  </si>
  <si>
    <t>3_subsidy_elec_indirect_pc_mean__yd_5</t>
  </si>
  <si>
    <t>3_subsidy_elec_pc_beneficiaries__yd_5</t>
  </si>
  <si>
    <t>3_subsidy_elec_pc_benefits__yd_5</t>
  </si>
  <si>
    <t>3_subsidy_elec_pc_coverage__yd_5</t>
  </si>
  <si>
    <t>3_subsidy_elec_pc_mean__yd_5</t>
  </si>
  <si>
    <t>3_vat_elec_pc_beneficiaries__yd_5</t>
  </si>
  <si>
    <t>3_vat_elec_pc_benefits__yd_5</t>
  </si>
  <si>
    <t>3_vat_elec_pc_coverage__yd_5</t>
  </si>
  <si>
    <t>3_vat_elec_pc_mean__yd_5</t>
  </si>
  <si>
    <t>3_vat_fuel_pc_beneficiaries__yd_5</t>
  </si>
  <si>
    <t>3_vat_fuel_pc_benefits__yd_5</t>
  </si>
  <si>
    <t>3_vat_fuel_pc_coverage__yd_5</t>
  </si>
  <si>
    <t>3_vat_fuel_pc_mean__yd_5</t>
  </si>
  <si>
    <t>3_am_new_pnbsf_pc_beneficiaries__yd_5</t>
  </si>
  <si>
    <t>3_am_new_pnbsf_pc_benefits__yd_5</t>
  </si>
  <si>
    <t>3_am_new_pnbsf_pc_coverage__yd_5</t>
  </si>
  <si>
    <t>3_am_new_pnbsf_pc_mean__yd_5</t>
  </si>
  <si>
    <t>3_subsidy_fuel_direct_pc_beneficiaries__yd_6</t>
  </si>
  <si>
    <t>3_subsidy_fuel_direct_pc_benefits__yd_6</t>
  </si>
  <si>
    <t>3_subsidy_fuel_direct_pc_coverage__yd_6</t>
  </si>
  <si>
    <t>3_subsidy_fuel_direct_pc_mean__yd_6</t>
  </si>
  <si>
    <t>3_am_delayed_pnbsf_pc_beneficiaries__yd_6</t>
  </si>
  <si>
    <t>3_am_delayed_pnbsf_pc_benefits__yd_6</t>
  </si>
  <si>
    <t>3_am_delayed_pnbsf_pc_coverage__yd_6</t>
  </si>
  <si>
    <t>3_am_delayed_pnbsf_pc_mean__yd_6</t>
  </si>
  <si>
    <t>3_social_tranche_pc_beneficiaries__yd_6</t>
  </si>
  <si>
    <t>3_social_tranche_pc_benefits__yd_6</t>
  </si>
  <si>
    <t>3_social_tranche_pc_coverage__yd_6</t>
  </si>
  <si>
    <t>3_social_tranche_pc_mean__yd_6</t>
  </si>
  <si>
    <t>3_subs_public_transport_pc_beneficiaries__yd_6</t>
  </si>
  <si>
    <t>3_subs_public_transport_pc_benefits__yd_6</t>
  </si>
  <si>
    <t>3_subs_public_transport_pc_coverage__yd_6</t>
  </si>
  <si>
    <t>3_subs_public_transport_pc_mean__yd_6</t>
  </si>
  <si>
    <t>3_am_pnbsf_transferinc_pc_beneficiaries__yd_6</t>
  </si>
  <si>
    <t>3_am_pnbsf_transferinc_pc_benefits__yd_6</t>
  </si>
  <si>
    <t>3_am_pnbsf_transferinc_pc_coverage__yd_6</t>
  </si>
  <si>
    <t>3_am_pnbsf_transferinc_pc_mean__yd_6</t>
  </si>
  <si>
    <t>3_am_pnbsf_newbenefs_pc_beneficiaries__yd_6</t>
  </si>
  <si>
    <t>3_am_pnbsf_newbenefs_pc_benefits__yd_6</t>
  </si>
  <si>
    <t>3_am_pnbsf_newbenefs_pc_coverage__yd_6</t>
  </si>
  <si>
    <t>3_am_pnbsf_newbenefs_pc_mean__yd_6</t>
  </si>
  <si>
    <t>3_all_miti_pc_beneficiaries__yd_6</t>
  </si>
  <si>
    <t>3_all_miti_pc_benefits__yd_6</t>
  </si>
  <si>
    <t>3_all_miti_pc_coverage__yd_6</t>
  </si>
  <si>
    <t>3_all_miti_pc_mean__yd_6</t>
  </si>
  <si>
    <t>3_all_miti_noST_pc_beneficiaries__yd_6</t>
  </si>
  <si>
    <t>3_all_miti_noST_pc_benefits__yd_6</t>
  </si>
  <si>
    <t>3_all_miti_noST_pc_coverage__yd_6</t>
  </si>
  <si>
    <t>3_all_miti_noST_pc_mean__yd_6</t>
  </si>
  <si>
    <t>3_all_policies_miti_pc_beneficiaries__yd_6</t>
  </si>
  <si>
    <t>3_all_policies_miti_pc_benefits__yd_6</t>
  </si>
  <si>
    <t>3_all_policies_miti_pc_coverage__yd_6</t>
  </si>
  <si>
    <t>3_all_policies_miti_pc_mean__yd_6</t>
  </si>
  <si>
    <t>3_all_policies_noST_pc_beneficiaries__yd_6</t>
  </si>
  <si>
    <t>3_all_policies_noST_pc_benefits__yd_6</t>
  </si>
  <si>
    <t>3_all_policies_noST_pc_coverage__yd_6</t>
  </si>
  <si>
    <t>3_all_policies_noST_pc_mean__yd_6</t>
  </si>
  <si>
    <t>3_all_policies_pc_beneficiaries__yd_6</t>
  </si>
  <si>
    <t>3_all_policies_pc_benefits__yd_6</t>
  </si>
  <si>
    <t>3_all_policies_pc_coverage__yd_6</t>
  </si>
  <si>
    <t>3_all_policies_pc_mean__yd_6</t>
  </si>
  <si>
    <t>3_subsidy_fuel_indirect_pc_beneficiaries__yd_6</t>
  </si>
  <si>
    <t>3_subsidy_fuel_indirect_pc_benefits__yd_6</t>
  </si>
  <si>
    <t>3_subsidy_fuel_indirect_pc_coverage__yd_6</t>
  </si>
  <si>
    <t>3_subsidy_fuel_indirect_pc_mean__yd_6</t>
  </si>
  <si>
    <t>3_all_tax_pc_beneficiaries__yd_6</t>
  </si>
  <si>
    <t>3_all_tax_pc_benefits__yd_6</t>
  </si>
  <si>
    <t>3_all_tax_pc_coverage__yd_6</t>
  </si>
  <si>
    <t>3_all_tax_pc_mean__yd_6</t>
  </si>
  <si>
    <t>3_all_subs_noST_pc_beneficiaries__yd_6</t>
  </si>
  <si>
    <t>3_all_subs_noST_pc_benefits__yd_6</t>
  </si>
  <si>
    <t>3_all_subs_noST_pc_coverage__yd_6</t>
  </si>
  <si>
    <t>3_all_subs_noST_pc_mean__yd_6</t>
  </si>
  <si>
    <t>3_all_subs_pc_beneficiaries__yd_6</t>
  </si>
  <si>
    <t>3_all_subs_pc_benefits__yd_6</t>
  </si>
  <si>
    <t>3_all_subs_pc_coverage__yd_6</t>
  </si>
  <si>
    <t>3_all_subs_pc_mean__yd_6</t>
  </si>
  <si>
    <t>3_all_elec_noST_pc_beneficiaries__yd_6</t>
  </si>
  <si>
    <t>3_all_elec_noST_pc_benefits__yd_6</t>
  </si>
  <si>
    <t>3_all_elec_noST_pc_coverage__yd_6</t>
  </si>
  <si>
    <t>3_all_elec_noST_pc_mean__yd_6</t>
  </si>
  <si>
    <t>3_all_elec_pc_beneficiaries__yd_6</t>
  </si>
  <si>
    <t>3_all_elec_pc_benefits__yd_6</t>
  </si>
  <si>
    <t>3_all_elec_pc_coverage__yd_6</t>
  </si>
  <si>
    <t>3_all_elec_pc_mean__yd_6</t>
  </si>
  <si>
    <t>3_all_fuel_pc_beneficiaries__yd_6</t>
  </si>
  <si>
    <t>3_all_fuel_pc_benefits__yd_6</t>
  </si>
  <si>
    <t>3_all_fuel_pc_coverage__yd_6</t>
  </si>
  <si>
    <t>3_all_fuel_pc_mean__yd_6</t>
  </si>
  <si>
    <t>3_subsidy_fuel_pc_beneficiaries__yd_6</t>
  </si>
  <si>
    <t>3_subsidy_fuel_pc_benefits__yd_6</t>
  </si>
  <si>
    <t>3_subsidy_fuel_pc_coverage__yd_6</t>
  </si>
  <si>
    <t>3_subsidy_fuel_pc_mean__yd_6</t>
  </si>
  <si>
    <t>3_subsidy_elec_direct_pc_beneficiaries__yd_6</t>
  </si>
  <si>
    <t>3_subsidy_elec_direct_pc_benefits__yd_6</t>
  </si>
  <si>
    <t>3_subsidy_elec_direct_pc_coverage__yd_6</t>
  </si>
  <si>
    <t>3_subsidy_elec_direct_pc_mean__yd_6</t>
  </si>
  <si>
    <t>3_subsidy_elec_indirect_pc_beneficiaries__yd_6</t>
  </si>
  <si>
    <t>3_subsidy_elec_indirect_pc_benefits__yd_6</t>
  </si>
  <si>
    <t>3_subsidy_elec_indirect_pc_coverage__yd_6</t>
  </si>
  <si>
    <t>3_subsidy_elec_indirect_pc_mean__yd_6</t>
  </si>
  <si>
    <t>3_subsidy_elec_pc_beneficiaries__yd_6</t>
  </si>
  <si>
    <t>3_subsidy_elec_pc_benefits__yd_6</t>
  </si>
  <si>
    <t>3_subsidy_elec_pc_coverage__yd_6</t>
  </si>
  <si>
    <t>3_subsidy_elec_pc_mean__yd_6</t>
  </si>
  <si>
    <t>3_vat_elec_pc_beneficiaries__yd_6</t>
  </si>
  <si>
    <t>3_vat_elec_pc_benefits__yd_6</t>
  </si>
  <si>
    <t>3_vat_elec_pc_coverage__yd_6</t>
  </si>
  <si>
    <t>3_vat_elec_pc_mean__yd_6</t>
  </si>
  <si>
    <t>3_vat_fuel_pc_beneficiaries__yd_6</t>
  </si>
  <si>
    <t>3_vat_fuel_pc_benefits__yd_6</t>
  </si>
  <si>
    <t>3_vat_fuel_pc_coverage__yd_6</t>
  </si>
  <si>
    <t>3_vat_fuel_pc_mean__yd_6</t>
  </si>
  <si>
    <t>3_am_new_pnbsf_pc_beneficiaries__yd_6</t>
  </si>
  <si>
    <t>3_am_new_pnbsf_pc_benefits__yd_6</t>
  </si>
  <si>
    <t>3_am_new_pnbsf_pc_coverage__yd_6</t>
  </si>
  <si>
    <t>3_am_new_pnbsf_pc_mean__yd_6</t>
  </si>
  <si>
    <t>3_subsidy_fuel_direct_pc_beneficiaries__yd_7</t>
  </si>
  <si>
    <t>3_subsidy_fuel_direct_pc_benefits__yd_7</t>
  </si>
  <si>
    <t>3_subsidy_fuel_direct_pc_coverage__yd_7</t>
  </si>
  <si>
    <t>3_subsidy_fuel_direct_pc_mean__yd_7</t>
  </si>
  <si>
    <t>3_am_delayed_pnbsf_pc_beneficiaries__yd_7</t>
  </si>
  <si>
    <t>3_am_delayed_pnbsf_pc_benefits__yd_7</t>
  </si>
  <si>
    <t>3_am_delayed_pnbsf_pc_coverage__yd_7</t>
  </si>
  <si>
    <t>3_am_delayed_pnbsf_pc_mean__yd_7</t>
  </si>
  <si>
    <t>3_social_tranche_pc_beneficiaries__yd_7</t>
  </si>
  <si>
    <t>3_social_tranche_pc_benefits__yd_7</t>
  </si>
  <si>
    <t>3_social_tranche_pc_coverage__yd_7</t>
  </si>
  <si>
    <t>3_social_tranche_pc_mean__yd_7</t>
  </si>
  <si>
    <t>3_subs_public_transport_pc_beneficiaries__yd_7</t>
  </si>
  <si>
    <t>3_subs_public_transport_pc_benefits__yd_7</t>
  </si>
  <si>
    <t>3_subs_public_transport_pc_coverage__yd_7</t>
  </si>
  <si>
    <t>3_subs_public_transport_pc_mean__yd_7</t>
  </si>
  <si>
    <t>3_am_pnbsf_transferinc_pc_beneficiaries__yd_7</t>
  </si>
  <si>
    <t>3_am_pnbsf_transferinc_pc_benefits__yd_7</t>
  </si>
  <si>
    <t>3_am_pnbsf_transferinc_pc_coverage__yd_7</t>
  </si>
  <si>
    <t>3_am_pnbsf_transferinc_pc_mean__yd_7</t>
  </si>
  <si>
    <t>3_am_pnbsf_newbenefs_pc_beneficiaries__yd_7</t>
  </si>
  <si>
    <t>3_am_pnbsf_newbenefs_pc_benefits__yd_7</t>
  </si>
  <si>
    <t>3_am_pnbsf_newbenefs_pc_coverage__yd_7</t>
  </si>
  <si>
    <t>3_am_pnbsf_newbenefs_pc_mean__yd_7</t>
  </si>
  <si>
    <t>3_all_miti_pc_beneficiaries__yd_7</t>
  </si>
  <si>
    <t>3_all_miti_pc_benefits__yd_7</t>
  </si>
  <si>
    <t>3_all_miti_pc_coverage__yd_7</t>
  </si>
  <si>
    <t>3_all_miti_pc_mean__yd_7</t>
  </si>
  <si>
    <t>3_all_miti_noST_pc_beneficiaries__yd_7</t>
  </si>
  <si>
    <t>3_all_miti_noST_pc_benefits__yd_7</t>
  </si>
  <si>
    <t>3_all_miti_noST_pc_coverage__yd_7</t>
  </si>
  <si>
    <t>3_all_miti_noST_pc_mean__yd_7</t>
  </si>
  <si>
    <t>3_all_policies_miti_pc_beneficiaries__yd_7</t>
  </si>
  <si>
    <t>3_all_policies_miti_pc_benefits__yd_7</t>
  </si>
  <si>
    <t>3_all_policies_miti_pc_coverage__yd_7</t>
  </si>
  <si>
    <t>3_all_policies_miti_pc_mean__yd_7</t>
  </si>
  <si>
    <t>3_all_policies_noST_pc_beneficiaries__yd_7</t>
  </si>
  <si>
    <t>3_all_policies_noST_pc_benefits__yd_7</t>
  </si>
  <si>
    <t>3_all_policies_noST_pc_coverage__yd_7</t>
  </si>
  <si>
    <t>3_all_policies_noST_pc_mean__yd_7</t>
  </si>
  <si>
    <t>3_all_policies_pc_beneficiaries__yd_7</t>
  </si>
  <si>
    <t>3_all_policies_pc_benefits__yd_7</t>
  </si>
  <si>
    <t>3_all_policies_pc_coverage__yd_7</t>
  </si>
  <si>
    <t>3_all_policies_pc_mean__yd_7</t>
  </si>
  <si>
    <t>3_subsidy_fuel_indirect_pc_beneficiaries__yd_7</t>
  </si>
  <si>
    <t>3_subsidy_fuel_indirect_pc_benefits__yd_7</t>
  </si>
  <si>
    <t>3_subsidy_fuel_indirect_pc_coverage__yd_7</t>
  </si>
  <si>
    <t>3_subsidy_fuel_indirect_pc_mean__yd_7</t>
  </si>
  <si>
    <t>3_all_tax_pc_beneficiaries__yd_7</t>
  </si>
  <si>
    <t>3_all_tax_pc_benefits__yd_7</t>
  </si>
  <si>
    <t>3_all_tax_pc_coverage__yd_7</t>
  </si>
  <si>
    <t>3_all_tax_pc_mean__yd_7</t>
  </si>
  <si>
    <t>3_all_subs_noST_pc_beneficiaries__yd_7</t>
  </si>
  <si>
    <t>3_all_subs_noST_pc_benefits__yd_7</t>
  </si>
  <si>
    <t>3_all_subs_noST_pc_coverage__yd_7</t>
  </si>
  <si>
    <t>3_all_subs_noST_pc_mean__yd_7</t>
  </si>
  <si>
    <t>3_all_subs_pc_beneficiaries__yd_7</t>
  </si>
  <si>
    <t>3_all_subs_pc_benefits__yd_7</t>
  </si>
  <si>
    <t>3_all_subs_pc_coverage__yd_7</t>
  </si>
  <si>
    <t>3_all_subs_pc_mean__yd_7</t>
  </si>
  <si>
    <t>3_all_elec_noST_pc_beneficiaries__yd_7</t>
  </si>
  <si>
    <t>3_all_elec_noST_pc_benefits__yd_7</t>
  </si>
  <si>
    <t>3_all_elec_noST_pc_coverage__yd_7</t>
  </si>
  <si>
    <t>3_all_elec_noST_pc_mean__yd_7</t>
  </si>
  <si>
    <t>3_all_elec_pc_beneficiaries__yd_7</t>
  </si>
  <si>
    <t>3_all_elec_pc_benefits__yd_7</t>
  </si>
  <si>
    <t>3_all_elec_pc_coverage__yd_7</t>
  </si>
  <si>
    <t>3_all_elec_pc_mean__yd_7</t>
  </si>
  <si>
    <t>3_all_fuel_pc_beneficiaries__yd_7</t>
  </si>
  <si>
    <t>3_all_fuel_pc_benefits__yd_7</t>
  </si>
  <si>
    <t>3_all_fuel_pc_coverage__yd_7</t>
  </si>
  <si>
    <t>3_all_fuel_pc_mean__yd_7</t>
  </si>
  <si>
    <t>3_subsidy_fuel_pc_beneficiaries__yd_7</t>
  </si>
  <si>
    <t>3_subsidy_fuel_pc_benefits__yd_7</t>
  </si>
  <si>
    <t>3_subsidy_fuel_pc_coverage__yd_7</t>
  </si>
  <si>
    <t>3_subsidy_fuel_pc_mean__yd_7</t>
  </si>
  <si>
    <t>3_subsidy_elec_direct_pc_beneficiaries__yd_7</t>
  </si>
  <si>
    <t>3_subsidy_elec_direct_pc_benefits__yd_7</t>
  </si>
  <si>
    <t>3_subsidy_elec_direct_pc_coverage__yd_7</t>
  </si>
  <si>
    <t>3_subsidy_elec_direct_pc_mean__yd_7</t>
  </si>
  <si>
    <t>3_subsidy_elec_indirect_pc_beneficiaries__yd_7</t>
  </si>
  <si>
    <t>3_subsidy_elec_indirect_pc_benefits__yd_7</t>
  </si>
  <si>
    <t>3_subsidy_elec_indirect_pc_coverage__yd_7</t>
  </si>
  <si>
    <t>3_subsidy_elec_indirect_pc_mean__yd_7</t>
  </si>
  <si>
    <t>3_subsidy_elec_pc_beneficiaries__yd_7</t>
  </si>
  <si>
    <t>3_subsidy_elec_pc_benefits__yd_7</t>
  </si>
  <si>
    <t>3_subsidy_elec_pc_coverage__yd_7</t>
  </si>
  <si>
    <t>3_subsidy_elec_pc_mean__yd_7</t>
  </si>
  <si>
    <t>3_vat_elec_pc_beneficiaries__yd_7</t>
  </si>
  <si>
    <t>3_vat_elec_pc_benefits__yd_7</t>
  </si>
  <si>
    <t>3_vat_elec_pc_coverage__yd_7</t>
  </si>
  <si>
    <t>3_vat_elec_pc_mean__yd_7</t>
  </si>
  <si>
    <t>3_vat_fuel_pc_beneficiaries__yd_7</t>
  </si>
  <si>
    <t>3_vat_fuel_pc_benefits__yd_7</t>
  </si>
  <si>
    <t>3_vat_fuel_pc_coverage__yd_7</t>
  </si>
  <si>
    <t>3_vat_fuel_pc_mean__yd_7</t>
  </si>
  <si>
    <t>3_am_new_pnbsf_pc_beneficiaries__yd_7</t>
  </si>
  <si>
    <t>3_am_new_pnbsf_pc_benefits__yd_7</t>
  </si>
  <si>
    <t>3_am_new_pnbsf_pc_coverage__yd_7</t>
  </si>
  <si>
    <t>3_am_new_pnbsf_pc_mean__yd_7</t>
  </si>
  <si>
    <t>3_subsidy_fuel_direct_pc_beneficiaries__yd_8</t>
  </si>
  <si>
    <t>3_subsidy_fuel_direct_pc_benefits__yd_8</t>
  </si>
  <si>
    <t>3_subsidy_fuel_direct_pc_coverage__yd_8</t>
  </si>
  <si>
    <t>3_subsidy_fuel_direct_pc_mean__yd_8</t>
  </si>
  <si>
    <t>3_am_delayed_pnbsf_pc_beneficiaries__yd_8</t>
  </si>
  <si>
    <t>3_am_delayed_pnbsf_pc_benefits__yd_8</t>
  </si>
  <si>
    <t>3_am_delayed_pnbsf_pc_coverage__yd_8</t>
  </si>
  <si>
    <t>3_am_delayed_pnbsf_pc_mean__yd_8</t>
  </si>
  <si>
    <t>3_social_tranche_pc_beneficiaries__yd_8</t>
  </si>
  <si>
    <t>3_social_tranche_pc_benefits__yd_8</t>
  </si>
  <si>
    <t>3_social_tranche_pc_coverage__yd_8</t>
  </si>
  <si>
    <t>3_social_tranche_pc_mean__yd_8</t>
  </si>
  <si>
    <t>3_subs_public_transport_pc_beneficiaries__yd_8</t>
  </si>
  <si>
    <t>3_subs_public_transport_pc_benefits__yd_8</t>
  </si>
  <si>
    <t>3_subs_public_transport_pc_coverage__yd_8</t>
  </si>
  <si>
    <t>3_subs_public_transport_pc_mean__yd_8</t>
  </si>
  <si>
    <t>3_am_pnbsf_transferinc_pc_beneficiaries__yd_8</t>
  </si>
  <si>
    <t>3_am_pnbsf_transferinc_pc_benefits__yd_8</t>
  </si>
  <si>
    <t>3_am_pnbsf_transferinc_pc_coverage__yd_8</t>
  </si>
  <si>
    <t>3_am_pnbsf_transferinc_pc_mean__yd_8</t>
  </si>
  <si>
    <t>3_am_pnbsf_newbenefs_pc_beneficiaries__yd_8</t>
  </si>
  <si>
    <t>3_am_pnbsf_newbenefs_pc_benefits__yd_8</t>
  </si>
  <si>
    <t>3_am_pnbsf_newbenefs_pc_coverage__yd_8</t>
  </si>
  <si>
    <t>3_am_pnbsf_newbenefs_pc_mean__yd_8</t>
  </si>
  <si>
    <t>3_all_miti_pc_beneficiaries__yd_8</t>
  </si>
  <si>
    <t>3_all_miti_pc_benefits__yd_8</t>
  </si>
  <si>
    <t>3_all_miti_pc_coverage__yd_8</t>
  </si>
  <si>
    <t>3_all_miti_pc_mean__yd_8</t>
  </si>
  <si>
    <t>3_all_miti_noST_pc_beneficiaries__yd_8</t>
  </si>
  <si>
    <t>3_all_miti_noST_pc_benefits__yd_8</t>
  </si>
  <si>
    <t>3_all_miti_noST_pc_coverage__yd_8</t>
  </si>
  <si>
    <t>3_all_miti_noST_pc_mean__yd_8</t>
  </si>
  <si>
    <t>3_all_policies_miti_pc_beneficiaries__yd_8</t>
  </si>
  <si>
    <t>3_all_policies_miti_pc_benefits__yd_8</t>
  </si>
  <si>
    <t>3_all_policies_miti_pc_coverage__yd_8</t>
  </si>
  <si>
    <t>3_all_policies_miti_pc_mean__yd_8</t>
  </si>
  <si>
    <t>3_all_policies_noST_pc_beneficiaries__yd_8</t>
  </si>
  <si>
    <t>3_all_policies_noST_pc_benefits__yd_8</t>
  </si>
  <si>
    <t>3_all_policies_noST_pc_coverage__yd_8</t>
  </si>
  <si>
    <t>3_all_policies_noST_pc_mean__yd_8</t>
  </si>
  <si>
    <t>3_all_policies_pc_beneficiaries__yd_8</t>
  </si>
  <si>
    <t>3_all_policies_pc_benefits__yd_8</t>
  </si>
  <si>
    <t>3_all_policies_pc_coverage__yd_8</t>
  </si>
  <si>
    <t>3_all_policies_pc_mean__yd_8</t>
  </si>
  <si>
    <t>3_subsidy_fuel_indirect_pc_beneficiaries__yd_8</t>
  </si>
  <si>
    <t>3_subsidy_fuel_indirect_pc_benefits__yd_8</t>
  </si>
  <si>
    <t>3_subsidy_fuel_indirect_pc_coverage__yd_8</t>
  </si>
  <si>
    <t>3_subsidy_fuel_indirect_pc_mean__yd_8</t>
  </si>
  <si>
    <t>3_all_tax_pc_beneficiaries__yd_8</t>
  </si>
  <si>
    <t>3_all_tax_pc_benefits__yd_8</t>
  </si>
  <si>
    <t>3_all_tax_pc_coverage__yd_8</t>
  </si>
  <si>
    <t>3_all_tax_pc_mean__yd_8</t>
  </si>
  <si>
    <t>3_all_subs_noST_pc_beneficiaries__yd_8</t>
  </si>
  <si>
    <t>3_all_subs_noST_pc_benefits__yd_8</t>
  </si>
  <si>
    <t>3_all_subs_noST_pc_coverage__yd_8</t>
  </si>
  <si>
    <t>3_all_subs_noST_pc_mean__yd_8</t>
  </si>
  <si>
    <t>3_all_subs_pc_beneficiaries__yd_8</t>
  </si>
  <si>
    <t>3_all_subs_pc_benefits__yd_8</t>
  </si>
  <si>
    <t>3_all_subs_pc_coverage__yd_8</t>
  </si>
  <si>
    <t>3_all_subs_pc_mean__yd_8</t>
  </si>
  <si>
    <t>3_all_elec_noST_pc_beneficiaries__yd_8</t>
  </si>
  <si>
    <t>3_all_elec_noST_pc_benefits__yd_8</t>
  </si>
  <si>
    <t>3_all_elec_noST_pc_coverage__yd_8</t>
  </si>
  <si>
    <t>3_all_elec_noST_pc_mean__yd_8</t>
  </si>
  <si>
    <t>3_all_elec_pc_beneficiaries__yd_8</t>
  </si>
  <si>
    <t>3_all_elec_pc_benefits__yd_8</t>
  </si>
  <si>
    <t>3_all_elec_pc_coverage__yd_8</t>
  </si>
  <si>
    <t>3_all_elec_pc_mean__yd_8</t>
  </si>
  <si>
    <t>3_all_fuel_pc_beneficiaries__yd_8</t>
  </si>
  <si>
    <t>3_all_fuel_pc_benefits__yd_8</t>
  </si>
  <si>
    <t>3_all_fuel_pc_coverage__yd_8</t>
  </si>
  <si>
    <t>3_all_fuel_pc_mean__yd_8</t>
  </si>
  <si>
    <t>3_subsidy_fuel_pc_beneficiaries__yd_8</t>
  </si>
  <si>
    <t>3_subsidy_fuel_pc_benefits__yd_8</t>
  </si>
  <si>
    <t>3_subsidy_fuel_pc_coverage__yd_8</t>
  </si>
  <si>
    <t>3_subsidy_fuel_pc_mean__yd_8</t>
  </si>
  <si>
    <t>3_subsidy_elec_direct_pc_beneficiaries__yd_8</t>
  </si>
  <si>
    <t>3_subsidy_elec_direct_pc_benefits__yd_8</t>
  </si>
  <si>
    <t>3_subsidy_elec_direct_pc_coverage__yd_8</t>
  </si>
  <si>
    <t>3_subsidy_elec_direct_pc_mean__yd_8</t>
  </si>
  <si>
    <t>3_subsidy_elec_indirect_pc_beneficiaries__yd_8</t>
  </si>
  <si>
    <t>3_subsidy_elec_indirect_pc_benefits__yd_8</t>
  </si>
  <si>
    <t>3_subsidy_elec_indirect_pc_coverage__yd_8</t>
  </si>
  <si>
    <t>3_subsidy_elec_indirect_pc_mean__yd_8</t>
  </si>
  <si>
    <t>3_subsidy_elec_pc_beneficiaries__yd_8</t>
  </si>
  <si>
    <t>3_subsidy_elec_pc_benefits__yd_8</t>
  </si>
  <si>
    <t>3_subsidy_elec_pc_coverage__yd_8</t>
  </si>
  <si>
    <t>3_subsidy_elec_pc_mean__yd_8</t>
  </si>
  <si>
    <t>3_vat_elec_pc_beneficiaries__yd_8</t>
  </si>
  <si>
    <t>3_vat_elec_pc_benefits__yd_8</t>
  </si>
  <si>
    <t>3_vat_elec_pc_coverage__yd_8</t>
  </si>
  <si>
    <t>3_vat_elec_pc_mean__yd_8</t>
  </si>
  <si>
    <t>3_vat_fuel_pc_beneficiaries__yd_8</t>
  </si>
  <si>
    <t>3_vat_fuel_pc_benefits__yd_8</t>
  </si>
  <si>
    <t>3_vat_fuel_pc_coverage__yd_8</t>
  </si>
  <si>
    <t>3_vat_fuel_pc_mean__yd_8</t>
  </si>
  <si>
    <t>3_am_new_pnbsf_pc_beneficiaries__yd_8</t>
  </si>
  <si>
    <t>3_am_new_pnbsf_pc_benefits__yd_8</t>
  </si>
  <si>
    <t>3_am_new_pnbsf_pc_coverage__yd_8</t>
  </si>
  <si>
    <t>3_am_new_pnbsf_pc_mean__yd_8</t>
  </si>
  <si>
    <t>3_subsidy_fuel_direct_pc_beneficiaries__yd_9</t>
  </si>
  <si>
    <t>3_subsidy_fuel_direct_pc_benefits__yd_9</t>
  </si>
  <si>
    <t>3_subsidy_fuel_direct_pc_coverage__yd_9</t>
  </si>
  <si>
    <t>3_subsidy_fuel_direct_pc_mean__yd_9</t>
  </si>
  <si>
    <t>3_am_delayed_pnbsf_pc_beneficiaries__yd_9</t>
  </si>
  <si>
    <t>3_am_delayed_pnbsf_pc_benefits__yd_9</t>
  </si>
  <si>
    <t>3_am_delayed_pnbsf_pc_coverage__yd_9</t>
  </si>
  <si>
    <t>3_am_delayed_pnbsf_pc_mean__yd_9</t>
  </si>
  <si>
    <t>3_social_tranche_pc_beneficiaries__yd_9</t>
  </si>
  <si>
    <t>3_social_tranche_pc_benefits__yd_9</t>
  </si>
  <si>
    <t>3_social_tranche_pc_coverage__yd_9</t>
  </si>
  <si>
    <t>3_social_tranche_pc_mean__yd_9</t>
  </si>
  <si>
    <t>3_subs_public_transport_pc_beneficiaries__yd_9</t>
  </si>
  <si>
    <t>3_subs_public_transport_pc_benefits__yd_9</t>
  </si>
  <si>
    <t>3_subs_public_transport_pc_coverage__yd_9</t>
  </si>
  <si>
    <t>3_subs_public_transport_pc_mean__yd_9</t>
  </si>
  <si>
    <t>3_am_pnbsf_transferinc_pc_beneficiaries__yd_9</t>
  </si>
  <si>
    <t>3_am_pnbsf_transferinc_pc_benefits__yd_9</t>
  </si>
  <si>
    <t>3_am_pnbsf_transferinc_pc_coverage__yd_9</t>
  </si>
  <si>
    <t>3_am_pnbsf_transferinc_pc_mean__yd_9</t>
  </si>
  <si>
    <t>3_am_pnbsf_newbenefs_pc_beneficiaries__yd_9</t>
  </si>
  <si>
    <t>3_am_pnbsf_newbenefs_pc_benefits__yd_9</t>
  </si>
  <si>
    <t>3_am_pnbsf_newbenefs_pc_coverage__yd_9</t>
  </si>
  <si>
    <t>3_am_pnbsf_newbenefs_pc_mean__yd_9</t>
  </si>
  <si>
    <t>3_all_miti_pc_beneficiaries__yd_9</t>
  </si>
  <si>
    <t>3_all_miti_pc_benefits__yd_9</t>
  </si>
  <si>
    <t>3_all_miti_pc_coverage__yd_9</t>
  </si>
  <si>
    <t>3_all_miti_pc_mean__yd_9</t>
  </si>
  <si>
    <t>3_all_miti_noST_pc_beneficiaries__yd_9</t>
  </si>
  <si>
    <t>3_all_miti_noST_pc_benefits__yd_9</t>
  </si>
  <si>
    <t>3_all_miti_noST_pc_coverage__yd_9</t>
  </si>
  <si>
    <t>3_all_miti_noST_pc_mean__yd_9</t>
  </si>
  <si>
    <t>3_all_policies_miti_pc_beneficiaries__yd_9</t>
  </si>
  <si>
    <t>3_all_policies_miti_pc_benefits__yd_9</t>
  </si>
  <si>
    <t>3_all_policies_miti_pc_coverage__yd_9</t>
  </si>
  <si>
    <t>3_all_policies_miti_pc_mean__yd_9</t>
  </si>
  <si>
    <t>3_all_policies_noST_pc_beneficiaries__yd_9</t>
  </si>
  <si>
    <t>3_all_policies_noST_pc_benefits__yd_9</t>
  </si>
  <si>
    <t>3_all_policies_noST_pc_coverage__yd_9</t>
  </si>
  <si>
    <t>3_all_policies_noST_pc_mean__yd_9</t>
  </si>
  <si>
    <t>3_all_policies_pc_beneficiaries__yd_9</t>
  </si>
  <si>
    <t>3_all_policies_pc_benefits__yd_9</t>
  </si>
  <si>
    <t>3_all_policies_pc_coverage__yd_9</t>
  </si>
  <si>
    <t>3_all_policies_pc_mean__yd_9</t>
  </si>
  <si>
    <t>3_subsidy_fuel_indirect_pc_beneficiaries__yd_9</t>
  </si>
  <si>
    <t>3_subsidy_fuel_indirect_pc_benefits__yd_9</t>
  </si>
  <si>
    <t>3_subsidy_fuel_indirect_pc_coverage__yd_9</t>
  </si>
  <si>
    <t>3_subsidy_fuel_indirect_pc_mean__yd_9</t>
  </si>
  <si>
    <t>3_all_tax_pc_beneficiaries__yd_9</t>
  </si>
  <si>
    <t>3_all_tax_pc_benefits__yd_9</t>
  </si>
  <si>
    <t>3_all_tax_pc_coverage__yd_9</t>
  </si>
  <si>
    <t>3_all_tax_pc_mean__yd_9</t>
  </si>
  <si>
    <t>3_all_subs_noST_pc_beneficiaries__yd_9</t>
  </si>
  <si>
    <t>3_all_subs_noST_pc_benefits__yd_9</t>
  </si>
  <si>
    <t>3_all_subs_noST_pc_coverage__yd_9</t>
  </si>
  <si>
    <t>3_all_subs_noST_pc_mean__yd_9</t>
  </si>
  <si>
    <t>3_all_subs_pc_beneficiaries__yd_9</t>
  </si>
  <si>
    <t>3_all_subs_pc_benefits__yd_9</t>
  </si>
  <si>
    <t>3_all_subs_pc_coverage__yd_9</t>
  </si>
  <si>
    <t>3_all_subs_pc_mean__yd_9</t>
  </si>
  <si>
    <t>3_all_elec_noST_pc_beneficiaries__yd_9</t>
  </si>
  <si>
    <t>3_all_elec_noST_pc_benefits__yd_9</t>
  </si>
  <si>
    <t>3_all_elec_noST_pc_coverage__yd_9</t>
  </si>
  <si>
    <t>3_all_elec_noST_pc_mean__yd_9</t>
  </si>
  <si>
    <t>3_all_elec_pc_beneficiaries__yd_9</t>
  </si>
  <si>
    <t>3_all_elec_pc_benefits__yd_9</t>
  </si>
  <si>
    <t>3_all_elec_pc_coverage__yd_9</t>
  </si>
  <si>
    <t>3_all_elec_pc_mean__yd_9</t>
  </si>
  <si>
    <t>3_all_fuel_pc_beneficiaries__yd_9</t>
  </si>
  <si>
    <t>3_all_fuel_pc_benefits__yd_9</t>
  </si>
  <si>
    <t>3_all_fuel_pc_coverage__yd_9</t>
  </si>
  <si>
    <t>3_all_fuel_pc_mean__yd_9</t>
  </si>
  <si>
    <t>3_subsidy_fuel_pc_beneficiaries__yd_9</t>
  </si>
  <si>
    <t>3_subsidy_fuel_pc_benefits__yd_9</t>
  </si>
  <si>
    <t>3_subsidy_fuel_pc_coverage__yd_9</t>
  </si>
  <si>
    <t>3_subsidy_fuel_pc_mean__yd_9</t>
  </si>
  <si>
    <t>3_subsidy_elec_direct_pc_beneficiaries__yd_9</t>
  </si>
  <si>
    <t>3_subsidy_elec_direct_pc_benefits__yd_9</t>
  </si>
  <si>
    <t>3_subsidy_elec_direct_pc_coverage__yd_9</t>
  </si>
  <si>
    <t>3_subsidy_elec_direct_pc_mean__yd_9</t>
  </si>
  <si>
    <t>3_subsidy_elec_indirect_pc_beneficiaries__yd_9</t>
  </si>
  <si>
    <t>3_subsidy_elec_indirect_pc_benefits__yd_9</t>
  </si>
  <si>
    <t>3_subsidy_elec_indirect_pc_coverage__yd_9</t>
  </si>
  <si>
    <t>3_subsidy_elec_indirect_pc_mean__yd_9</t>
  </si>
  <si>
    <t>3_subsidy_elec_pc_beneficiaries__yd_9</t>
  </si>
  <si>
    <t>3_subsidy_elec_pc_benefits__yd_9</t>
  </si>
  <si>
    <t>3_subsidy_elec_pc_coverage__yd_9</t>
  </si>
  <si>
    <t>3_subsidy_elec_pc_mean__yd_9</t>
  </si>
  <si>
    <t>3_vat_elec_pc_beneficiaries__yd_9</t>
  </si>
  <si>
    <t>3_vat_elec_pc_benefits__yd_9</t>
  </si>
  <si>
    <t>3_vat_elec_pc_coverage__yd_9</t>
  </si>
  <si>
    <t>3_vat_elec_pc_mean__yd_9</t>
  </si>
  <si>
    <t>3_vat_fuel_pc_beneficiaries__yd_9</t>
  </si>
  <si>
    <t>3_vat_fuel_pc_benefits__yd_9</t>
  </si>
  <si>
    <t>3_vat_fuel_pc_coverage__yd_9</t>
  </si>
  <si>
    <t>3_vat_fuel_pc_mean__yd_9</t>
  </si>
  <si>
    <t>3_am_new_pnbsf_pc_beneficiaries__yd_9</t>
  </si>
  <si>
    <t>3_am_new_pnbsf_pc_benefits__yd_9</t>
  </si>
  <si>
    <t>3_am_new_pnbsf_pc_coverage__yd_9</t>
  </si>
  <si>
    <t>3_am_new_pnbsf_pc_mean__yd_9</t>
  </si>
  <si>
    <t>3_subsidy_fuel_direct_pc_beneficiaries__yd_10</t>
  </si>
  <si>
    <t>3_subsidy_fuel_direct_pc_benefits__yd_10</t>
  </si>
  <si>
    <t>3_subsidy_fuel_direct_pc_coverage__yd_10</t>
  </si>
  <si>
    <t>3_subsidy_fuel_direct_pc_mean__yd_10</t>
  </si>
  <si>
    <t>3_am_delayed_pnbsf_pc_beneficiaries__yd_10</t>
  </si>
  <si>
    <t>3_am_delayed_pnbsf_pc_benefits__yd_10</t>
  </si>
  <si>
    <t>3_am_delayed_pnbsf_pc_coverage__yd_10</t>
  </si>
  <si>
    <t>3_am_delayed_pnbsf_pc_mean__yd_10</t>
  </si>
  <si>
    <t>3_social_tranche_pc_beneficiaries__yd_10</t>
  </si>
  <si>
    <t>3_social_tranche_pc_benefits__yd_10</t>
  </si>
  <si>
    <t>3_social_tranche_pc_coverage__yd_10</t>
  </si>
  <si>
    <t>3_social_tranche_pc_mean__yd_10</t>
  </si>
  <si>
    <t>3_subs_public_transport_pc_beneficiaries__yd_10</t>
  </si>
  <si>
    <t>3_subs_public_transport_pc_benefits__yd_10</t>
  </si>
  <si>
    <t>3_subs_public_transport_pc_coverage__yd_10</t>
  </si>
  <si>
    <t>3_subs_public_transport_pc_mean__yd_10</t>
  </si>
  <si>
    <t>3_am_pnbsf_transferinc_pc_beneficiaries__yd_10</t>
  </si>
  <si>
    <t>3_am_pnbsf_transferinc_pc_benefits__yd_10</t>
  </si>
  <si>
    <t>3_am_pnbsf_transferinc_pc_coverage__yd_10</t>
  </si>
  <si>
    <t>3_am_pnbsf_transferinc_pc_mean__yd_10</t>
  </si>
  <si>
    <t>3_am_pnbsf_newbenefs_pc_beneficiaries__yd_10</t>
  </si>
  <si>
    <t>3_am_pnbsf_newbenefs_pc_benefits__yd_10</t>
  </si>
  <si>
    <t>3_am_pnbsf_newbenefs_pc_coverage__yd_10</t>
  </si>
  <si>
    <t>3_am_pnbsf_newbenefs_pc_mean__yd_10</t>
  </si>
  <si>
    <t>3_all_miti_pc_beneficiaries__yd_10</t>
  </si>
  <si>
    <t>3_all_miti_pc_benefits__yd_10</t>
  </si>
  <si>
    <t>3_all_miti_pc_coverage__yd_10</t>
  </si>
  <si>
    <t>3_all_miti_pc_mean__yd_10</t>
  </si>
  <si>
    <t>3_all_miti_noST_pc_beneficiaries__yd_10</t>
  </si>
  <si>
    <t>3_all_miti_noST_pc_benefits__yd_10</t>
  </si>
  <si>
    <t>3_all_miti_noST_pc_coverage__yd_10</t>
  </si>
  <si>
    <t>3_all_miti_noST_pc_mean__yd_10</t>
  </si>
  <si>
    <t>3_all_policies_miti_pc_beneficiaries__yd_10</t>
  </si>
  <si>
    <t>3_all_policies_miti_pc_benefits__yd_10</t>
  </si>
  <si>
    <t>3_all_policies_miti_pc_coverage__yd_10</t>
  </si>
  <si>
    <t>3_all_policies_miti_pc_mean__yd_10</t>
  </si>
  <si>
    <t>3_all_policies_noST_pc_beneficiaries__yd_10</t>
  </si>
  <si>
    <t>3_all_policies_noST_pc_benefits__yd_10</t>
  </si>
  <si>
    <t>3_all_policies_noST_pc_coverage__yd_10</t>
  </si>
  <si>
    <t>3_all_policies_noST_pc_mean__yd_10</t>
  </si>
  <si>
    <t>3_all_policies_pc_beneficiaries__yd_10</t>
  </si>
  <si>
    <t>3_all_policies_pc_benefits__yd_10</t>
  </si>
  <si>
    <t>3_all_policies_pc_coverage__yd_10</t>
  </si>
  <si>
    <t>3_all_policies_pc_mean__yd_10</t>
  </si>
  <si>
    <t>3_subsidy_fuel_indirect_pc_beneficiaries__yd_10</t>
  </si>
  <si>
    <t>3_subsidy_fuel_indirect_pc_benefits__yd_10</t>
  </si>
  <si>
    <t>3_subsidy_fuel_indirect_pc_coverage__yd_10</t>
  </si>
  <si>
    <t>3_subsidy_fuel_indirect_pc_mean__yd_10</t>
  </si>
  <si>
    <t>3_all_tax_pc_beneficiaries__yd_10</t>
  </si>
  <si>
    <t>3_all_tax_pc_benefits__yd_10</t>
  </si>
  <si>
    <t>3_all_tax_pc_coverage__yd_10</t>
  </si>
  <si>
    <t>3_all_tax_pc_mean__yd_10</t>
  </si>
  <si>
    <t>3_all_subs_noST_pc_beneficiaries__yd_10</t>
  </si>
  <si>
    <t>3_all_subs_noST_pc_benefits__yd_10</t>
  </si>
  <si>
    <t>3_all_subs_noST_pc_coverage__yd_10</t>
  </si>
  <si>
    <t>3_all_subs_noST_pc_mean__yd_10</t>
  </si>
  <si>
    <t>3_all_subs_pc_beneficiaries__yd_10</t>
  </si>
  <si>
    <t>3_all_subs_pc_benefits__yd_10</t>
  </si>
  <si>
    <t>3_all_subs_pc_coverage__yd_10</t>
  </si>
  <si>
    <t>3_all_subs_pc_mean__yd_10</t>
  </si>
  <si>
    <t>3_all_elec_noST_pc_beneficiaries__yd_10</t>
  </si>
  <si>
    <t>3_all_elec_noST_pc_benefits__yd_10</t>
  </si>
  <si>
    <t>3_all_elec_noST_pc_coverage__yd_10</t>
  </si>
  <si>
    <t>3_all_elec_noST_pc_mean__yd_10</t>
  </si>
  <si>
    <t>3_all_elec_pc_beneficiaries__yd_10</t>
  </si>
  <si>
    <t>3_all_elec_pc_benefits__yd_10</t>
  </si>
  <si>
    <t>3_all_elec_pc_coverage__yd_10</t>
  </si>
  <si>
    <t>3_all_elec_pc_mean__yd_10</t>
  </si>
  <si>
    <t>3_all_fuel_pc_beneficiaries__yd_10</t>
  </si>
  <si>
    <t>3_all_fuel_pc_benefits__yd_10</t>
  </si>
  <si>
    <t>3_all_fuel_pc_coverage__yd_10</t>
  </si>
  <si>
    <t>3_all_fuel_pc_mean__yd_10</t>
  </si>
  <si>
    <t>3_subsidy_fuel_pc_beneficiaries__yd_10</t>
  </si>
  <si>
    <t>3_subsidy_fuel_pc_benefits__yd_10</t>
  </si>
  <si>
    <t>3_subsidy_fuel_pc_coverage__yd_10</t>
  </si>
  <si>
    <t>3_subsidy_fuel_pc_mean__yd_10</t>
  </si>
  <si>
    <t>3_subsidy_elec_direct_pc_beneficiaries__yd_10</t>
  </si>
  <si>
    <t>3_subsidy_elec_direct_pc_benefits__yd_10</t>
  </si>
  <si>
    <t>3_subsidy_elec_direct_pc_coverage__yd_10</t>
  </si>
  <si>
    <t>3_subsidy_elec_direct_pc_mean__yd_10</t>
  </si>
  <si>
    <t>3_subsidy_elec_indirect_pc_beneficiaries__yd_10</t>
  </si>
  <si>
    <t>3_subsidy_elec_indirect_pc_benefits__yd_10</t>
  </si>
  <si>
    <t>3_subsidy_elec_indirect_pc_coverage__yd_10</t>
  </si>
  <si>
    <t>3_subsidy_elec_indirect_pc_mean__yd_10</t>
  </si>
  <si>
    <t>3_subsidy_elec_pc_beneficiaries__yd_10</t>
  </si>
  <si>
    <t>3_subsidy_elec_pc_benefits__yd_10</t>
  </si>
  <si>
    <t>3_subsidy_elec_pc_coverage__yd_10</t>
  </si>
  <si>
    <t>3_subsidy_elec_pc_mean__yd_10</t>
  </si>
  <si>
    <t>3_vat_elec_pc_beneficiaries__yd_10</t>
  </si>
  <si>
    <t>3_vat_elec_pc_benefits__yd_10</t>
  </si>
  <si>
    <t>3_vat_elec_pc_coverage__yd_10</t>
  </si>
  <si>
    <t>3_vat_elec_pc_mean__yd_10</t>
  </si>
  <si>
    <t>3_vat_fuel_pc_beneficiaries__yd_10</t>
  </si>
  <si>
    <t>3_vat_fuel_pc_benefits__yd_10</t>
  </si>
  <si>
    <t>3_vat_fuel_pc_coverage__yd_10</t>
  </si>
  <si>
    <t>3_vat_fuel_pc_mean__yd_10</t>
  </si>
  <si>
    <t>3_am_new_pnbsf_pc_beneficiaries__yd_10</t>
  </si>
  <si>
    <t>3_am_new_pnbsf_pc_benefits__yd_10</t>
  </si>
  <si>
    <t>3_am_new_pnbsf_pc_coverage__yd_10</t>
  </si>
  <si>
    <t>3_am_new_pnbsf_pc_mean__yd_10</t>
  </si>
  <si>
    <t>3_all_elec_noST_pc_netcash__yd_1</t>
  </si>
  <si>
    <t>3_all_elec_pc_netcash__yd_1</t>
  </si>
  <si>
    <t>3_all_fuel_pc_netcash__yd_1</t>
  </si>
  <si>
    <t>3_all_miti_noST_pc_netcash__yd_1</t>
  </si>
  <si>
    <t>3_all_miti_pc_netcash__yd_1</t>
  </si>
  <si>
    <t>3_all_policies_miti_pc_netcash__yd_1</t>
  </si>
  <si>
    <t>3_all_policies_noST_pc_netcash__yd_1</t>
  </si>
  <si>
    <t>3_all_policies_pc_netcash__yd_1</t>
  </si>
  <si>
    <t>3_all_subs_noST_pc_netcash__yd_1</t>
  </si>
  <si>
    <t>3_all_subs_pc_netcash__yd_1</t>
  </si>
  <si>
    <t>3_all_tax_pc_netcash__yd_1</t>
  </si>
  <si>
    <t>3_am_delayed_pnbsf_pc_netcash__yd_1</t>
  </si>
  <si>
    <t>3_am_new_pnbsf_pc_netcash__yd_1</t>
  </si>
  <si>
    <t>3_am_pnbsf_newbenefs_pc_netcash__yd_1</t>
  </si>
  <si>
    <t>3_am_pnbsf_transferinc_pc_netcash__yd_1</t>
  </si>
  <si>
    <t>3_social_tranche_pc_netcash__yd_1</t>
  </si>
  <si>
    <t>3_subs_public_transport_pc_netcash__yd_1</t>
  </si>
  <si>
    <t>3_subsidy_elec_direct_pc_netcash__yd_1</t>
  </si>
  <si>
    <t>3_subsidy_elec_indirect_pc_netcash__yd_1</t>
  </si>
  <si>
    <t>3_subsidy_elec_pc_netcash__yd_1</t>
  </si>
  <si>
    <t>3_subsidy_fuel_direct_pc_netcash__yd_1</t>
  </si>
  <si>
    <t>3_subsidy_fuel_indirect_pc_netcash__yd_1</t>
  </si>
  <si>
    <t>3_subsidy_fuel_pc_netcash__yd_1</t>
  </si>
  <si>
    <t>3_vat_elec_pc_netcash__yd_1</t>
  </si>
  <si>
    <t>3_vat_fuel_pc_netcash__yd_1</t>
  </si>
  <si>
    <t>3_all_elec_noST_pc_netcash__yd_2</t>
  </si>
  <si>
    <t>3_all_elec_pc_netcash__yd_2</t>
  </si>
  <si>
    <t>3_all_fuel_pc_netcash__yd_2</t>
  </si>
  <si>
    <t>3_all_miti_noST_pc_netcash__yd_2</t>
  </si>
  <si>
    <t>3_all_miti_pc_netcash__yd_2</t>
  </si>
  <si>
    <t>3_all_policies_miti_pc_netcash__yd_2</t>
  </si>
  <si>
    <t>3_all_policies_noST_pc_netcash__yd_2</t>
  </si>
  <si>
    <t>3_all_policies_pc_netcash__yd_2</t>
  </si>
  <si>
    <t>3_all_subs_noST_pc_netcash__yd_2</t>
  </si>
  <si>
    <t>3_all_subs_pc_netcash__yd_2</t>
  </si>
  <si>
    <t>3_all_tax_pc_netcash__yd_2</t>
  </si>
  <si>
    <t>3_am_delayed_pnbsf_pc_netcash__yd_2</t>
  </si>
  <si>
    <t>3_am_new_pnbsf_pc_netcash__yd_2</t>
  </si>
  <si>
    <t>3_am_pnbsf_newbenefs_pc_netcash__yd_2</t>
  </si>
  <si>
    <t>3_am_pnbsf_transferinc_pc_netcash__yd_2</t>
  </si>
  <si>
    <t>3_social_tranche_pc_netcash__yd_2</t>
  </si>
  <si>
    <t>3_subs_public_transport_pc_netcash__yd_2</t>
  </si>
  <si>
    <t>3_subsidy_elec_direct_pc_netcash__yd_2</t>
  </si>
  <si>
    <t>3_subsidy_elec_indirect_pc_netcash__yd_2</t>
  </si>
  <si>
    <t>3_subsidy_elec_pc_netcash__yd_2</t>
  </si>
  <si>
    <t>3_subsidy_fuel_direct_pc_netcash__yd_2</t>
  </si>
  <si>
    <t>3_subsidy_fuel_indirect_pc_netcash__yd_2</t>
  </si>
  <si>
    <t>3_subsidy_fuel_pc_netcash__yd_2</t>
  </si>
  <si>
    <t>3_vat_elec_pc_netcash__yd_2</t>
  </si>
  <si>
    <t>3_vat_fuel_pc_netcash__yd_2</t>
  </si>
  <si>
    <t>3_all_elec_noST_pc_netcash__yd_3</t>
  </si>
  <si>
    <t>3_all_elec_pc_netcash__yd_3</t>
  </si>
  <si>
    <t>3_all_fuel_pc_netcash__yd_3</t>
  </si>
  <si>
    <t>3_all_miti_noST_pc_netcash__yd_3</t>
  </si>
  <si>
    <t>3_all_miti_pc_netcash__yd_3</t>
  </si>
  <si>
    <t>3_all_policies_miti_pc_netcash__yd_3</t>
  </si>
  <si>
    <t>3_all_policies_noST_pc_netcash__yd_3</t>
  </si>
  <si>
    <t>3_all_policies_pc_netcash__yd_3</t>
  </si>
  <si>
    <t>3_all_subs_noST_pc_netcash__yd_3</t>
  </si>
  <si>
    <t>3_all_subs_pc_netcash__yd_3</t>
  </si>
  <si>
    <t>3_all_tax_pc_netcash__yd_3</t>
  </si>
  <si>
    <t>3_am_delayed_pnbsf_pc_netcash__yd_3</t>
  </si>
  <si>
    <t>3_am_new_pnbsf_pc_netcash__yd_3</t>
  </si>
  <si>
    <t>3_am_pnbsf_newbenefs_pc_netcash__yd_3</t>
  </si>
  <si>
    <t>3_am_pnbsf_transferinc_pc_netcash__yd_3</t>
  </si>
  <si>
    <t>3_social_tranche_pc_netcash__yd_3</t>
  </si>
  <si>
    <t>3_subs_public_transport_pc_netcash__yd_3</t>
  </si>
  <si>
    <t>3_subsidy_elec_direct_pc_netcash__yd_3</t>
  </si>
  <si>
    <t>3_subsidy_elec_indirect_pc_netcash__yd_3</t>
  </si>
  <si>
    <t>3_subsidy_elec_pc_netcash__yd_3</t>
  </si>
  <si>
    <t>3_subsidy_fuel_direct_pc_netcash__yd_3</t>
  </si>
  <si>
    <t>3_subsidy_fuel_indirect_pc_netcash__yd_3</t>
  </si>
  <si>
    <t>3_subsidy_fuel_pc_netcash__yd_3</t>
  </si>
  <si>
    <t>3_vat_elec_pc_netcash__yd_3</t>
  </si>
  <si>
    <t>3_vat_fuel_pc_netcash__yd_3</t>
  </si>
  <si>
    <t>3_all_elec_noST_pc_netcash__yd_4</t>
  </si>
  <si>
    <t>3_all_elec_pc_netcash__yd_4</t>
  </si>
  <si>
    <t>3_all_fuel_pc_netcash__yd_4</t>
  </si>
  <si>
    <t>3_all_miti_noST_pc_netcash__yd_4</t>
  </si>
  <si>
    <t>3_all_miti_pc_netcash__yd_4</t>
  </si>
  <si>
    <t>3_all_policies_miti_pc_netcash__yd_4</t>
  </si>
  <si>
    <t>3_all_policies_noST_pc_netcash__yd_4</t>
  </si>
  <si>
    <t>3_all_policies_pc_netcash__yd_4</t>
  </si>
  <si>
    <t>3_all_subs_noST_pc_netcash__yd_4</t>
  </si>
  <si>
    <t>3_all_subs_pc_netcash__yd_4</t>
  </si>
  <si>
    <t>3_all_tax_pc_netcash__yd_4</t>
  </si>
  <si>
    <t>3_am_delayed_pnbsf_pc_netcash__yd_4</t>
  </si>
  <si>
    <t>3_am_new_pnbsf_pc_netcash__yd_4</t>
  </si>
  <si>
    <t>3_am_pnbsf_newbenefs_pc_netcash__yd_4</t>
  </si>
  <si>
    <t>3_am_pnbsf_transferinc_pc_netcash__yd_4</t>
  </si>
  <si>
    <t>3_social_tranche_pc_netcash__yd_4</t>
  </si>
  <si>
    <t>3_subs_public_transport_pc_netcash__yd_4</t>
  </si>
  <si>
    <t>3_subsidy_elec_direct_pc_netcash__yd_4</t>
  </si>
  <si>
    <t>3_subsidy_elec_indirect_pc_netcash__yd_4</t>
  </si>
  <si>
    <t>3_subsidy_elec_pc_netcash__yd_4</t>
  </si>
  <si>
    <t>3_subsidy_fuel_direct_pc_netcash__yd_4</t>
  </si>
  <si>
    <t>3_subsidy_fuel_indirect_pc_netcash__yd_4</t>
  </si>
  <si>
    <t>3_subsidy_fuel_pc_netcash__yd_4</t>
  </si>
  <si>
    <t>3_vat_elec_pc_netcash__yd_4</t>
  </si>
  <si>
    <t>3_vat_fuel_pc_netcash__yd_4</t>
  </si>
  <si>
    <t>3_all_elec_noST_pc_netcash__yd_5</t>
  </si>
  <si>
    <t>3_all_elec_pc_netcash__yd_5</t>
  </si>
  <si>
    <t>3_all_fuel_pc_netcash__yd_5</t>
  </si>
  <si>
    <t>3_all_miti_noST_pc_netcash__yd_5</t>
  </si>
  <si>
    <t>3_all_miti_pc_netcash__yd_5</t>
  </si>
  <si>
    <t>3_all_policies_miti_pc_netcash__yd_5</t>
  </si>
  <si>
    <t>3_all_policies_noST_pc_netcash__yd_5</t>
  </si>
  <si>
    <t>3_all_policies_pc_netcash__yd_5</t>
  </si>
  <si>
    <t>3_all_subs_noST_pc_netcash__yd_5</t>
  </si>
  <si>
    <t>3_all_subs_pc_netcash__yd_5</t>
  </si>
  <si>
    <t>3_all_tax_pc_netcash__yd_5</t>
  </si>
  <si>
    <t>3_am_delayed_pnbsf_pc_netcash__yd_5</t>
  </si>
  <si>
    <t>3_am_new_pnbsf_pc_netcash__yd_5</t>
  </si>
  <si>
    <t>3_am_pnbsf_newbenefs_pc_netcash__yd_5</t>
  </si>
  <si>
    <t>3_am_pnbsf_transferinc_pc_netcash__yd_5</t>
  </si>
  <si>
    <t>3_social_tranche_pc_netcash__yd_5</t>
  </si>
  <si>
    <t>3_subs_public_transport_pc_netcash__yd_5</t>
  </si>
  <si>
    <t>3_subsidy_elec_direct_pc_netcash__yd_5</t>
  </si>
  <si>
    <t>3_subsidy_elec_indirect_pc_netcash__yd_5</t>
  </si>
  <si>
    <t>3_subsidy_elec_pc_netcash__yd_5</t>
  </si>
  <si>
    <t>3_subsidy_fuel_direct_pc_netcash__yd_5</t>
  </si>
  <si>
    <t>3_subsidy_fuel_indirect_pc_netcash__yd_5</t>
  </si>
  <si>
    <t>3_subsidy_fuel_pc_netcash__yd_5</t>
  </si>
  <si>
    <t>3_vat_elec_pc_netcash__yd_5</t>
  </si>
  <si>
    <t>3_vat_fuel_pc_netcash__yd_5</t>
  </si>
  <si>
    <t>3_all_elec_noST_pc_netcash__yd_6</t>
  </si>
  <si>
    <t>3_all_elec_pc_netcash__yd_6</t>
  </si>
  <si>
    <t>3_all_fuel_pc_netcash__yd_6</t>
  </si>
  <si>
    <t>3_all_miti_noST_pc_netcash__yd_6</t>
  </si>
  <si>
    <t>3_all_miti_pc_netcash__yd_6</t>
  </si>
  <si>
    <t>3_all_policies_miti_pc_netcash__yd_6</t>
  </si>
  <si>
    <t>3_all_policies_noST_pc_netcash__yd_6</t>
  </si>
  <si>
    <t>3_all_policies_pc_netcash__yd_6</t>
  </si>
  <si>
    <t>3_all_subs_noST_pc_netcash__yd_6</t>
  </si>
  <si>
    <t>3_all_subs_pc_netcash__yd_6</t>
  </si>
  <si>
    <t>3_all_tax_pc_netcash__yd_6</t>
  </si>
  <si>
    <t>3_am_delayed_pnbsf_pc_netcash__yd_6</t>
  </si>
  <si>
    <t>3_am_new_pnbsf_pc_netcash__yd_6</t>
  </si>
  <si>
    <t>3_am_pnbsf_newbenefs_pc_netcash__yd_6</t>
  </si>
  <si>
    <t>3_am_pnbsf_transferinc_pc_netcash__yd_6</t>
  </si>
  <si>
    <t>3_social_tranche_pc_netcash__yd_6</t>
  </si>
  <si>
    <t>3_subs_public_transport_pc_netcash__yd_6</t>
  </si>
  <si>
    <t>3_subsidy_elec_direct_pc_netcash__yd_6</t>
  </si>
  <si>
    <t>3_subsidy_elec_indirect_pc_netcash__yd_6</t>
  </si>
  <si>
    <t>3_subsidy_elec_pc_netcash__yd_6</t>
  </si>
  <si>
    <t>3_subsidy_fuel_direct_pc_netcash__yd_6</t>
  </si>
  <si>
    <t>3_subsidy_fuel_indirect_pc_netcash__yd_6</t>
  </si>
  <si>
    <t>3_subsidy_fuel_pc_netcash__yd_6</t>
  </si>
  <si>
    <t>3_vat_elec_pc_netcash__yd_6</t>
  </si>
  <si>
    <t>3_vat_fuel_pc_netcash__yd_6</t>
  </si>
  <si>
    <t>3_all_elec_noST_pc_netcash__yd_7</t>
  </si>
  <si>
    <t>3_all_elec_pc_netcash__yd_7</t>
  </si>
  <si>
    <t>3_all_fuel_pc_netcash__yd_7</t>
  </si>
  <si>
    <t>3_all_miti_noST_pc_netcash__yd_7</t>
  </si>
  <si>
    <t>3_all_miti_pc_netcash__yd_7</t>
  </si>
  <si>
    <t>3_all_policies_miti_pc_netcash__yd_7</t>
  </si>
  <si>
    <t>3_all_policies_noST_pc_netcash__yd_7</t>
  </si>
  <si>
    <t>3_all_policies_pc_netcash__yd_7</t>
  </si>
  <si>
    <t>3_all_subs_noST_pc_netcash__yd_7</t>
  </si>
  <si>
    <t>3_all_subs_pc_netcash__yd_7</t>
  </si>
  <si>
    <t>3_all_tax_pc_netcash__yd_7</t>
  </si>
  <si>
    <t>3_am_delayed_pnbsf_pc_netcash__yd_7</t>
  </si>
  <si>
    <t>3_am_new_pnbsf_pc_netcash__yd_7</t>
  </si>
  <si>
    <t>3_am_pnbsf_newbenefs_pc_netcash__yd_7</t>
  </si>
  <si>
    <t>3_am_pnbsf_transferinc_pc_netcash__yd_7</t>
  </si>
  <si>
    <t>3_social_tranche_pc_netcash__yd_7</t>
  </si>
  <si>
    <t>3_subs_public_transport_pc_netcash__yd_7</t>
  </si>
  <si>
    <t>3_subsidy_elec_direct_pc_netcash__yd_7</t>
  </si>
  <si>
    <t>3_subsidy_elec_indirect_pc_netcash__yd_7</t>
  </si>
  <si>
    <t>3_subsidy_elec_pc_netcash__yd_7</t>
  </si>
  <si>
    <t>3_subsidy_fuel_direct_pc_netcash__yd_7</t>
  </si>
  <si>
    <t>3_subsidy_fuel_indirect_pc_netcash__yd_7</t>
  </si>
  <si>
    <t>3_subsidy_fuel_pc_netcash__yd_7</t>
  </si>
  <si>
    <t>3_vat_elec_pc_netcash__yd_7</t>
  </si>
  <si>
    <t>3_vat_fuel_pc_netcash__yd_7</t>
  </si>
  <si>
    <t>3_all_elec_noST_pc_netcash__yd_8</t>
  </si>
  <si>
    <t>3_all_elec_pc_netcash__yd_8</t>
  </si>
  <si>
    <t>3_all_fuel_pc_netcash__yd_8</t>
  </si>
  <si>
    <t>3_all_miti_noST_pc_netcash__yd_8</t>
  </si>
  <si>
    <t>3_all_miti_pc_netcash__yd_8</t>
  </si>
  <si>
    <t>3_all_policies_miti_pc_netcash__yd_8</t>
  </si>
  <si>
    <t>3_all_policies_noST_pc_netcash__yd_8</t>
  </si>
  <si>
    <t>3_all_policies_pc_netcash__yd_8</t>
  </si>
  <si>
    <t>3_all_subs_noST_pc_netcash__yd_8</t>
  </si>
  <si>
    <t>3_all_subs_pc_netcash__yd_8</t>
  </si>
  <si>
    <t>3_all_tax_pc_netcash__yd_8</t>
  </si>
  <si>
    <t>3_am_delayed_pnbsf_pc_netcash__yd_8</t>
  </si>
  <si>
    <t>3_am_new_pnbsf_pc_netcash__yd_8</t>
  </si>
  <si>
    <t>3_am_pnbsf_newbenefs_pc_netcash__yd_8</t>
  </si>
  <si>
    <t>3_am_pnbsf_transferinc_pc_netcash__yd_8</t>
  </si>
  <si>
    <t>3_social_tranche_pc_netcash__yd_8</t>
  </si>
  <si>
    <t>3_subs_public_transport_pc_netcash__yd_8</t>
  </si>
  <si>
    <t>3_subsidy_elec_direct_pc_netcash__yd_8</t>
  </si>
  <si>
    <t>3_subsidy_elec_indirect_pc_netcash__yd_8</t>
  </si>
  <si>
    <t>3_subsidy_elec_pc_netcash__yd_8</t>
  </si>
  <si>
    <t>3_subsidy_fuel_direct_pc_netcash__yd_8</t>
  </si>
  <si>
    <t>3_subsidy_fuel_indirect_pc_netcash__yd_8</t>
  </si>
  <si>
    <t>3_subsidy_fuel_pc_netcash__yd_8</t>
  </si>
  <si>
    <t>3_vat_elec_pc_netcash__yd_8</t>
  </si>
  <si>
    <t>3_vat_fuel_pc_netcash__yd_8</t>
  </si>
  <si>
    <t>3_all_elec_noST_pc_netcash__yd_9</t>
  </si>
  <si>
    <t>3_all_elec_pc_netcash__yd_9</t>
  </si>
  <si>
    <t>3_all_fuel_pc_netcash__yd_9</t>
  </si>
  <si>
    <t>3_all_miti_noST_pc_netcash__yd_9</t>
  </si>
  <si>
    <t>3_all_miti_pc_netcash__yd_9</t>
  </si>
  <si>
    <t>3_all_policies_miti_pc_netcash__yd_9</t>
  </si>
  <si>
    <t>3_all_policies_noST_pc_netcash__yd_9</t>
  </si>
  <si>
    <t>3_all_policies_pc_netcash__yd_9</t>
  </si>
  <si>
    <t>3_all_subs_noST_pc_netcash__yd_9</t>
  </si>
  <si>
    <t>3_all_subs_pc_netcash__yd_9</t>
  </si>
  <si>
    <t>3_all_tax_pc_netcash__yd_9</t>
  </si>
  <si>
    <t>3_am_delayed_pnbsf_pc_netcash__yd_9</t>
  </si>
  <si>
    <t>3_am_new_pnbsf_pc_netcash__yd_9</t>
  </si>
  <si>
    <t>3_am_pnbsf_newbenefs_pc_netcash__yd_9</t>
  </si>
  <si>
    <t>3_am_pnbsf_transferinc_pc_netcash__yd_9</t>
  </si>
  <si>
    <t>3_social_tranche_pc_netcash__yd_9</t>
  </si>
  <si>
    <t>3_subs_public_transport_pc_netcash__yd_9</t>
  </si>
  <si>
    <t>3_subsidy_elec_direct_pc_netcash__yd_9</t>
  </si>
  <si>
    <t>3_subsidy_elec_indirect_pc_netcash__yd_9</t>
  </si>
  <si>
    <t>3_subsidy_elec_pc_netcash__yd_9</t>
  </si>
  <si>
    <t>3_subsidy_fuel_direct_pc_netcash__yd_9</t>
  </si>
  <si>
    <t>3_subsidy_fuel_indirect_pc_netcash__yd_9</t>
  </si>
  <si>
    <t>3_subsidy_fuel_pc_netcash__yd_9</t>
  </si>
  <si>
    <t>3_vat_elec_pc_netcash__yd_9</t>
  </si>
  <si>
    <t>3_vat_fuel_pc_netcash__yd_9</t>
  </si>
  <si>
    <t>3_all_elec_noST_pc_netcash__yd_10</t>
  </si>
  <si>
    <t>3_all_elec_pc_netcash__yd_10</t>
  </si>
  <si>
    <t>3_all_fuel_pc_netcash__yd_10</t>
  </si>
  <si>
    <t>3_all_miti_noST_pc_netcash__yd_10</t>
  </si>
  <si>
    <t>3_all_miti_pc_netcash__yd_10</t>
  </si>
  <si>
    <t>3_all_policies_miti_pc_netcash__yd_10</t>
  </si>
  <si>
    <t>3_all_policies_noST_pc_netcash__yd_10</t>
  </si>
  <si>
    <t>3_all_policies_pc_netcash__yd_10</t>
  </si>
  <si>
    <t>3_all_subs_noST_pc_netcash__yd_10</t>
  </si>
  <si>
    <t>3_all_subs_pc_netcash__yd_10</t>
  </si>
  <si>
    <t>3_all_tax_pc_netcash__yd_10</t>
  </si>
  <si>
    <t>3_am_delayed_pnbsf_pc_netcash__yd_10</t>
  </si>
  <si>
    <t>3_am_new_pnbsf_pc_netcash__yd_10</t>
  </si>
  <si>
    <t>3_am_pnbsf_newbenefs_pc_netcash__yd_10</t>
  </si>
  <si>
    <t>3_am_pnbsf_transferinc_pc_netcash__yd_10</t>
  </si>
  <si>
    <t>3_social_tranche_pc_netcash__yd_10</t>
  </si>
  <si>
    <t>3_subs_public_transport_pc_netcash__yd_10</t>
  </si>
  <si>
    <t>3_subsidy_elec_direct_pc_netcash__yd_10</t>
  </si>
  <si>
    <t>3_subsidy_elec_indirect_pc_netcash__yd_10</t>
  </si>
  <si>
    <t>3_subsidy_elec_pc_netcash__yd_10</t>
  </si>
  <si>
    <t>3_subsidy_fuel_direct_pc_netcash__yd_10</t>
  </si>
  <si>
    <t>3_subsidy_fuel_indirect_pc_netcash__yd_10</t>
  </si>
  <si>
    <t>3_subsidy_fuel_pc_netcash__yd_10</t>
  </si>
  <si>
    <t>3_vat_elec_pc_netcash__yd_10</t>
  </si>
  <si>
    <t>3_vat_fuel_pc_netcash__yd_10</t>
  </si>
  <si>
    <t>3_all_elec_noST_pc_cond_netcash__yd_1</t>
  </si>
  <si>
    <t>3_all_elec_pc_cond_netcash__yd_1</t>
  </si>
  <si>
    <t>3_all_fuel_pc_cond_netcash__yd_1</t>
  </si>
  <si>
    <t>3_all_miti_noST_pc_cond_netcash__yd_1</t>
  </si>
  <si>
    <t>3_all_miti_pc_cond_netcash__yd_1</t>
  </si>
  <si>
    <t>3_all_policies_miti_pc_cond_netcash__yd_1</t>
  </si>
  <si>
    <t>3_all_policies_noST_pc_cond_netcash__yd_1</t>
  </si>
  <si>
    <t>3_all_policies_pc_cond_netcash__yd_1</t>
  </si>
  <si>
    <t>3_all_subs_noST_pc_cond_netcash__yd_1</t>
  </si>
  <si>
    <t>3_all_subs_pc_cond_netcash__yd_1</t>
  </si>
  <si>
    <t>3_all_tax_pc_cond_netcash__yd_1</t>
  </si>
  <si>
    <t>3_am_delayed_pnbsf_pc_cond_netcash__yd_1</t>
  </si>
  <si>
    <t>3_am_new_pnbsf_pc_cond_netcash__yd_1</t>
  </si>
  <si>
    <t>3_am_pnbsf_newbenefs_pc_cond_netcash__yd_1</t>
  </si>
  <si>
    <t>3_am_pnbsf_transferinc_pc_cond_netcash__yd_1</t>
  </si>
  <si>
    <t>3_social_tranche_pc_cond_netcash__yd_1</t>
  </si>
  <si>
    <t>3_subs_public_transport_pc_cond_netcash__yd_1</t>
  </si>
  <si>
    <t>3_subsidy_elec_direct_pc_cond_netcash__yd_1</t>
  </si>
  <si>
    <t>3_subsidy_elec_indirect_pc_cond_netcash__yd_1</t>
  </si>
  <si>
    <t>3_subsidy_elec_pc_cond_netcash__yd_1</t>
  </si>
  <si>
    <t>3_subsidy_fuel_direct_pc_cond_netcash__yd_1</t>
  </si>
  <si>
    <t>3_subsidy_fuel_indirect_pc_cond_netcash__yd_1</t>
  </si>
  <si>
    <t>3_subsidy_fuel_pc_cond_netcash__yd_1</t>
  </si>
  <si>
    <t>3_vat_elec_pc_cond_netcash__yd_1</t>
  </si>
  <si>
    <t>3_vat_fuel_pc_cond_netcash__yd_1</t>
  </si>
  <si>
    <t>3_all_elec_noST_pc_cond_netcash__yd_2</t>
  </si>
  <si>
    <t>3_all_elec_pc_cond_netcash__yd_2</t>
  </si>
  <si>
    <t>3_all_fuel_pc_cond_netcash__yd_2</t>
  </si>
  <si>
    <t>3_all_miti_noST_pc_cond_netcash__yd_2</t>
  </si>
  <si>
    <t>3_all_miti_pc_cond_netcash__yd_2</t>
  </si>
  <si>
    <t>3_all_policies_miti_pc_cond_netcash__yd_2</t>
  </si>
  <si>
    <t>3_all_policies_noST_pc_cond_netcash__yd_2</t>
  </si>
  <si>
    <t>3_all_policies_pc_cond_netcash__yd_2</t>
  </si>
  <si>
    <t>3_all_subs_noST_pc_cond_netcash__yd_2</t>
  </si>
  <si>
    <t>3_all_subs_pc_cond_netcash__yd_2</t>
  </si>
  <si>
    <t>3_all_tax_pc_cond_netcash__yd_2</t>
  </si>
  <si>
    <t>3_am_delayed_pnbsf_pc_cond_netcash__yd_2</t>
  </si>
  <si>
    <t>3_am_new_pnbsf_pc_cond_netcash__yd_2</t>
  </si>
  <si>
    <t>3_am_pnbsf_newbenefs_pc_cond_netcash__yd_2</t>
  </si>
  <si>
    <t>3_am_pnbsf_transferinc_pc_cond_netcash__yd_2</t>
  </si>
  <si>
    <t>3_social_tranche_pc_cond_netcash__yd_2</t>
  </si>
  <si>
    <t>3_subs_public_transport_pc_cond_netcash__yd_2</t>
  </si>
  <si>
    <t>3_subsidy_elec_direct_pc_cond_netcash__yd_2</t>
  </si>
  <si>
    <t>3_subsidy_elec_indirect_pc_cond_netcash__yd_2</t>
  </si>
  <si>
    <t>3_subsidy_elec_pc_cond_netcash__yd_2</t>
  </si>
  <si>
    <t>3_subsidy_fuel_direct_pc_cond_netcash__yd_2</t>
  </si>
  <si>
    <t>3_subsidy_fuel_indirect_pc_cond_netcash__yd_2</t>
  </si>
  <si>
    <t>3_subsidy_fuel_pc_cond_netcash__yd_2</t>
  </si>
  <si>
    <t>3_vat_elec_pc_cond_netcash__yd_2</t>
  </si>
  <si>
    <t>3_vat_fuel_pc_cond_netcash__yd_2</t>
  </si>
  <si>
    <t>3_all_elec_noST_pc_cond_netcash__yd_3</t>
  </si>
  <si>
    <t>3_all_elec_pc_cond_netcash__yd_3</t>
  </si>
  <si>
    <t>3_all_fuel_pc_cond_netcash__yd_3</t>
  </si>
  <si>
    <t>3_all_miti_noST_pc_cond_netcash__yd_3</t>
  </si>
  <si>
    <t>3_all_miti_pc_cond_netcash__yd_3</t>
  </si>
  <si>
    <t>3_all_policies_miti_pc_cond_netcash__yd_3</t>
  </si>
  <si>
    <t>3_all_policies_noST_pc_cond_netcash__yd_3</t>
  </si>
  <si>
    <t>3_all_policies_pc_cond_netcash__yd_3</t>
  </si>
  <si>
    <t>3_all_subs_noST_pc_cond_netcash__yd_3</t>
  </si>
  <si>
    <t>3_all_subs_pc_cond_netcash__yd_3</t>
  </si>
  <si>
    <t>3_all_tax_pc_cond_netcash__yd_3</t>
  </si>
  <si>
    <t>3_am_delayed_pnbsf_pc_cond_netcash__yd_3</t>
  </si>
  <si>
    <t>3_am_new_pnbsf_pc_cond_netcash__yd_3</t>
  </si>
  <si>
    <t>3_am_pnbsf_newbenefs_pc_cond_netcash__yd_3</t>
  </si>
  <si>
    <t>3_am_pnbsf_transferinc_pc_cond_netcash__yd_3</t>
  </si>
  <si>
    <t>3_social_tranche_pc_cond_netcash__yd_3</t>
  </si>
  <si>
    <t>3_subs_public_transport_pc_cond_netcash__yd_3</t>
  </si>
  <si>
    <t>3_subsidy_elec_direct_pc_cond_netcash__yd_3</t>
  </si>
  <si>
    <t>3_subsidy_elec_indirect_pc_cond_netcash__yd_3</t>
  </si>
  <si>
    <t>3_subsidy_elec_pc_cond_netcash__yd_3</t>
  </si>
  <si>
    <t>3_subsidy_fuel_direct_pc_cond_netcash__yd_3</t>
  </si>
  <si>
    <t>3_subsidy_fuel_indirect_pc_cond_netcash__yd_3</t>
  </si>
  <si>
    <t>3_subsidy_fuel_pc_cond_netcash__yd_3</t>
  </si>
  <si>
    <t>3_vat_elec_pc_cond_netcash__yd_3</t>
  </si>
  <si>
    <t>3_vat_fuel_pc_cond_netcash__yd_3</t>
  </si>
  <si>
    <t>3_all_elec_noST_pc_cond_netcash__yd_4</t>
  </si>
  <si>
    <t>3_all_elec_pc_cond_netcash__yd_4</t>
  </si>
  <si>
    <t>3_all_fuel_pc_cond_netcash__yd_4</t>
  </si>
  <si>
    <t>3_all_miti_noST_pc_cond_netcash__yd_4</t>
  </si>
  <si>
    <t>3_all_miti_pc_cond_netcash__yd_4</t>
  </si>
  <si>
    <t>3_all_policies_miti_pc_cond_netcash__yd_4</t>
  </si>
  <si>
    <t>3_all_policies_noST_pc_cond_netcash__yd_4</t>
  </si>
  <si>
    <t>3_all_policies_pc_cond_netcash__yd_4</t>
  </si>
  <si>
    <t>3_all_subs_noST_pc_cond_netcash__yd_4</t>
  </si>
  <si>
    <t>3_all_subs_pc_cond_netcash__yd_4</t>
  </si>
  <si>
    <t>3_all_tax_pc_cond_netcash__yd_4</t>
  </si>
  <si>
    <t>3_am_delayed_pnbsf_pc_cond_netcash__yd_4</t>
  </si>
  <si>
    <t>3_am_new_pnbsf_pc_cond_netcash__yd_4</t>
  </si>
  <si>
    <t>3_am_pnbsf_newbenefs_pc_cond_netcash__yd_4</t>
  </si>
  <si>
    <t>3_am_pnbsf_transferinc_pc_cond_netcash__yd_4</t>
  </si>
  <si>
    <t>3_social_tranche_pc_cond_netcash__yd_4</t>
  </si>
  <si>
    <t>3_subs_public_transport_pc_cond_netcash__yd_4</t>
  </si>
  <si>
    <t>3_subsidy_elec_direct_pc_cond_netcash__yd_4</t>
  </si>
  <si>
    <t>3_subsidy_elec_indirect_pc_cond_netcash__yd_4</t>
  </si>
  <si>
    <t>3_subsidy_elec_pc_cond_netcash__yd_4</t>
  </si>
  <si>
    <t>3_subsidy_fuel_direct_pc_cond_netcash__yd_4</t>
  </si>
  <si>
    <t>3_subsidy_fuel_indirect_pc_cond_netcash__yd_4</t>
  </si>
  <si>
    <t>3_subsidy_fuel_pc_cond_netcash__yd_4</t>
  </si>
  <si>
    <t>3_vat_elec_pc_cond_netcash__yd_4</t>
  </si>
  <si>
    <t>3_vat_fuel_pc_cond_netcash__yd_4</t>
  </si>
  <si>
    <t>3_all_elec_noST_pc_cond_netcash__yd_5</t>
  </si>
  <si>
    <t>3_all_elec_pc_cond_netcash__yd_5</t>
  </si>
  <si>
    <t>3_all_fuel_pc_cond_netcash__yd_5</t>
  </si>
  <si>
    <t>3_all_miti_noST_pc_cond_netcash__yd_5</t>
  </si>
  <si>
    <t>3_all_miti_pc_cond_netcash__yd_5</t>
  </si>
  <si>
    <t>3_all_policies_miti_pc_cond_netcash__yd_5</t>
  </si>
  <si>
    <t>3_all_policies_noST_pc_cond_netcash__yd_5</t>
  </si>
  <si>
    <t>3_all_policies_pc_cond_netcash__yd_5</t>
  </si>
  <si>
    <t>3_all_subs_noST_pc_cond_netcash__yd_5</t>
  </si>
  <si>
    <t>3_all_subs_pc_cond_netcash__yd_5</t>
  </si>
  <si>
    <t>3_all_tax_pc_cond_netcash__yd_5</t>
  </si>
  <si>
    <t>3_am_delayed_pnbsf_pc_cond_netcash__yd_5</t>
  </si>
  <si>
    <t>3_am_new_pnbsf_pc_cond_netcash__yd_5</t>
  </si>
  <si>
    <t>3_am_pnbsf_newbenefs_pc_cond_netcash__yd_5</t>
  </si>
  <si>
    <t>3_am_pnbsf_transferinc_pc_cond_netcash__yd_5</t>
  </si>
  <si>
    <t>3_social_tranche_pc_cond_netcash__yd_5</t>
  </si>
  <si>
    <t>3_subs_public_transport_pc_cond_netcash__yd_5</t>
  </si>
  <si>
    <t>3_subsidy_elec_direct_pc_cond_netcash__yd_5</t>
  </si>
  <si>
    <t>3_subsidy_elec_indirect_pc_cond_netcash__yd_5</t>
  </si>
  <si>
    <t>3_subsidy_elec_pc_cond_netcash__yd_5</t>
  </si>
  <si>
    <t>3_subsidy_fuel_direct_pc_cond_netcash__yd_5</t>
  </si>
  <si>
    <t>3_subsidy_fuel_indirect_pc_cond_netcash__yd_5</t>
  </si>
  <si>
    <t>3_subsidy_fuel_pc_cond_netcash__yd_5</t>
  </si>
  <si>
    <t>3_vat_elec_pc_cond_netcash__yd_5</t>
  </si>
  <si>
    <t>3_vat_fuel_pc_cond_netcash__yd_5</t>
  </si>
  <si>
    <t>3_all_elec_noST_pc_cond_netcash__yd_6</t>
  </si>
  <si>
    <t>3_all_elec_pc_cond_netcash__yd_6</t>
  </si>
  <si>
    <t>3_all_fuel_pc_cond_netcash__yd_6</t>
  </si>
  <si>
    <t>3_all_miti_noST_pc_cond_netcash__yd_6</t>
  </si>
  <si>
    <t>3_all_miti_pc_cond_netcash__yd_6</t>
  </si>
  <si>
    <t>3_all_policies_miti_pc_cond_netcash__yd_6</t>
  </si>
  <si>
    <t>3_all_policies_noST_pc_cond_netcash__yd_6</t>
  </si>
  <si>
    <t>3_all_policies_pc_cond_netcash__yd_6</t>
  </si>
  <si>
    <t>3_all_subs_noST_pc_cond_netcash__yd_6</t>
  </si>
  <si>
    <t>3_all_subs_pc_cond_netcash__yd_6</t>
  </si>
  <si>
    <t>3_all_tax_pc_cond_netcash__yd_6</t>
  </si>
  <si>
    <t>3_am_delayed_pnbsf_pc_cond_netcash__yd_6</t>
  </si>
  <si>
    <t>3_am_new_pnbsf_pc_cond_netcash__yd_6</t>
  </si>
  <si>
    <t>3_am_pnbsf_newbenefs_pc_cond_netcash__yd_6</t>
  </si>
  <si>
    <t>3_am_pnbsf_transferinc_pc_cond_netcash__yd_6</t>
  </si>
  <si>
    <t>3_social_tranche_pc_cond_netcash__yd_6</t>
  </si>
  <si>
    <t>3_subs_public_transport_pc_cond_netcash__yd_6</t>
  </si>
  <si>
    <t>3_subsidy_elec_direct_pc_cond_netcash__yd_6</t>
  </si>
  <si>
    <t>3_subsidy_elec_indirect_pc_cond_netcash__yd_6</t>
  </si>
  <si>
    <t>3_subsidy_elec_pc_cond_netcash__yd_6</t>
  </si>
  <si>
    <t>3_subsidy_fuel_direct_pc_cond_netcash__yd_6</t>
  </si>
  <si>
    <t>3_subsidy_fuel_indirect_pc_cond_netcash__yd_6</t>
  </si>
  <si>
    <t>3_subsidy_fuel_pc_cond_netcash__yd_6</t>
  </si>
  <si>
    <t>3_vat_elec_pc_cond_netcash__yd_6</t>
  </si>
  <si>
    <t>3_vat_fuel_pc_cond_netcash__yd_6</t>
  </si>
  <si>
    <t>3_all_elec_noST_pc_cond_netcash__yd_7</t>
  </si>
  <si>
    <t>3_all_elec_pc_cond_netcash__yd_7</t>
  </si>
  <si>
    <t>3_all_fuel_pc_cond_netcash__yd_7</t>
  </si>
  <si>
    <t>3_all_miti_noST_pc_cond_netcash__yd_7</t>
  </si>
  <si>
    <t>3_all_miti_pc_cond_netcash__yd_7</t>
  </si>
  <si>
    <t>3_all_policies_miti_pc_cond_netcash__yd_7</t>
  </si>
  <si>
    <t>3_all_policies_noST_pc_cond_netcash__yd_7</t>
  </si>
  <si>
    <t>3_all_policies_pc_cond_netcash__yd_7</t>
  </si>
  <si>
    <t>3_all_subs_noST_pc_cond_netcash__yd_7</t>
  </si>
  <si>
    <t>3_all_subs_pc_cond_netcash__yd_7</t>
  </si>
  <si>
    <t>3_all_tax_pc_cond_netcash__yd_7</t>
  </si>
  <si>
    <t>3_am_delayed_pnbsf_pc_cond_netcash__yd_7</t>
  </si>
  <si>
    <t>3_am_new_pnbsf_pc_cond_netcash__yd_7</t>
  </si>
  <si>
    <t>3_am_pnbsf_newbenefs_pc_cond_netcash__yd_7</t>
  </si>
  <si>
    <t>3_am_pnbsf_transferinc_pc_cond_netcash__yd_7</t>
  </si>
  <si>
    <t>3_social_tranche_pc_cond_netcash__yd_7</t>
  </si>
  <si>
    <t>3_subs_public_transport_pc_cond_netcash__yd_7</t>
  </si>
  <si>
    <t>3_subsidy_elec_direct_pc_cond_netcash__yd_7</t>
  </si>
  <si>
    <t>3_subsidy_elec_indirect_pc_cond_netcash__yd_7</t>
  </si>
  <si>
    <t>3_subsidy_elec_pc_cond_netcash__yd_7</t>
  </si>
  <si>
    <t>3_subsidy_fuel_direct_pc_cond_netcash__yd_7</t>
  </si>
  <si>
    <t>3_subsidy_fuel_indirect_pc_cond_netcash__yd_7</t>
  </si>
  <si>
    <t>3_subsidy_fuel_pc_cond_netcash__yd_7</t>
  </si>
  <si>
    <t>3_vat_elec_pc_cond_netcash__yd_7</t>
  </si>
  <si>
    <t>3_vat_fuel_pc_cond_netcash__yd_7</t>
  </si>
  <si>
    <t>3_all_elec_noST_pc_cond_netcash__yd_8</t>
  </si>
  <si>
    <t>3_all_elec_pc_cond_netcash__yd_8</t>
  </si>
  <si>
    <t>3_all_fuel_pc_cond_netcash__yd_8</t>
  </si>
  <si>
    <t>3_all_miti_noST_pc_cond_netcash__yd_8</t>
  </si>
  <si>
    <t>3_all_miti_pc_cond_netcash__yd_8</t>
  </si>
  <si>
    <t>3_all_policies_miti_pc_cond_netcash__yd_8</t>
  </si>
  <si>
    <t>3_all_policies_noST_pc_cond_netcash__yd_8</t>
  </si>
  <si>
    <t>3_all_policies_pc_cond_netcash__yd_8</t>
  </si>
  <si>
    <t>3_all_subs_noST_pc_cond_netcash__yd_8</t>
  </si>
  <si>
    <t>3_all_subs_pc_cond_netcash__yd_8</t>
  </si>
  <si>
    <t>3_all_tax_pc_cond_netcash__yd_8</t>
  </si>
  <si>
    <t>3_am_delayed_pnbsf_pc_cond_netcash__yd_8</t>
  </si>
  <si>
    <t>3_am_new_pnbsf_pc_cond_netcash__yd_8</t>
  </si>
  <si>
    <t>3_am_pnbsf_newbenefs_pc_cond_netcash__yd_8</t>
  </si>
  <si>
    <t>3_am_pnbsf_transferinc_pc_cond_netcash__yd_8</t>
  </si>
  <si>
    <t>3_social_tranche_pc_cond_netcash__yd_8</t>
  </si>
  <si>
    <t>3_subs_public_transport_pc_cond_netcash__yd_8</t>
  </si>
  <si>
    <t>3_subsidy_elec_direct_pc_cond_netcash__yd_8</t>
  </si>
  <si>
    <t>3_subsidy_elec_indirect_pc_cond_netcash__yd_8</t>
  </si>
  <si>
    <t>3_subsidy_elec_pc_cond_netcash__yd_8</t>
  </si>
  <si>
    <t>3_subsidy_fuel_direct_pc_cond_netcash__yd_8</t>
  </si>
  <si>
    <t>3_subsidy_fuel_indirect_pc_cond_netcash__yd_8</t>
  </si>
  <si>
    <t>3_subsidy_fuel_pc_cond_netcash__yd_8</t>
  </si>
  <si>
    <t>3_vat_elec_pc_cond_netcash__yd_8</t>
  </si>
  <si>
    <t>3_vat_fuel_pc_cond_netcash__yd_8</t>
  </si>
  <si>
    <t>3_all_elec_noST_pc_cond_netcash__yd_9</t>
  </si>
  <si>
    <t>3_all_elec_pc_cond_netcash__yd_9</t>
  </si>
  <si>
    <t>3_all_fuel_pc_cond_netcash__yd_9</t>
  </si>
  <si>
    <t>3_all_miti_noST_pc_cond_netcash__yd_9</t>
  </si>
  <si>
    <t>3_all_miti_pc_cond_netcash__yd_9</t>
  </si>
  <si>
    <t>3_all_policies_miti_pc_cond_netcash__yd_9</t>
  </si>
  <si>
    <t>3_all_policies_noST_pc_cond_netcash__yd_9</t>
  </si>
  <si>
    <t>3_all_policies_pc_cond_netcash__yd_9</t>
  </si>
  <si>
    <t>3_all_subs_noST_pc_cond_netcash__yd_9</t>
  </si>
  <si>
    <t>3_all_subs_pc_cond_netcash__yd_9</t>
  </si>
  <si>
    <t>3_all_tax_pc_cond_netcash__yd_9</t>
  </si>
  <si>
    <t>3_am_delayed_pnbsf_pc_cond_netcash__yd_9</t>
  </si>
  <si>
    <t>3_am_new_pnbsf_pc_cond_netcash__yd_9</t>
  </si>
  <si>
    <t>3_am_pnbsf_newbenefs_pc_cond_netcash__yd_9</t>
  </si>
  <si>
    <t>3_am_pnbsf_transferinc_pc_cond_netcash__yd_9</t>
  </si>
  <si>
    <t>3_social_tranche_pc_cond_netcash__yd_9</t>
  </si>
  <si>
    <t>3_subs_public_transport_pc_cond_netcash__yd_9</t>
  </si>
  <si>
    <t>3_subsidy_elec_direct_pc_cond_netcash__yd_9</t>
  </si>
  <si>
    <t>3_subsidy_elec_indirect_pc_cond_netcash__yd_9</t>
  </si>
  <si>
    <t>3_subsidy_elec_pc_cond_netcash__yd_9</t>
  </si>
  <si>
    <t>3_subsidy_fuel_direct_pc_cond_netcash__yd_9</t>
  </si>
  <si>
    <t>3_subsidy_fuel_indirect_pc_cond_netcash__yd_9</t>
  </si>
  <si>
    <t>3_subsidy_fuel_pc_cond_netcash__yd_9</t>
  </si>
  <si>
    <t>3_vat_elec_pc_cond_netcash__yd_9</t>
  </si>
  <si>
    <t>3_vat_fuel_pc_cond_netcash__yd_9</t>
  </si>
  <si>
    <t>3_all_elec_noST_pc_cond_netcash__yd_10</t>
  </si>
  <si>
    <t>3_all_elec_pc_cond_netcash__yd_10</t>
  </si>
  <si>
    <t>3_all_fuel_pc_cond_netcash__yd_10</t>
  </si>
  <si>
    <t>3_all_miti_noST_pc_cond_netcash__yd_10</t>
  </si>
  <si>
    <t>3_all_miti_pc_cond_netcash__yd_10</t>
  </si>
  <si>
    <t>3_all_policies_miti_pc_cond_netcash__yd_10</t>
  </si>
  <si>
    <t>3_all_policies_noST_pc_cond_netcash__yd_10</t>
  </si>
  <si>
    <t>3_all_policies_pc_cond_netcash__yd_10</t>
  </si>
  <si>
    <t>3_all_subs_noST_pc_cond_netcash__yd_10</t>
  </si>
  <si>
    <t>3_all_subs_pc_cond_netcash__yd_10</t>
  </si>
  <si>
    <t>3_all_tax_pc_cond_netcash__yd_10</t>
  </si>
  <si>
    <t>3_am_delayed_pnbsf_pc_cond_netcash__yd_10</t>
  </si>
  <si>
    <t>3_am_new_pnbsf_pc_cond_netcash__yd_10</t>
  </si>
  <si>
    <t>3_am_pnbsf_newbenefs_pc_cond_netcash__yd_10</t>
  </si>
  <si>
    <t>3_am_pnbsf_transferinc_pc_cond_netcash__yd_10</t>
  </si>
  <si>
    <t>3_social_tranche_pc_cond_netcash__yd_10</t>
  </si>
  <si>
    <t>3_subs_public_transport_pc_cond_netcash__yd_10</t>
  </si>
  <si>
    <t>3_subsidy_elec_direct_pc_cond_netcash__yd_10</t>
  </si>
  <si>
    <t>3_subsidy_elec_indirect_pc_cond_netcash__yd_10</t>
  </si>
  <si>
    <t>3_subsidy_elec_pc_cond_netcash__yd_10</t>
  </si>
  <si>
    <t>3_subsidy_fuel_direct_pc_cond_netcash__yd_10</t>
  </si>
  <si>
    <t>3_subsidy_fuel_indirect_pc_cond_netcash__yd_10</t>
  </si>
  <si>
    <t>3_subsidy_fuel_pc_cond_netcash__yd_10</t>
  </si>
  <si>
    <t>3_vat_elec_pc_cond_netcash__yd_10</t>
  </si>
  <si>
    <t>3_vat_fuel_pc_cond_netcash__yd_10</t>
  </si>
  <si>
    <t>3_all_policies_miti_pc_ai__yd_1</t>
  </si>
  <si>
    <t>3_vat_elec_pc_ai__yd_1</t>
  </si>
  <si>
    <t>3_subsidy_elec_pc_ai__yd_1</t>
  </si>
  <si>
    <t>3_subsidy_elec_indirect_pc_ai__yd_1</t>
  </si>
  <si>
    <t>3_all_subs_pc_ai__yd_1</t>
  </si>
  <si>
    <t>3_am_delayed_pnbsf_pc_ai__yd_1</t>
  </si>
  <si>
    <t>3_all_policies_noST_pc_ai__yd_1</t>
  </si>
  <si>
    <t>3_all_elec_pc_ai__yd_1</t>
  </si>
  <si>
    <t>3_subsidy_elec_direct_pc_ai__yd_1</t>
  </si>
  <si>
    <t>3_subsidy_fuel_pc_ai__yd_1</t>
  </si>
  <si>
    <t>3_am_pnbsf_newbenefs_pc_ai__yd_1</t>
  </si>
  <si>
    <t>3_subsidy_fuel_indirect_pc_ai__yd_1</t>
  </si>
  <si>
    <t>3_all_miti_pc_ai__yd_1</t>
  </si>
  <si>
    <t>3_all_fuel_pc_ai__yd_1</t>
  </si>
  <si>
    <t>3_social_tranche_pc_ai__yd_1</t>
  </si>
  <si>
    <t>3_subs_public_transport_pc_ai__yd_1</t>
  </si>
  <si>
    <t>3_am_new_pnbsf_pc_ai__yd_1</t>
  </si>
  <si>
    <t>3_all_subs_noST_pc_ai__yd_1</t>
  </si>
  <si>
    <t>3_all_miti_noST_pc_ai__yd_1</t>
  </si>
  <si>
    <t>3_all_tax_pc_ai__yd_1</t>
  </si>
  <si>
    <t>3_vat_fuel_pc_ai__yd_1</t>
  </si>
  <si>
    <t>3_am_pnbsf_transferinc_pc_ai__yd_1</t>
  </si>
  <si>
    <t>3_all_elec_noST_pc_ai__yd_1</t>
  </si>
  <si>
    <t>3_all_policies_pc_ai__yd_1</t>
  </si>
  <si>
    <t>3_subsidy_fuel_direct_pc_ai__yd_1</t>
  </si>
  <si>
    <t>3_all_fuel_pc_ai__yd_2</t>
  </si>
  <si>
    <t>3_all_subs_noST_pc_ai__yd_2</t>
  </si>
  <si>
    <t>3_am_delayed_pnbsf_pc_ai__yd_2</t>
  </si>
  <si>
    <t>3_subsidy_fuel_pc_ai__yd_2</t>
  </si>
  <si>
    <t>3_am_pnbsf_newbenefs_pc_ai__yd_2</t>
  </si>
  <si>
    <t>3_social_tranche_pc_ai__yd_2</t>
  </si>
  <si>
    <t>3_all_miti_noST_pc_ai__yd_2</t>
  </si>
  <si>
    <t>3_all_miti_pc_ai__yd_2</t>
  </si>
  <si>
    <t>3_all_policies_noST_pc_ai__yd_2</t>
  </si>
  <si>
    <t>3_all_tax_pc_ai__yd_2</t>
  </si>
  <si>
    <t>3_all_elec_pc_ai__yd_2</t>
  </si>
  <si>
    <t>3_subsidy_fuel_indirect_pc_ai__yd_2</t>
  </si>
  <si>
    <t>3_all_policies_pc_ai__yd_2</t>
  </si>
  <si>
    <t>3_all_policies_miti_pc_ai__yd_2</t>
  </si>
  <si>
    <t>3_all_subs_pc_ai__yd_2</t>
  </si>
  <si>
    <t>3_subsidy_elec_pc_ai__yd_2</t>
  </si>
  <si>
    <t>3_subsidy_elec_direct_pc_ai__yd_2</t>
  </si>
  <si>
    <t>3_subsidy_elec_indirect_pc_ai__yd_2</t>
  </si>
  <si>
    <t>3_am_pnbsf_transferinc_pc_ai__yd_2</t>
  </si>
  <si>
    <t>3_vat_elec_pc_ai__yd_2</t>
  </si>
  <si>
    <t>3_subsidy_fuel_direct_pc_ai__yd_2</t>
  </si>
  <si>
    <t>3_vat_fuel_pc_ai__yd_2</t>
  </si>
  <si>
    <t>3_am_new_pnbsf_pc_ai__yd_2</t>
  </si>
  <si>
    <t>3_all_elec_noST_pc_ai__yd_2</t>
  </si>
  <si>
    <t>3_subs_public_transport_pc_ai__yd_2</t>
  </si>
  <si>
    <t>3_subsidy_elec_direct_pc_ai__yd_3</t>
  </si>
  <si>
    <t>3_am_pnbsf_transferinc_pc_ai__yd_3</t>
  </si>
  <si>
    <t>3_subsidy_fuel_direct_pc_ai__yd_3</t>
  </si>
  <si>
    <t>3_am_delayed_pnbsf_pc_ai__yd_3</t>
  </si>
  <si>
    <t>3_social_tranche_pc_ai__yd_3</t>
  </si>
  <si>
    <t>3_all_elec_pc_ai__yd_3</t>
  </si>
  <si>
    <t>3_subsidy_elec_pc_ai__yd_3</t>
  </si>
  <si>
    <t>3_am_new_pnbsf_pc_ai__yd_3</t>
  </si>
  <si>
    <t>3_all_subs_pc_ai__yd_3</t>
  </si>
  <si>
    <t>3_subsidy_fuel_pc_ai__yd_3</t>
  </si>
  <si>
    <t>3_all_tax_pc_ai__yd_3</t>
  </si>
  <si>
    <t>3_all_subs_noST_pc_ai__yd_3</t>
  </si>
  <si>
    <t>3_all_miti_noST_pc_ai__yd_3</t>
  </si>
  <si>
    <t>3_subsidy_elec_indirect_pc_ai__yd_3</t>
  </si>
  <si>
    <t>3_subsidy_fuel_indirect_pc_ai__yd_3</t>
  </si>
  <si>
    <t>3_subs_public_transport_pc_ai__yd_3</t>
  </si>
  <si>
    <t>3_all_fuel_pc_ai__yd_3</t>
  </si>
  <si>
    <t>3_all_policies_pc_ai__yd_3</t>
  </si>
  <si>
    <t>3_am_pnbsf_newbenefs_pc_ai__yd_3</t>
  </si>
  <si>
    <t>3_all_elec_noST_pc_ai__yd_3</t>
  </si>
  <si>
    <t>3_all_policies_miti_pc_ai__yd_3</t>
  </si>
  <si>
    <t>3_vat_elec_pc_ai__yd_3</t>
  </si>
  <si>
    <t>3_all_miti_pc_ai__yd_3</t>
  </si>
  <si>
    <t>3_vat_fuel_pc_ai__yd_3</t>
  </si>
  <si>
    <t>3_all_policies_noST_pc_ai__yd_3</t>
  </si>
  <si>
    <t>3_subsidy_elec_indirect_pc_ai__yd_4</t>
  </si>
  <si>
    <t>3_all_policies_noST_pc_ai__yd_4</t>
  </si>
  <si>
    <t>3_all_elec_pc_ai__yd_4</t>
  </si>
  <si>
    <t>3_subsidy_fuel_direct_pc_ai__yd_4</t>
  </si>
  <si>
    <t>3_all_tax_pc_ai__yd_4</t>
  </si>
  <si>
    <t>3_all_subs_noST_pc_ai__yd_4</t>
  </si>
  <si>
    <t>3_vat_fuel_pc_ai__yd_4</t>
  </si>
  <si>
    <t>3_all_policies_pc_ai__yd_4</t>
  </si>
  <si>
    <t>3_am_pnbsf_transferinc_pc_ai__yd_4</t>
  </si>
  <si>
    <t>3_all_policies_miti_pc_ai__yd_4</t>
  </si>
  <si>
    <t>3_all_subs_pc_ai__yd_4</t>
  </si>
  <si>
    <t>3_subsidy_fuel_pc_ai__yd_4</t>
  </si>
  <si>
    <t>3_am_pnbsf_newbenefs_pc_ai__yd_4</t>
  </si>
  <si>
    <t>3_vat_elec_pc_ai__yd_4</t>
  </si>
  <si>
    <t>3_all_elec_noST_pc_ai__yd_4</t>
  </si>
  <si>
    <t>3_am_new_pnbsf_pc_ai__yd_4</t>
  </si>
  <si>
    <t>3_subsidy_elec_pc_ai__yd_4</t>
  </si>
  <si>
    <t>3_subsidy_fuel_indirect_pc_ai__yd_4</t>
  </si>
  <si>
    <t>3_subsidy_elec_direct_pc_ai__yd_4</t>
  </si>
  <si>
    <t>3_all_miti_noST_pc_ai__yd_4</t>
  </si>
  <si>
    <t>3_am_delayed_pnbsf_pc_ai__yd_4</t>
  </si>
  <si>
    <t>3_all_fuel_pc_ai__yd_4</t>
  </si>
  <si>
    <t>3_all_miti_pc_ai__yd_4</t>
  </si>
  <si>
    <t>3_subs_public_transport_pc_ai__yd_4</t>
  </si>
  <si>
    <t>3_social_tranche_pc_ai__yd_4</t>
  </si>
  <si>
    <t>3_all_elec_noST_pc_ai__yd_5</t>
  </si>
  <si>
    <t>3_am_new_pnbsf_pc_ai__yd_5</t>
  </si>
  <si>
    <t>3_all_miti_pc_ai__yd_5</t>
  </si>
  <si>
    <t>3_all_fuel_pc_ai__yd_5</t>
  </si>
  <si>
    <t>3_am_delayed_pnbsf_pc_ai__yd_5</t>
  </si>
  <si>
    <t>3_all_subs_pc_ai__yd_5</t>
  </si>
  <si>
    <t>3_subsidy_fuel_indirect_pc_ai__yd_5</t>
  </si>
  <si>
    <t>3_subsidy_elec_indirect_pc_ai__yd_5</t>
  </si>
  <si>
    <t>3_all_elec_pc_ai__yd_5</t>
  </si>
  <si>
    <t>3_all_miti_noST_pc_ai__yd_5</t>
  </si>
  <si>
    <t>3_all_policies_noST_pc_ai__yd_5</t>
  </si>
  <si>
    <t>3_all_subs_noST_pc_ai__yd_5</t>
  </si>
  <si>
    <t>3_am_pnbsf_transferinc_pc_ai__yd_5</t>
  </si>
  <si>
    <t>3_am_pnbsf_newbenefs_pc_ai__yd_5</t>
  </si>
  <si>
    <t>3_subsidy_fuel_pc_ai__yd_5</t>
  </si>
  <si>
    <t>3_subs_public_transport_pc_ai__yd_5</t>
  </si>
  <si>
    <t>3_subsidy_fuel_direct_pc_ai__yd_5</t>
  </si>
  <si>
    <t>3_all_policies_miti_pc_ai__yd_5</t>
  </si>
  <si>
    <t>3_vat_elec_pc_ai__yd_5</t>
  </si>
  <si>
    <t>3_social_tranche_pc_ai__yd_5</t>
  </si>
  <si>
    <t>3_all_policies_pc_ai__yd_5</t>
  </si>
  <si>
    <t>3_subsidy_elec_direct_pc_ai__yd_5</t>
  </si>
  <si>
    <t>3_all_tax_pc_ai__yd_5</t>
  </si>
  <si>
    <t>3_vat_fuel_pc_ai__yd_5</t>
  </si>
  <si>
    <t>3_subsidy_elec_pc_ai__yd_5</t>
  </si>
  <si>
    <t>3_all_elec_pc_ai__yd_6</t>
  </si>
  <si>
    <t>3_all_tax_pc_ai__yd_6</t>
  </si>
  <si>
    <t>3_all_fuel_pc_ai__yd_6</t>
  </si>
  <si>
    <t>3_subsidy_fuel_indirect_pc_ai__yd_6</t>
  </si>
  <si>
    <t>3_am_delayed_pnbsf_pc_ai__yd_6</t>
  </si>
  <si>
    <t>3_am_pnbsf_transferinc_pc_ai__yd_6</t>
  </si>
  <si>
    <t>3_all_miti_pc_ai__yd_6</t>
  </si>
  <si>
    <t>3_vat_fuel_pc_ai__yd_6</t>
  </si>
  <si>
    <t>3_all_policies_pc_ai__yd_6</t>
  </si>
  <si>
    <t>3_am_pnbsf_newbenefs_pc_ai__yd_6</t>
  </si>
  <si>
    <t>3_subsidy_elec_indirect_pc_ai__yd_6</t>
  </si>
  <si>
    <t>3_all_miti_noST_pc_ai__yd_6</t>
  </si>
  <si>
    <t>3_subsidy_fuel_direct_pc_ai__yd_6</t>
  </si>
  <si>
    <t>3_am_new_pnbsf_pc_ai__yd_6</t>
  </si>
  <si>
    <t>3_all_subs_pc_ai__yd_6</t>
  </si>
  <si>
    <t>3_all_elec_noST_pc_ai__yd_6</t>
  </si>
  <si>
    <t>3_all_subs_noST_pc_ai__yd_6</t>
  </si>
  <si>
    <t>3_all_policies_miti_pc_ai__yd_6</t>
  </si>
  <si>
    <t>3_vat_elec_pc_ai__yd_6</t>
  </si>
  <si>
    <t>3_subs_public_transport_pc_ai__yd_6</t>
  </si>
  <si>
    <t>3_all_policies_noST_pc_ai__yd_6</t>
  </si>
  <si>
    <t>3_subsidy_elec_pc_ai__yd_6</t>
  </si>
  <si>
    <t>3_subsidy_fuel_pc_ai__yd_6</t>
  </si>
  <si>
    <t>3_subsidy_elec_direct_pc_ai__yd_6</t>
  </si>
  <si>
    <t>3_social_tranche_pc_ai__yd_6</t>
  </si>
  <si>
    <t>3_all_fuel_pc_ai__yd_7</t>
  </si>
  <si>
    <t>3_subsidy_fuel_direct_pc_ai__yd_7</t>
  </si>
  <si>
    <t>3_subsidy_elec_pc_ai__yd_7</t>
  </si>
  <si>
    <t>3_vat_fuel_pc_ai__yd_7</t>
  </si>
  <si>
    <t>3_subsidy_fuel_pc_ai__yd_7</t>
  </si>
  <si>
    <t>3_subsidy_elec_indirect_pc_ai__yd_7</t>
  </si>
  <si>
    <t>3_social_tranche_pc_ai__yd_7</t>
  </si>
  <si>
    <t>3_all_miti_noST_pc_ai__yd_7</t>
  </si>
  <si>
    <t>3_vat_elec_pc_ai__yd_7</t>
  </si>
  <si>
    <t>3_subsidy_fuel_indirect_pc_ai__yd_7</t>
  </si>
  <si>
    <t>3_am_pnbsf_transferinc_pc_ai__yd_7</t>
  </si>
  <si>
    <t>3_all_miti_pc_ai__yd_7</t>
  </si>
  <si>
    <t>3_subsidy_elec_direct_pc_ai__yd_7</t>
  </si>
  <si>
    <t>3_all_subs_pc_ai__yd_7</t>
  </si>
  <si>
    <t>3_am_pnbsf_newbenefs_pc_ai__yd_7</t>
  </si>
  <si>
    <t>3_all_elec_noST_pc_ai__yd_7</t>
  </si>
  <si>
    <t>3_all_subs_noST_pc_ai__yd_7</t>
  </si>
  <si>
    <t>3_all_policies_noST_pc_ai__yd_7</t>
  </si>
  <si>
    <t>3_am_new_pnbsf_pc_ai__yd_7</t>
  </si>
  <si>
    <t>3_subs_public_transport_pc_ai__yd_7</t>
  </si>
  <si>
    <t>3_all_tax_pc_ai__yd_7</t>
  </si>
  <si>
    <t>3_all_elec_pc_ai__yd_7</t>
  </si>
  <si>
    <t>3_all_policies_miti_pc_ai__yd_7</t>
  </si>
  <si>
    <t>3_am_delayed_pnbsf_pc_ai__yd_7</t>
  </si>
  <si>
    <t>3_all_policies_pc_ai__yd_7</t>
  </si>
  <si>
    <t>3_all_policies_pc_ai__yd_8</t>
  </si>
  <si>
    <t>3_am_delayed_pnbsf_pc_ai__yd_8</t>
  </si>
  <si>
    <t>3_all_elec_pc_ai__yd_8</t>
  </si>
  <si>
    <t>3_all_policies_noST_pc_ai__yd_8</t>
  </si>
  <si>
    <t>3_all_policies_miti_pc_ai__yd_8</t>
  </si>
  <si>
    <t>3_all_subs_pc_ai__yd_8</t>
  </si>
  <si>
    <t>3_am_pnbsf_newbenefs_pc_ai__yd_8</t>
  </si>
  <si>
    <t>3_subsidy_elec_indirect_pc_ai__yd_8</t>
  </si>
  <si>
    <t>3_social_tranche_pc_ai__yd_8</t>
  </si>
  <si>
    <t>3_all_elec_noST_pc_ai__yd_8</t>
  </si>
  <si>
    <t>3_all_fuel_pc_ai__yd_8</t>
  </si>
  <si>
    <t>3_all_miti_pc_ai__yd_8</t>
  </si>
  <si>
    <t>3_all_tax_pc_ai__yd_8</t>
  </si>
  <si>
    <t>3_subsidy_fuel_direct_pc_ai__yd_8</t>
  </si>
  <si>
    <t>3_subsidy_elec_pc_ai__yd_8</t>
  </si>
  <si>
    <t>3_vat_fuel_pc_ai__yd_8</t>
  </si>
  <si>
    <t>3_subs_public_transport_pc_ai__yd_8</t>
  </si>
  <si>
    <t>3_am_new_pnbsf_pc_ai__yd_8</t>
  </si>
  <si>
    <t>3_subsidy_fuel_pc_ai__yd_8</t>
  </si>
  <si>
    <t>3_subsidy_fuel_indirect_pc_ai__yd_8</t>
  </si>
  <si>
    <t>3_all_subs_noST_pc_ai__yd_8</t>
  </si>
  <si>
    <t>3_vat_elec_pc_ai__yd_8</t>
  </si>
  <si>
    <t>3_am_pnbsf_transferinc_pc_ai__yd_8</t>
  </si>
  <si>
    <t>3_all_miti_noST_pc_ai__yd_8</t>
  </si>
  <si>
    <t>3_subsidy_elec_direct_pc_ai__yd_8</t>
  </si>
  <si>
    <t>3_am_new_pnbsf_pc_ai__yd_9</t>
  </si>
  <si>
    <t>3_all_tax_pc_ai__yd_9</t>
  </si>
  <si>
    <t>3_subsidy_fuel_direct_pc_ai__yd_9</t>
  </si>
  <si>
    <t>3_all_policies_miti_pc_ai__yd_9</t>
  </si>
  <si>
    <t>3_all_miti_pc_ai__yd_9</t>
  </si>
  <si>
    <t>3_all_policies_pc_ai__yd_9</t>
  </si>
  <si>
    <t>3_subs_public_transport_pc_ai__yd_9</t>
  </si>
  <si>
    <t>3_all_policies_noST_pc_ai__yd_9</t>
  </si>
  <si>
    <t>3_all_elec_noST_pc_ai__yd_9</t>
  </si>
  <si>
    <t>3_all_elec_pc_ai__yd_9</t>
  </si>
  <si>
    <t>3_vat_fuel_pc_ai__yd_9</t>
  </si>
  <si>
    <t>3_subsidy_elec_pc_ai__yd_9</t>
  </si>
  <si>
    <t>3_subsidy_fuel_indirect_pc_ai__yd_9</t>
  </si>
  <si>
    <t>3_vat_elec_pc_ai__yd_9</t>
  </si>
  <si>
    <t>3_am_delayed_pnbsf_pc_ai__yd_9</t>
  </si>
  <si>
    <t>3_am_pnbsf_newbenefs_pc_ai__yd_9</t>
  </si>
  <si>
    <t>3_all_miti_noST_pc_ai__yd_9</t>
  </si>
  <si>
    <t>3_all_fuel_pc_ai__yd_9</t>
  </si>
  <si>
    <t>3_subsidy_fuel_pc_ai__yd_9</t>
  </si>
  <si>
    <t>3_social_tranche_pc_ai__yd_9</t>
  </si>
  <si>
    <t>3_subsidy_elec_direct_pc_ai__yd_9</t>
  </si>
  <si>
    <t>3_all_subs_noST_pc_ai__yd_9</t>
  </si>
  <si>
    <t>3_am_pnbsf_transferinc_pc_ai__yd_9</t>
  </si>
  <si>
    <t>3_subsidy_elec_indirect_pc_ai__yd_9</t>
  </si>
  <si>
    <t>3_all_subs_pc_ai__yd_9</t>
  </si>
  <si>
    <t>3_all_elec_noST_pc_ai__yd_10</t>
  </si>
  <si>
    <t>3_am_pnbsf_newbenefs_pc_ai__yd_10</t>
  </si>
  <si>
    <t>3_vat_elec_pc_ai__yd_10</t>
  </si>
  <si>
    <t>3_subsidy_elec_indirect_pc_ai__yd_10</t>
  </si>
  <si>
    <t>3_all_policies_pc_ai__yd_10</t>
  </si>
  <si>
    <t>3_am_delayed_pnbsf_pc_ai__yd_10</t>
  </si>
  <si>
    <t>3_subsidy_fuel_direct_pc_ai__yd_10</t>
  </si>
  <si>
    <t>3_all_subs_noST_pc_ai__yd_10</t>
  </si>
  <si>
    <t>3_all_elec_pc_ai__yd_10</t>
  </si>
  <si>
    <t>3_all_policies_miti_pc_ai__yd_10</t>
  </si>
  <si>
    <t>3_all_policies_noST_pc_ai__yd_10</t>
  </si>
  <si>
    <t>3_subsidy_elec_direct_pc_ai__yd_10</t>
  </si>
  <si>
    <t>3_all_subs_pc_ai__yd_10</t>
  </si>
  <si>
    <t>3_subs_public_transport_pc_ai__yd_10</t>
  </si>
  <si>
    <t>3_social_tranche_pc_ai__yd_10</t>
  </si>
  <si>
    <t>3_subsidy_fuel_indirect_pc_ai__yd_10</t>
  </si>
  <si>
    <t>3_vat_fuel_pc_ai__yd_10</t>
  </si>
  <si>
    <t>3_subsidy_fuel_pc_ai__yd_10</t>
  </si>
  <si>
    <t>3_all_miti_pc_ai__yd_10</t>
  </si>
  <si>
    <t>3_am_pnbsf_transferinc_pc_ai__yd_10</t>
  </si>
  <si>
    <t>3_all_miti_noST_pc_ai__yd_10</t>
  </si>
  <si>
    <t>3_all_tax_pc_ai__yd_10</t>
  </si>
  <si>
    <t>3_all_fuel_pc_ai__yd_10</t>
  </si>
  <si>
    <t>3_subsidy_elec_pc_ai__yd_10</t>
  </si>
  <si>
    <t>3_am_new_pnbsf_pc_ai__yd_10</t>
  </si>
  <si>
    <t>3_subsidy_fuel_direct_pc_beneficiaries__yd_0</t>
  </si>
  <si>
    <t>3_subsidy_fuel_direct_pc_benefits__yd_0</t>
  </si>
  <si>
    <t>3_subsidy_fuel_direct_pc_coverage__yd_0</t>
  </si>
  <si>
    <t>3_subsidy_fuel_direct_pc_mean__yd_0</t>
  </si>
  <si>
    <t>3_am_delayed_pnbsf_pc_beneficiaries__yd_0</t>
  </si>
  <si>
    <t>3_am_delayed_pnbsf_pc_benefits__yd_0</t>
  </si>
  <si>
    <t>3_am_delayed_pnbsf_pc_coverage__yd_0</t>
  </si>
  <si>
    <t>3_am_delayed_pnbsf_pc_mean__yd_0</t>
  </si>
  <si>
    <t>3_social_tranche_pc_beneficiaries__yd_0</t>
  </si>
  <si>
    <t>3_social_tranche_pc_benefits__yd_0</t>
  </si>
  <si>
    <t>3_social_tranche_pc_coverage__yd_0</t>
  </si>
  <si>
    <t>3_social_tranche_pc_mean__yd_0</t>
  </si>
  <si>
    <t>3_subs_public_transport_pc_beneficiaries__yd_0</t>
  </si>
  <si>
    <t>3_subs_public_transport_pc_benefits__yd_0</t>
  </si>
  <si>
    <t>3_subs_public_transport_pc_coverage__yd_0</t>
  </si>
  <si>
    <t>3_subs_public_transport_pc_mean__yd_0</t>
  </si>
  <si>
    <t>3_am_pnbsf_transferinc_pc_beneficiaries__yd_0</t>
  </si>
  <si>
    <t>3_am_pnbsf_transferinc_pc_benefits__yd_0</t>
  </si>
  <si>
    <t>3_am_pnbsf_transferinc_pc_coverage__yd_0</t>
  </si>
  <si>
    <t>3_am_pnbsf_transferinc_pc_mean__yd_0</t>
  </si>
  <si>
    <t>3_am_pnbsf_newbenefs_pc_beneficiaries__yd_0</t>
  </si>
  <si>
    <t>3_am_pnbsf_newbenefs_pc_benefits__yd_0</t>
  </si>
  <si>
    <t>3_am_pnbsf_newbenefs_pc_coverage__yd_0</t>
  </si>
  <si>
    <t>3_am_pnbsf_newbenefs_pc_mean__yd_0</t>
  </si>
  <si>
    <t>3_all_miti_pc_beneficiaries__yd_0</t>
  </si>
  <si>
    <t>3_all_miti_pc_benefits__yd_0</t>
  </si>
  <si>
    <t>3_all_miti_pc_coverage__yd_0</t>
  </si>
  <si>
    <t>3_all_miti_pc_mean__yd_0</t>
  </si>
  <si>
    <t>3_all_miti_noST_pc_beneficiaries__yd_0</t>
  </si>
  <si>
    <t>3_all_miti_noST_pc_benefits__yd_0</t>
  </si>
  <si>
    <t>3_all_miti_noST_pc_coverage__yd_0</t>
  </si>
  <si>
    <t>3_all_miti_noST_pc_mean__yd_0</t>
  </si>
  <si>
    <t>3_all_policies_miti_pc_beneficiaries__yd_0</t>
  </si>
  <si>
    <t>3_all_policies_miti_pc_benefits__yd_0</t>
  </si>
  <si>
    <t>3_all_policies_miti_pc_coverage__yd_0</t>
  </si>
  <si>
    <t>3_all_policies_miti_pc_mean__yd_0</t>
  </si>
  <si>
    <t>3_all_policies_noST_pc_beneficiaries__yd_0</t>
  </si>
  <si>
    <t>3_all_policies_noST_pc_benefits__yd_0</t>
  </si>
  <si>
    <t>3_all_policies_noST_pc_coverage__yd_0</t>
  </si>
  <si>
    <t>3_all_policies_noST_pc_mean__yd_0</t>
  </si>
  <si>
    <t>3_all_policies_pc_beneficiaries__yd_0</t>
  </si>
  <si>
    <t>3_all_policies_pc_benefits__yd_0</t>
  </si>
  <si>
    <t>3_all_policies_pc_coverage__yd_0</t>
  </si>
  <si>
    <t>3_all_policies_pc_mean__yd_0</t>
  </si>
  <si>
    <t>3_subsidy_fuel_indirect_pc_beneficiaries__yd_0</t>
  </si>
  <si>
    <t>3_subsidy_fuel_indirect_pc_benefits__yd_0</t>
  </si>
  <si>
    <t>3_subsidy_fuel_indirect_pc_coverage__yd_0</t>
  </si>
  <si>
    <t>3_subsidy_fuel_indirect_pc_mean__yd_0</t>
  </si>
  <si>
    <t>3_all_tax_pc_beneficiaries__yd_0</t>
  </si>
  <si>
    <t>3_all_tax_pc_benefits__yd_0</t>
  </si>
  <si>
    <t>3_all_tax_pc_coverage__yd_0</t>
  </si>
  <si>
    <t>3_all_tax_pc_mean__yd_0</t>
  </si>
  <si>
    <t>3_all_subs_noST_pc_beneficiaries__yd_0</t>
  </si>
  <si>
    <t>3_all_subs_noST_pc_benefits__yd_0</t>
  </si>
  <si>
    <t>3_all_subs_noST_pc_coverage__yd_0</t>
  </si>
  <si>
    <t>3_all_subs_noST_pc_mean__yd_0</t>
  </si>
  <si>
    <t>3_all_subs_pc_beneficiaries__yd_0</t>
  </si>
  <si>
    <t>3_all_subs_pc_benefits__yd_0</t>
  </si>
  <si>
    <t>3_all_subs_pc_coverage__yd_0</t>
  </si>
  <si>
    <t>3_all_subs_pc_mean__yd_0</t>
  </si>
  <si>
    <t>3_all_elec_noST_pc_beneficiaries__yd_0</t>
  </si>
  <si>
    <t>3_all_elec_noST_pc_benefits__yd_0</t>
  </si>
  <si>
    <t>3_all_elec_noST_pc_coverage__yd_0</t>
  </si>
  <si>
    <t>3_all_elec_noST_pc_mean__yd_0</t>
  </si>
  <si>
    <t>3_all_elec_pc_beneficiaries__yd_0</t>
  </si>
  <si>
    <t>3_all_elec_pc_benefits__yd_0</t>
  </si>
  <si>
    <t>3_all_elec_pc_coverage__yd_0</t>
  </si>
  <si>
    <t>3_all_elec_pc_mean__yd_0</t>
  </si>
  <si>
    <t>3_all_fuel_pc_beneficiaries__yd_0</t>
  </si>
  <si>
    <t>3_all_fuel_pc_benefits__yd_0</t>
  </si>
  <si>
    <t>3_all_fuel_pc_coverage__yd_0</t>
  </si>
  <si>
    <t>3_all_fuel_pc_mean__yd_0</t>
  </si>
  <si>
    <t>3_subsidy_fuel_pc_beneficiaries__yd_0</t>
  </si>
  <si>
    <t>3_subsidy_fuel_pc_benefits__yd_0</t>
  </si>
  <si>
    <t>3_subsidy_fuel_pc_coverage__yd_0</t>
  </si>
  <si>
    <t>3_subsidy_fuel_pc_mean__yd_0</t>
  </si>
  <si>
    <t>3_subsidy_elec_direct_pc_beneficiaries__yd_0</t>
  </si>
  <si>
    <t>3_subsidy_elec_direct_pc_benefits__yd_0</t>
  </si>
  <si>
    <t>3_subsidy_elec_direct_pc_coverage__yd_0</t>
  </si>
  <si>
    <t>3_subsidy_elec_direct_pc_mean__yd_0</t>
  </si>
  <si>
    <t>3_subsidy_elec_indirect_pc_beneficiaries__yd_0</t>
  </si>
  <si>
    <t>3_subsidy_elec_indirect_pc_benefits__yd_0</t>
  </si>
  <si>
    <t>3_subsidy_elec_indirect_pc_coverage__yd_0</t>
  </si>
  <si>
    <t>3_subsidy_elec_indirect_pc_mean__yd_0</t>
  </si>
  <si>
    <t>3_subsidy_elec_pc_beneficiaries__yd_0</t>
  </si>
  <si>
    <t>3_subsidy_elec_pc_benefits__yd_0</t>
  </si>
  <si>
    <t>3_subsidy_elec_pc_coverage__yd_0</t>
  </si>
  <si>
    <t>3_subsidy_elec_pc_mean__yd_0</t>
  </si>
  <si>
    <t>3_vat_elec_pc_beneficiaries__yd_0</t>
  </si>
  <si>
    <t>3_vat_elec_pc_benefits__yd_0</t>
  </si>
  <si>
    <t>3_vat_elec_pc_coverage__yd_0</t>
  </si>
  <si>
    <t>3_vat_elec_pc_mean__yd_0</t>
  </si>
  <si>
    <t>3_vat_fuel_pc_beneficiaries__yd_0</t>
  </si>
  <si>
    <t>3_vat_fuel_pc_benefits__yd_0</t>
  </si>
  <si>
    <t>3_vat_fuel_pc_coverage__yd_0</t>
  </si>
  <si>
    <t>3_vat_fuel_pc_mean__yd_0</t>
  </si>
  <si>
    <t>3_am_new_pnbsf_pc_beneficiaries__yd_0</t>
  </si>
  <si>
    <t>3_am_new_pnbsf_pc_benefits__yd_0</t>
  </si>
  <si>
    <t>3_am_new_pnbsf_pc_coverage__yd_0</t>
  </si>
  <si>
    <t>3_am_new_pnbsf_pc_mean__yd_0</t>
  </si>
  <si>
    <t>3_yd_pc_gini__yd_0</t>
  </si>
  <si>
    <t>3_yd_pc_theil__yd_0</t>
  </si>
  <si>
    <t>3_inc_am_new_pnbsf_gini__yd_0</t>
  </si>
  <si>
    <t>3_inc_am_new_pnbsf_theil__yd_0</t>
  </si>
  <si>
    <t>3_inc_am_new_pnbsf_fgt0__yd_0</t>
  </si>
  <si>
    <t>3_inc_am_new_pnbsf_fgt1__yd_0</t>
  </si>
  <si>
    <t>3_inc_am_new_pnbsf_fgt2__yd_0</t>
  </si>
  <si>
    <t>3_inc_am_delayed_pnbsf_gini__yd_0</t>
  </si>
  <si>
    <t>3_inc_am_delayed_pnbsf_theil__yd_0</t>
  </si>
  <si>
    <t>3_inc_am_delayed_pnbsf_fgt0__yd_0</t>
  </si>
  <si>
    <t>3_inc_am_delayed_pnbsf_fgt1__yd_0</t>
  </si>
  <si>
    <t>3_inc_am_delayed_pnbsf_fgt2__yd_0</t>
  </si>
  <si>
    <t>3_inc_social_tranche_gini__yd_0</t>
  </si>
  <si>
    <t>3_inc_social_tranche_theil__yd_0</t>
  </si>
  <si>
    <t>3_inc_social_tranche_fgt0__yd_0</t>
  </si>
  <si>
    <t>3_inc_social_tranche_fgt1__yd_0</t>
  </si>
  <si>
    <t>3_inc_social_tranche_fgt2__yd_0</t>
  </si>
  <si>
    <t>3_inc_subs_public_transport_gini__yd_0</t>
  </si>
  <si>
    <t>3_inc_subs_public_transport_theil__yd_0</t>
  </si>
  <si>
    <t>3_inc_subs_public_transport_fgt0__yd_0</t>
  </si>
  <si>
    <t>3_inc_subs_public_transport_fgt1__yd_0</t>
  </si>
  <si>
    <t>3_inc_subs_public_transport_fgt2__yd_0</t>
  </si>
  <si>
    <t>3_inc_am_pnbsf_transferinc_gini__yd_0</t>
  </si>
  <si>
    <t>3_inc_am_pnbsf_transferinc_theil__yd_0</t>
  </si>
  <si>
    <t>3_inc_am_pnbsf_transferinc_fgt0__yd_0</t>
  </si>
  <si>
    <t>3_inc_am_pnbsf_transferinc_fgt1__yd_0</t>
  </si>
  <si>
    <t>3_inc_am_pnbsf_transferinc_fgt2__yd_0</t>
  </si>
  <si>
    <t>3_inc_am_pnbsf_newbenefs_gini__yd_0</t>
  </si>
  <si>
    <t>3_inc_am_pnbsf_newbenefs_theil__yd_0</t>
  </si>
  <si>
    <t>3_inc_am_pnbsf_newbenefs_fgt0__yd_0</t>
  </si>
  <si>
    <t>3_inc_am_pnbsf_newbenefs_fgt1__yd_0</t>
  </si>
  <si>
    <t>3_inc_am_pnbsf_newbenefs_fgt2__yd_0</t>
  </si>
  <si>
    <t>3_inc_all_miti_gini__yd_0</t>
  </si>
  <si>
    <t>3_inc_all_miti_theil__yd_0</t>
  </si>
  <si>
    <t>3_inc_all_miti_fgt0__yd_0</t>
  </si>
  <si>
    <t>3_inc_all_miti_fgt1__yd_0</t>
  </si>
  <si>
    <t>3_inc_all_miti_fgt2__yd_0</t>
  </si>
  <si>
    <t>3_inc_all_miti_noST_gini__yd_0</t>
  </si>
  <si>
    <t>3_inc_all_miti_noST_theil__yd_0</t>
  </si>
  <si>
    <t>3_inc_all_miti_noST_fgt0__yd_0</t>
  </si>
  <si>
    <t>3_inc_all_miti_noST_fgt1__yd_0</t>
  </si>
  <si>
    <t>3_inc_all_miti_noST_fgt2__yd_0</t>
  </si>
  <si>
    <t>3_inc_all_policies_miti_gini__yd_0</t>
  </si>
  <si>
    <t>3_inc_all_policies_miti_theil__yd_0</t>
  </si>
  <si>
    <t>3_inc_all_policies_miti_fgt0__yd_0</t>
  </si>
  <si>
    <t>3_inc_all_policies_miti_fgt1__yd_0</t>
  </si>
  <si>
    <t>3_inc_all_policies_miti_fgt2__yd_0</t>
  </si>
  <si>
    <t>3_inc_all_policies_noST_gini__yd_0</t>
  </si>
  <si>
    <t>3_inc_all_policies_noST_theil__yd_0</t>
  </si>
  <si>
    <t>3_inc_all_policies_noST_fgt0__yd_0</t>
  </si>
  <si>
    <t>3_inc_all_policies_noST_fgt1__yd_0</t>
  </si>
  <si>
    <t>3_inc_all_policies_noST_fgt2__yd_0</t>
  </si>
  <si>
    <t>3_yd_pc_fgt0__yd_0</t>
  </si>
  <si>
    <t>3_yd_pc_fgt1__yd_0</t>
  </si>
  <si>
    <t>3_yd_pc_fgt2__yd_0</t>
  </si>
  <si>
    <t>3_inc_vat_elec_gini__yd_0</t>
  </si>
  <si>
    <t>3_inc_vat_elec_theil__yd_0</t>
  </si>
  <si>
    <t>3_inc_all_policies_gini__yd_0</t>
  </si>
  <si>
    <t>3_inc_all_policies_theil__yd_0</t>
  </si>
  <si>
    <t>3_inc_all_policies_fgt0__yd_0</t>
  </si>
  <si>
    <t>3_inc_all_policies_fgt1__yd_0</t>
  </si>
  <si>
    <t>3_inc_all_policies_fgt2__yd_0</t>
  </si>
  <si>
    <t>3_inc_all_tax_gini__yd_0</t>
  </si>
  <si>
    <t>3_inc_all_tax_theil__yd_0</t>
  </si>
  <si>
    <t>3_inc_all_tax_fgt0__yd_0</t>
  </si>
  <si>
    <t>3_inc_all_tax_fgt1__yd_0</t>
  </si>
  <si>
    <t>3_inc_all_tax_fgt2__yd_0</t>
  </si>
  <si>
    <t>3_inc_all_subs_noST_gini__yd_0</t>
  </si>
  <si>
    <t>3_inc_all_subs_noST_theil__yd_0</t>
  </si>
  <si>
    <t>3_inc_all_subs_noST_fgt0__yd_0</t>
  </si>
  <si>
    <t>3_inc_all_subs_noST_fgt1__yd_0</t>
  </si>
  <si>
    <t>3_inc_all_subs_noST_fgt2__yd_0</t>
  </si>
  <si>
    <t>3_inc_all_subs_gini__yd_0</t>
  </si>
  <si>
    <t>3_inc_all_subs_theil__yd_0</t>
  </si>
  <si>
    <t>3_inc_all_subs_fgt0__yd_0</t>
  </si>
  <si>
    <t>3_inc_all_subs_fgt1__yd_0</t>
  </si>
  <si>
    <t>3_inc_all_subs_fgt2__yd_0</t>
  </si>
  <si>
    <t>3_inc_all_elec_noST_gini__yd_0</t>
  </si>
  <si>
    <t>3_inc_all_elec_noST_theil__yd_0</t>
  </si>
  <si>
    <t>3_inc_all_elec_noST_fgt0__yd_0</t>
  </si>
  <si>
    <t>3_inc_all_elec_noST_fgt1__yd_0</t>
  </si>
  <si>
    <t>3_inc_all_elec_noST_fgt2__yd_0</t>
  </si>
  <si>
    <t>3_inc_all_elec_gini__yd_0</t>
  </si>
  <si>
    <t>3_inc_all_elec_theil__yd_0</t>
  </si>
  <si>
    <t>3_inc_all_elec_fgt0__yd_0</t>
  </si>
  <si>
    <t>3_inc_all_elec_fgt1__yd_0</t>
  </si>
  <si>
    <t>3_inc_all_elec_fgt2__yd_0</t>
  </si>
  <si>
    <t>3_inc_all_fuel_gini__yd_0</t>
  </si>
  <si>
    <t>3_inc_all_fuel_theil__yd_0</t>
  </si>
  <si>
    <t>3_inc_all_fuel_fgt0__yd_0</t>
  </si>
  <si>
    <t>3_inc_all_fuel_fgt1__yd_0</t>
  </si>
  <si>
    <t>3_inc_all_fuel_fgt2__yd_0</t>
  </si>
  <si>
    <t>3_inc_vat_elec_fgt0__yd_0</t>
  </si>
  <si>
    <t>3_inc_vat_elec_fgt1__yd_0</t>
  </si>
  <si>
    <t>3_inc_vat_elec_fgt2__yd_0</t>
  </si>
  <si>
    <t>3_inc_vat_fuel_gini__yd_0</t>
  </si>
  <si>
    <t>3_inc_vat_fuel_theil__yd_0</t>
  </si>
  <si>
    <t>3_inc_vat_fuel_fgt0__yd_0</t>
  </si>
  <si>
    <t>3_inc_vat_fuel_fgt1__yd_0</t>
  </si>
  <si>
    <t>3_inc_vat_fuel_fgt2__yd_0</t>
  </si>
  <si>
    <t>3_inc_subsidy_fuel_direct_gini__yd_0</t>
  </si>
  <si>
    <t>3_inc_subsidy_fuel_direct_theil__yd_0</t>
  </si>
  <si>
    <t>3_inc_subsidy_fuel_direct_fgt0__yd_0</t>
  </si>
  <si>
    <t>3_inc_subsidy_fuel_direct_fgt1__yd_0</t>
  </si>
  <si>
    <t>3_inc_subsidy_fuel_direct_fgt2__yd_0</t>
  </si>
  <si>
    <t>3_inc_subsidy_fuel_indirect_gini__yd_0</t>
  </si>
  <si>
    <t>3_inc_subsidy_fuel_indirect_theil__yd_0</t>
  </si>
  <si>
    <t>3_inc_subsidy_fuel_indirect_fgt0__yd_0</t>
  </si>
  <si>
    <t>3_inc_subsidy_fuel_indirect_fgt1__yd_0</t>
  </si>
  <si>
    <t>3_inc_subsidy_fuel_indirect_fgt2__yd_0</t>
  </si>
  <si>
    <t>3_inc_subsidy_fuel_gini__yd_0</t>
  </si>
  <si>
    <t>3_inc_subsidy_fuel_theil__yd_0</t>
  </si>
  <si>
    <t>3_inc_subsidy_fuel_fgt0__yd_0</t>
  </si>
  <si>
    <t>3_inc_subsidy_fuel_fgt1__yd_0</t>
  </si>
  <si>
    <t>3_inc_subsidy_fuel_fgt2__yd_0</t>
  </si>
  <si>
    <t>3_inc_subsidy_elec_direct_gini__yd_0</t>
  </si>
  <si>
    <t>3_inc_subsidy_elec_direct_theil__yd_0</t>
  </si>
  <si>
    <t>3_inc_subsidy_elec_direct_fgt0__yd_0</t>
  </si>
  <si>
    <t>3_inc_subsidy_elec_direct_fgt1__yd_0</t>
  </si>
  <si>
    <t>3_inc_subsidy_elec_direct_fgt2__yd_0</t>
  </si>
  <si>
    <t>3_inc_subsidy_elec_indirect_gini__yd_0</t>
  </si>
  <si>
    <t>3_inc_subsidy_elec_indirect_theil__yd_0</t>
  </si>
  <si>
    <t>3_inc_subsidy_elec_indirect_fgt0__yd_0</t>
  </si>
  <si>
    <t>3_inc_subsidy_elec_indirect_fgt1__yd_0</t>
  </si>
  <si>
    <t>3_inc_subsidy_elec_indirect_fgt2__yd_0</t>
  </si>
  <si>
    <t>3_inc_subsidy_elec_gini__yd_0</t>
  </si>
  <si>
    <t>3_inc_subsidy_elec_theil__yd_0</t>
  </si>
  <si>
    <t>3_inc_subsidy_elec_fgt0__yd_0</t>
  </si>
  <si>
    <t>3_inc_subsidy_elec_fgt1__yd_0</t>
  </si>
  <si>
    <t>3_inc_subsidy_elec_fgt2__yd_0</t>
  </si>
  <si>
    <t>4_subsidy_fuel_direct_pc_beneficiaries__yd_1</t>
  </si>
  <si>
    <t>4_subsidy_fuel_direct_pc_benefits__yd_1</t>
  </si>
  <si>
    <t>4_subsidy_fuel_direct_pc_coverage__yd_1</t>
  </si>
  <si>
    <t>4_subsidy_fuel_direct_pc_mean__yd_1</t>
  </si>
  <si>
    <t>4_am_delayed_pnbsf_pc_beneficiaries__yd_1</t>
  </si>
  <si>
    <t>4_am_delayed_pnbsf_pc_benefits__yd_1</t>
  </si>
  <si>
    <t>4_am_delayed_pnbsf_pc_coverage__yd_1</t>
  </si>
  <si>
    <t>4_am_delayed_pnbsf_pc_mean__yd_1</t>
  </si>
  <si>
    <t>4_social_tranche_pc_beneficiaries__yd_1</t>
  </si>
  <si>
    <t>4_social_tranche_pc_benefits__yd_1</t>
  </si>
  <si>
    <t>4_social_tranche_pc_coverage__yd_1</t>
  </si>
  <si>
    <t>4_social_tranche_pc_mean__yd_1</t>
  </si>
  <si>
    <t>4_subs_public_transport_pc_beneficiaries__yd_1</t>
  </si>
  <si>
    <t>4_subs_public_transport_pc_benefits__yd_1</t>
  </si>
  <si>
    <t>4_subs_public_transport_pc_coverage__yd_1</t>
  </si>
  <si>
    <t>4_subs_public_transport_pc_mean__yd_1</t>
  </si>
  <si>
    <t>4_am_pnbsf_transferinc_pc_beneficiaries__yd_1</t>
  </si>
  <si>
    <t>4_am_pnbsf_transferinc_pc_benefits__yd_1</t>
  </si>
  <si>
    <t>4_am_pnbsf_transferinc_pc_coverage__yd_1</t>
  </si>
  <si>
    <t>4_am_pnbsf_transferinc_pc_mean__yd_1</t>
  </si>
  <si>
    <t>4_am_pnbsf_newbenefs_pc_beneficiaries__yd_1</t>
  </si>
  <si>
    <t>4_am_pnbsf_newbenefs_pc_benefits__yd_1</t>
  </si>
  <si>
    <t>4_am_pnbsf_newbenefs_pc_coverage__yd_1</t>
  </si>
  <si>
    <t>4_am_pnbsf_newbenefs_pc_mean__yd_1</t>
  </si>
  <si>
    <t>4_all_miti_pc_beneficiaries__yd_1</t>
  </si>
  <si>
    <t>4_all_miti_pc_benefits__yd_1</t>
  </si>
  <si>
    <t>4_all_miti_pc_coverage__yd_1</t>
  </si>
  <si>
    <t>4_all_miti_pc_mean__yd_1</t>
  </si>
  <si>
    <t>4_all_miti_noST_pc_beneficiaries__yd_1</t>
  </si>
  <si>
    <t>4_all_miti_noST_pc_benefits__yd_1</t>
  </si>
  <si>
    <t>4_all_miti_noST_pc_coverage__yd_1</t>
  </si>
  <si>
    <t>4_all_miti_noST_pc_mean__yd_1</t>
  </si>
  <si>
    <t>4_all_policies_miti_pc_beneficiaries__yd_1</t>
  </si>
  <si>
    <t>4_all_policies_miti_pc_benefits__yd_1</t>
  </si>
  <si>
    <t>4_all_policies_miti_pc_coverage__yd_1</t>
  </si>
  <si>
    <t>4_all_policies_miti_pc_mean__yd_1</t>
  </si>
  <si>
    <t>4_all_policies_noST_pc_beneficiaries__yd_1</t>
  </si>
  <si>
    <t>4_all_policies_noST_pc_benefits__yd_1</t>
  </si>
  <si>
    <t>4_all_policies_noST_pc_coverage__yd_1</t>
  </si>
  <si>
    <t>4_all_policies_noST_pc_mean__yd_1</t>
  </si>
  <si>
    <t>4_all_policies_pc_beneficiaries__yd_1</t>
  </si>
  <si>
    <t>4_all_policies_pc_benefits__yd_1</t>
  </si>
  <si>
    <t>4_all_policies_pc_coverage__yd_1</t>
  </si>
  <si>
    <t>4_all_policies_pc_mean__yd_1</t>
  </si>
  <si>
    <t>4_subsidy_fuel_indirect_pc_beneficiaries__yd_1</t>
  </si>
  <si>
    <t>4_subsidy_fuel_indirect_pc_benefits__yd_1</t>
  </si>
  <si>
    <t>4_subsidy_fuel_indirect_pc_coverage__yd_1</t>
  </si>
  <si>
    <t>4_subsidy_fuel_indirect_pc_mean__yd_1</t>
  </si>
  <si>
    <t>4_all_tax_pc_beneficiaries__yd_1</t>
  </si>
  <si>
    <t>4_all_tax_pc_benefits__yd_1</t>
  </si>
  <si>
    <t>4_all_tax_pc_coverage__yd_1</t>
  </si>
  <si>
    <t>4_all_tax_pc_mean__yd_1</t>
  </si>
  <si>
    <t>4_all_subs_noST_pc_beneficiaries__yd_1</t>
  </si>
  <si>
    <t>4_all_subs_noST_pc_benefits__yd_1</t>
  </si>
  <si>
    <t>4_all_subs_noST_pc_coverage__yd_1</t>
  </si>
  <si>
    <t>4_all_subs_noST_pc_mean__yd_1</t>
  </si>
  <si>
    <t>4_all_subs_pc_beneficiaries__yd_1</t>
  </si>
  <si>
    <t>4_all_subs_pc_benefits__yd_1</t>
  </si>
  <si>
    <t>4_all_subs_pc_coverage__yd_1</t>
  </si>
  <si>
    <t>4_all_subs_pc_mean__yd_1</t>
  </si>
  <si>
    <t>4_all_elec_noST_pc_beneficiaries__yd_1</t>
  </si>
  <si>
    <t>4_all_elec_noST_pc_benefits__yd_1</t>
  </si>
  <si>
    <t>4_all_elec_noST_pc_coverage__yd_1</t>
  </si>
  <si>
    <t>4_all_elec_noST_pc_mean__yd_1</t>
  </si>
  <si>
    <t>4_all_elec_pc_beneficiaries__yd_1</t>
  </si>
  <si>
    <t>4_all_elec_pc_benefits__yd_1</t>
  </si>
  <si>
    <t>4_all_elec_pc_coverage__yd_1</t>
  </si>
  <si>
    <t>4_all_elec_pc_mean__yd_1</t>
  </si>
  <si>
    <t>4_all_fuel_pc_beneficiaries__yd_1</t>
  </si>
  <si>
    <t>4_all_fuel_pc_benefits__yd_1</t>
  </si>
  <si>
    <t>4_all_fuel_pc_coverage__yd_1</t>
  </si>
  <si>
    <t>4_all_fuel_pc_mean__yd_1</t>
  </si>
  <si>
    <t>4_subsidy_fuel_pc_beneficiaries__yd_1</t>
  </si>
  <si>
    <t>4_subsidy_fuel_pc_benefits__yd_1</t>
  </si>
  <si>
    <t>4_subsidy_fuel_pc_coverage__yd_1</t>
  </si>
  <si>
    <t>4_subsidy_fuel_pc_mean__yd_1</t>
  </si>
  <si>
    <t>4_subsidy_elec_direct_pc_beneficiaries__yd_1</t>
  </si>
  <si>
    <t>4_subsidy_elec_direct_pc_benefits__yd_1</t>
  </si>
  <si>
    <t>4_subsidy_elec_direct_pc_coverage__yd_1</t>
  </si>
  <si>
    <t>4_subsidy_elec_direct_pc_mean__yd_1</t>
  </si>
  <si>
    <t>4_subsidy_elec_indirect_pc_beneficiaries__yd_1</t>
  </si>
  <si>
    <t>4_subsidy_elec_indirect_pc_benefits__yd_1</t>
  </si>
  <si>
    <t>4_subsidy_elec_indirect_pc_coverage__yd_1</t>
  </si>
  <si>
    <t>4_subsidy_elec_indirect_pc_mean__yd_1</t>
  </si>
  <si>
    <t>4_subsidy_elec_pc_beneficiaries__yd_1</t>
  </si>
  <si>
    <t>4_subsidy_elec_pc_benefits__yd_1</t>
  </si>
  <si>
    <t>4_subsidy_elec_pc_coverage__yd_1</t>
  </si>
  <si>
    <t>4_subsidy_elec_pc_mean__yd_1</t>
  </si>
  <si>
    <t>4_vat_elec_pc_beneficiaries__yd_1</t>
  </si>
  <si>
    <t>4_vat_elec_pc_benefits__yd_1</t>
  </si>
  <si>
    <t>4_vat_elec_pc_coverage__yd_1</t>
  </si>
  <si>
    <t>4_vat_elec_pc_mean__yd_1</t>
  </si>
  <si>
    <t>4_vat_fuel_pc_beneficiaries__yd_1</t>
  </si>
  <si>
    <t>4_vat_fuel_pc_benefits__yd_1</t>
  </si>
  <si>
    <t>4_vat_fuel_pc_coverage__yd_1</t>
  </si>
  <si>
    <t>4_vat_fuel_pc_mean__yd_1</t>
  </si>
  <si>
    <t>4_am_new_pnbsf_pc_beneficiaries__yd_1</t>
  </si>
  <si>
    <t>4_am_new_pnbsf_pc_benefits__yd_1</t>
  </si>
  <si>
    <t>4_am_new_pnbsf_pc_coverage__yd_1</t>
  </si>
  <si>
    <t>4_am_new_pnbsf_pc_mean__yd_1</t>
  </si>
  <si>
    <t>4_subsidy_fuel_direct_pc_beneficiaries__yd_2</t>
  </si>
  <si>
    <t>4_subsidy_fuel_direct_pc_benefits__yd_2</t>
  </si>
  <si>
    <t>4_subsidy_fuel_direct_pc_coverage__yd_2</t>
  </si>
  <si>
    <t>4_subsidy_fuel_direct_pc_mean__yd_2</t>
  </si>
  <si>
    <t>4_am_delayed_pnbsf_pc_beneficiaries__yd_2</t>
  </si>
  <si>
    <t>4_am_delayed_pnbsf_pc_benefits__yd_2</t>
  </si>
  <si>
    <t>4_am_delayed_pnbsf_pc_coverage__yd_2</t>
  </si>
  <si>
    <t>4_am_delayed_pnbsf_pc_mean__yd_2</t>
  </si>
  <si>
    <t>4_social_tranche_pc_beneficiaries__yd_2</t>
  </si>
  <si>
    <t>4_social_tranche_pc_benefits__yd_2</t>
  </si>
  <si>
    <t>4_social_tranche_pc_coverage__yd_2</t>
  </si>
  <si>
    <t>4_social_tranche_pc_mean__yd_2</t>
  </si>
  <si>
    <t>4_subs_public_transport_pc_beneficiaries__yd_2</t>
  </si>
  <si>
    <t>4_subs_public_transport_pc_benefits__yd_2</t>
  </si>
  <si>
    <t>4_subs_public_transport_pc_coverage__yd_2</t>
  </si>
  <si>
    <t>4_subs_public_transport_pc_mean__yd_2</t>
  </si>
  <si>
    <t>4_am_pnbsf_transferinc_pc_beneficiaries__yd_2</t>
  </si>
  <si>
    <t>4_am_pnbsf_transferinc_pc_benefits__yd_2</t>
  </si>
  <si>
    <t>4_am_pnbsf_transferinc_pc_coverage__yd_2</t>
  </si>
  <si>
    <t>4_am_pnbsf_transferinc_pc_mean__yd_2</t>
  </si>
  <si>
    <t>4_am_pnbsf_newbenefs_pc_beneficiaries__yd_2</t>
  </si>
  <si>
    <t>4_am_pnbsf_newbenefs_pc_benefits__yd_2</t>
  </si>
  <si>
    <t>4_am_pnbsf_newbenefs_pc_coverage__yd_2</t>
  </si>
  <si>
    <t>4_am_pnbsf_newbenefs_pc_mean__yd_2</t>
  </si>
  <si>
    <t>4_all_miti_pc_beneficiaries__yd_2</t>
  </si>
  <si>
    <t>4_all_miti_pc_benefits__yd_2</t>
  </si>
  <si>
    <t>4_all_miti_pc_coverage__yd_2</t>
  </si>
  <si>
    <t>4_all_miti_pc_mean__yd_2</t>
  </si>
  <si>
    <t>4_all_miti_noST_pc_beneficiaries__yd_2</t>
  </si>
  <si>
    <t>4_all_miti_noST_pc_benefits__yd_2</t>
  </si>
  <si>
    <t>4_all_miti_noST_pc_coverage__yd_2</t>
  </si>
  <si>
    <t>4_all_miti_noST_pc_mean__yd_2</t>
  </si>
  <si>
    <t>4_all_policies_miti_pc_beneficiaries__yd_2</t>
  </si>
  <si>
    <t>4_all_policies_miti_pc_benefits__yd_2</t>
  </si>
  <si>
    <t>4_all_policies_miti_pc_coverage__yd_2</t>
  </si>
  <si>
    <t>4_all_policies_miti_pc_mean__yd_2</t>
  </si>
  <si>
    <t>4_all_policies_noST_pc_beneficiaries__yd_2</t>
  </si>
  <si>
    <t>4_all_policies_noST_pc_benefits__yd_2</t>
  </si>
  <si>
    <t>4_all_policies_noST_pc_coverage__yd_2</t>
  </si>
  <si>
    <t>4_all_policies_noST_pc_mean__yd_2</t>
  </si>
  <si>
    <t>4_all_policies_pc_beneficiaries__yd_2</t>
  </si>
  <si>
    <t>4_all_policies_pc_benefits__yd_2</t>
  </si>
  <si>
    <t>4_all_policies_pc_coverage__yd_2</t>
  </si>
  <si>
    <t>4_all_policies_pc_mean__yd_2</t>
  </si>
  <si>
    <t>4_subsidy_fuel_indirect_pc_beneficiaries__yd_2</t>
  </si>
  <si>
    <t>4_subsidy_fuel_indirect_pc_benefits__yd_2</t>
  </si>
  <si>
    <t>4_subsidy_fuel_indirect_pc_coverage__yd_2</t>
  </si>
  <si>
    <t>4_subsidy_fuel_indirect_pc_mean__yd_2</t>
  </si>
  <si>
    <t>4_all_tax_pc_beneficiaries__yd_2</t>
  </si>
  <si>
    <t>4_all_tax_pc_benefits__yd_2</t>
  </si>
  <si>
    <t>4_all_tax_pc_coverage__yd_2</t>
  </si>
  <si>
    <t>4_all_tax_pc_mean__yd_2</t>
  </si>
  <si>
    <t>4_all_subs_noST_pc_beneficiaries__yd_2</t>
  </si>
  <si>
    <t>4_all_subs_noST_pc_benefits__yd_2</t>
  </si>
  <si>
    <t>4_all_subs_noST_pc_coverage__yd_2</t>
  </si>
  <si>
    <t>4_all_subs_noST_pc_mean__yd_2</t>
  </si>
  <si>
    <t>4_all_subs_pc_beneficiaries__yd_2</t>
  </si>
  <si>
    <t>4_all_subs_pc_benefits__yd_2</t>
  </si>
  <si>
    <t>4_all_subs_pc_coverage__yd_2</t>
  </si>
  <si>
    <t>4_all_subs_pc_mean__yd_2</t>
  </si>
  <si>
    <t>4_all_elec_noST_pc_beneficiaries__yd_2</t>
  </si>
  <si>
    <t>4_all_elec_noST_pc_benefits__yd_2</t>
  </si>
  <si>
    <t>4_all_elec_noST_pc_coverage__yd_2</t>
  </si>
  <si>
    <t>4_all_elec_noST_pc_mean__yd_2</t>
  </si>
  <si>
    <t>4_all_elec_pc_beneficiaries__yd_2</t>
  </si>
  <si>
    <t>4_all_elec_pc_benefits__yd_2</t>
  </si>
  <si>
    <t>4_all_elec_pc_coverage__yd_2</t>
  </si>
  <si>
    <t>4_all_elec_pc_mean__yd_2</t>
  </si>
  <si>
    <t>4_all_fuel_pc_beneficiaries__yd_2</t>
  </si>
  <si>
    <t>4_all_fuel_pc_benefits__yd_2</t>
  </si>
  <si>
    <t>4_all_fuel_pc_coverage__yd_2</t>
  </si>
  <si>
    <t>4_all_fuel_pc_mean__yd_2</t>
  </si>
  <si>
    <t>4_subsidy_fuel_pc_beneficiaries__yd_2</t>
  </si>
  <si>
    <t>4_subsidy_fuel_pc_benefits__yd_2</t>
  </si>
  <si>
    <t>4_subsidy_fuel_pc_coverage__yd_2</t>
  </si>
  <si>
    <t>4_subsidy_fuel_pc_mean__yd_2</t>
  </si>
  <si>
    <t>4_subsidy_elec_direct_pc_beneficiaries__yd_2</t>
  </si>
  <si>
    <t>4_subsidy_elec_direct_pc_benefits__yd_2</t>
  </si>
  <si>
    <t>4_subsidy_elec_direct_pc_coverage__yd_2</t>
  </si>
  <si>
    <t>4_subsidy_elec_direct_pc_mean__yd_2</t>
  </si>
  <si>
    <t>4_subsidy_elec_indirect_pc_beneficiaries__yd_2</t>
  </si>
  <si>
    <t>4_subsidy_elec_indirect_pc_benefits__yd_2</t>
  </si>
  <si>
    <t>4_subsidy_elec_indirect_pc_coverage__yd_2</t>
  </si>
  <si>
    <t>4_subsidy_elec_indirect_pc_mean__yd_2</t>
  </si>
  <si>
    <t>4_subsidy_elec_pc_beneficiaries__yd_2</t>
  </si>
  <si>
    <t>4_subsidy_elec_pc_benefits__yd_2</t>
  </si>
  <si>
    <t>4_subsidy_elec_pc_coverage__yd_2</t>
  </si>
  <si>
    <t>4_subsidy_elec_pc_mean__yd_2</t>
  </si>
  <si>
    <t>4_vat_elec_pc_beneficiaries__yd_2</t>
  </si>
  <si>
    <t>4_vat_elec_pc_benefits__yd_2</t>
  </si>
  <si>
    <t>4_vat_elec_pc_coverage__yd_2</t>
  </si>
  <si>
    <t>4_vat_elec_pc_mean__yd_2</t>
  </si>
  <si>
    <t>4_vat_fuel_pc_beneficiaries__yd_2</t>
  </si>
  <si>
    <t>4_vat_fuel_pc_benefits__yd_2</t>
  </si>
  <si>
    <t>4_vat_fuel_pc_coverage__yd_2</t>
  </si>
  <si>
    <t>4_vat_fuel_pc_mean__yd_2</t>
  </si>
  <si>
    <t>4_am_new_pnbsf_pc_beneficiaries__yd_2</t>
  </si>
  <si>
    <t>4_am_new_pnbsf_pc_benefits__yd_2</t>
  </si>
  <si>
    <t>4_am_new_pnbsf_pc_coverage__yd_2</t>
  </si>
  <si>
    <t>4_am_new_pnbsf_pc_mean__yd_2</t>
  </si>
  <si>
    <t>4_subsidy_fuel_direct_pc_beneficiaries__yd_3</t>
  </si>
  <si>
    <t>4_subsidy_fuel_direct_pc_benefits__yd_3</t>
  </si>
  <si>
    <t>4_subsidy_fuel_direct_pc_coverage__yd_3</t>
  </si>
  <si>
    <t>4_subsidy_fuel_direct_pc_mean__yd_3</t>
  </si>
  <si>
    <t>4_am_delayed_pnbsf_pc_beneficiaries__yd_3</t>
  </si>
  <si>
    <t>4_am_delayed_pnbsf_pc_benefits__yd_3</t>
  </si>
  <si>
    <t>4_am_delayed_pnbsf_pc_coverage__yd_3</t>
  </si>
  <si>
    <t>4_am_delayed_pnbsf_pc_mean__yd_3</t>
  </si>
  <si>
    <t>4_social_tranche_pc_beneficiaries__yd_3</t>
  </si>
  <si>
    <t>4_social_tranche_pc_benefits__yd_3</t>
  </si>
  <si>
    <t>4_social_tranche_pc_coverage__yd_3</t>
  </si>
  <si>
    <t>4_social_tranche_pc_mean__yd_3</t>
  </si>
  <si>
    <t>4_subs_public_transport_pc_beneficiaries__yd_3</t>
  </si>
  <si>
    <t>4_subs_public_transport_pc_benefits__yd_3</t>
  </si>
  <si>
    <t>4_subs_public_transport_pc_coverage__yd_3</t>
  </si>
  <si>
    <t>4_subs_public_transport_pc_mean__yd_3</t>
  </si>
  <si>
    <t>4_am_pnbsf_transferinc_pc_beneficiaries__yd_3</t>
  </si>
  <si>
    <t>4_am_pnbsf_transferinc_pc_benefits__yd_3</t>
  </si>
  <si>
    <t>4_am_pnbsf_transferinc_pc_coverage__yd_3</t>
  </si>
  <si>
    <t>4_am_pnbsf_transferinc_pc_mean__yd_3</t>
  </si>
  <si>
    <t>4_am_pnbsf_newbenefs_pc_beneficiaries__yd_3</t>
  </si>
  <si>
    <t>4_am_pnbsf_newbenefs_pc_benefits__yd_3</t>
  </si>
  <si>
    <t>4_am_pnbsf_newbenefs_pc_coverage__yd_3</t>
  </si>
  <si>
    <t>4_am_pnbsf_newbenefs_pc_mean__yd_3</t>
  </si>
  <si>
    <t>4_all_miti_pc_beneficiaries__yd_3</t>
  </si>
  <si>
    <t>4_all_miti_pc_benefits__yd_3</t>
  </si>
  <si>
    <t>4_all_miti_pc_coverage__yd_3</t>
  </si>
  <si>
    <t>4_all_miti_pc_mean__yd_3</t>
  </si>
  <si>
    <t>4_all_miti_noST_pc_beneficiaries__yd_3</t>
  </si>
  <si>
    <t>4_all_miti_noST_pc_benefits__yd_3</t>
  </si>
  <si>
    <t>4_all_miti_noST_pc_coverage__yd_3</t>
  </si>
  <si>
    <t>4_all_miti_noST_pc_mean__yd_3</t>
  </si>
  <si>
    <t>4_all_policies_miti_pc_beneficiaries__yd_3</t>
  </si>
  <si>
    <t>4_all_policies_miti_pc_benefits__yd_3</t>
  </si>
  <si>
    <t>4_all_policies_miti_pc_coverage__yd_3</t>
  </si>
  <si>
    <t>4_all_policies_miti_pc_mean__yd_3</t>
  </si>
  <si>
    <t>4_all_policies_noST_pc_beneficiaries__yd_3</t>
  </si>
  <si>
    <t>4_all_policies_noST_pc_benefits__yd_3</t>
  </si>
  <si>
    <t>4_all_policies_noST_pc_coverage__yd_3</t>
  </si>
  <si>
    <t>4_all_policies_noST_pc_mean__yd_3</t>
  </si>
  <si>
    <t>4_all_policies_pc_beneficiaries__yd_3</t>
  </si>
  <si>
    <t>4_all_policies_pc_benefits__yd_3</t>
  </si>
  <si>
    <t>4_all_policies_pc_coverage__yd_3</t>
  </si>
  <si>
    <t>4_all_policies_pc_mean__yd_3</t>
  </si>
  <si>
    <t>4_subsidy_fuel_indirect_pc_beneficiaries__yd_3</t>
  </si>
  <si>
    <t>4_subsidy_fuel_indirect_pc_benefits__yd_3</t>
  </si>
  <si>
    <t>4_subsidy_fuel_indirect_pc_coverage__yd_3</t>
  </si>
  <si>
    <t>4_subsidy_fuel_indirect_pc_mean__yd_3</t>
  </si>
  <si>
    <t>4_all_tax_pc_beneficiaries__yd_3</t>
  </si>
  <si>
    <t>4_all_tax_pc_benefits__yd_3</t>
  </si>
  <si>
    <t>4_all_tax_pc_coverage__yd_3</t>
  </si>
  <si>
    <t>4_all_tax_pc_mean__yd_3</t>
  </si>
  <si>
    <t>4_all_subs_noST_pc_beneficiaries__yd_3</t>
  </si>
  <si>
    <t>4_all_subs_noST_pc_benefits__yd_3</t>
  </si>
  <si>
    <t>4_all_subs_noST_pc_coverage__yd_3</t>
  </si>
  <si>
    <t>4_all_subs_noST_pc_mean__yd_3</t>
  </si>
  <si>
    <t>4_all_subs_pc_beneficiaries__yd_3</t>
  </si>
  <si>
    <t>4_all_subs_pc_benefits__yd_3</t>
  </si>
  <si>
    <t>4_all_subs_pc_coverage__yd_3</t>
  </si>
  <si>
    <t>4_all_subs_pc_mean__yd_3</t>
  </si>
  <si>
    <t>4_all_elec_noST_pc_beneficiaries__yd_3</t>
  </si>
  <si>
    <t>4_all_elec_noST_pc_benefits__yd_3</t>
  </si>
  <si>
    <t>4_all_elec_noST_pc_coverage__yd_3</t>
  </si>
  <si>
    <t>4_all_elec_noST_pc_mean__yd_3</t>
  </si>
  <si>
    <t>4_all_elec_pc_beneficiaries__yd_3</t>
  </si>
  <si>
    <t>4_all_elec_pc_benefits__yd_3</t>
  </si>
  <si>
    <t>4_all_elec_pc_coverage__yd_3</t>
  </si>
  <si>
    <t>4_all_elec_pc_mean__yd_3</t>
  </si>
  <si>
    <t>4_all_fuel_pc_beneficiaries__yd_3</t>
  </si>
  <si>
    <t>4_all_fuel_pc_benefits__yd_3</t>
  </si>
  <si>
    <t>4_all_fuel_pc_coverage__yd_3</t>
  </si>
  <si>
    <t>4_all_fuel_pc_mean__yd_3</t>
  </si>
  <si>
    <t>4_subsidy_fuel_pc_beneficiaries__yd_3</t>
  </si>
  <si>
    <t>4_subsidy_fuel_pc_benefits__yd_3</t>
  </si>
  <si>
    <t>4_subsidy_fuel_pc_coverage__yd_3</t>
  </si>
  <si>
    <t>4_subsidy_fuel_pc_mean__yd_3</t>
  </si>
  <si>
    <t>4_subsidy_elec_direct_pc_beneficiaries__yd_3</t>
  </si>
  <si>
    <t>4_subsidy_elec_direct_pc_benefits__yd_3</t>
  </si>
  <si>
    <t>4_subsidy_elec_direct_pc_coverage__yd_3</t>
  </si>
  <si>
    <t>4_subsidy_elec_direct_pc_mean__yd_3</t>
  </si>
  <si>
    <t>4_subsidy_elec_indirect_pc_beneficiaries__yd_3</t>
  </si>
  <si>
    <t>4_subsidy_elec_indirect_pc_benefits__yd_3</t>
  </si>
  <si>
    <t>4_subsidy_elec_indirect_pc_coverage__yd_3</t>
  </si>
  <si>
    <t>4_subsidy_elec_indirect_pc_mean__yd_3</t>
  </si>
  <si>
    <t>4_subsidy_elec_pc_beneficiaries__yd_3</t>
  </si>
  <si>
    <t>4_subsidy_elec_pc_benefits__yd_3</t>
  </si>
  <si>
    <t>4_subsidy_elec_pc_coverage__yd_3</t>
  </si>
  <si>
    <t>4_subsidy_elec_pc_mean__yd_3</t>
  </si>
  <si>
    <t>4_vat_elec_pc_beneficiaries__yd_3</t>
  </si>
  <si>
    <t>4_vat_elec_pc_benefits__yd_3</t>
  </si>
  <si>
    <t>4_vat_elec_pc_coverage__yd_3</t>
  </si>
  <si>
    <t>4_vat_elec_pc_mean__yd_3</t>
  </si>
  <si>
    <t>4_vat_fuel_pc_beneficiaries__yd_3</t>
  </si>
  <si>
    <t>4_vat_fuel_pc_benefits__yd_3</t>
  </si>
  <si>
    <t>4_vat_fuel_pc_coverage__yd_3</t>
  </si>
  <si>
    <t>4_vat_fuel_pc_mean__yd_3</t>
  </si>
  <si>
    <t>4_am_new_pnbsf_pc_beneficiaries__yd_3</t>
  </si>
  <si>
    <t>4_am_new_pnbsf_pc_benefits__yd_3</t>
  </si>
  <si>
    <t>4_am_new_pnbsf_pc_coverage__yd_3</t>
  </si>
  <si>
    <t>4_am_new_pnbsf_pc_mean__yd_3</t>
  </si>
  <si>
    <t>4_subsidy_fuel_direct_pc_beneficiaries__yd_4</t>
  </si>
  <si>
    <t>4_subsidy_fuel_direct_pc_benefits__yd_4</t>
  </si>
  <si>
    <t>4_subsidy_fuel_direct_pc_coverage__yd_4</t>
  </si>
  <si>
    <t>4_subsidy_fuel_direct_pc_mean__yd_4</t>
  </si>
  <si>
    <t>4_am_delayed_pnbsf_pc_beneficiaries__yd_4</t>
  </si>
  <si>
    <t>4_am_delayed_pnbsf_pc_benefits__yd_4</t>
  </si>
  <si>
    <t>4_am_delayed_pnbsf_pc_coverage__yd_4</t>
  </si>
  <si>
    <t>4_am_delayed_pnbsf_pc_mean__yd_4</t>
  </si>
  <si>
    <t>4_social_tranche_pc_beneficiaries__yd_4</t>
  </si>
  <si>
    <t>4_social_tranche_pc_benefits__yd_4</t>
  </si>
  <si>
    <t>4_social_tranche_pc_coverage__yd_4</t>
  </si>
  <si>
    <t>4_social_tranche_pc_mean__yd_4</t>
  </si>
  <si>
    <t>4_subs_public_transport_pc_beneficiaries__yd_4</t>
  </si>
  <si>
    <t>4_subs_public_transport_pc_benefits__yd_4</t>
  </si>
  <si>
    <t>4_subs_public_transport_pc_coverage__yd_4</t>
  </si>
  <si>
    <t>4_subs_public_transport_pc_mean__yd_4</t>
  </si>
  <si>
    <t>4_am_pnbsf_transferinc_pc_beneficiaries__yd_4</t>
  </si>
  <si>
    <t>4_am_pnbsf_transferinc_pc_benefits__yd_4</t>
  </si>
  <si>
    <t>4_am_pnbsf_transferinc_pc_coverage__yd_4</t>
  </si>
  <si>
    <t>4_am_pnbsf_transferinc_pc_mean__yd_4</t>
  </si>
  <si>
    <t>4_am_pnbsf_newbenefs_pc_beneficiaries__yd_4</t>
  </si>
  <si>
    <t>4_am_pnbsf_newbenefs_pc_benefits__yd_4</t>
  </si>
  <si>
    <t>4_am_pnbsf_newbenefs_pc_coverage__yd_4</t>
  </si>
  <si>
    <t>4_am_pnbsf_newbenefs_pc_mean__yd_4</t>
  </si>
  <si>
    <t>4_all_miti_pc_beneficiaries__yd_4</t>
  </si>
  <si>
    <t>4_all_miti_pc_benefits__yd_4</t>
  </si>
  <si>
    <t>4_all_miti_pc_coverage__yd_4</t>
  </si>
  <si>
    <t>4_all_miti_pc_mean__yd_4</t>
  </si>
  <si>
    <t>4_all_miti_noST_pc_beneficiaries__yd_4</t>
  </si>
  <si>
    <t>4_all_miti_noST_pc_benefits__yd_4</t>
  </si>
  <si>
    <t>4_all_miti_noST_pc_coverage__yd_4</t>
  </si>
  <si>
    <t>4_all_miti_noST_pc_mean__yd_4</t>
  </si>
  <si>
    <t>4_all_policies_miti_pc_beneficiaries__yd_4</t>
  </si>
  <si>
    <t>4_all_policies_miti_pc_benefits__yd_4</t>
  </si>
  <si>
    <t>4_all_policies_miti_pc_coverage__yd_4</t>
  </si>
  <si>
    <t>4_all_policies_miti_pc_mean__yd_4</t>
  </si>
  <si>
    <t>4_all_policies_noST_pc_beneficiaries__yd_4</t>
  </si>
  <si>
    <t>4_all_policies_noST_pc_benefits__yd_4</t>
  </si>
  <si>
    <t>4_all_policies_noST_pc_coverage__yd_4</t>
  </si>
  <si>
    <t>4_all_policies_noST_pc_mean__yd_4</t>
  </si>
  <si>
    <t>4_all_policies_pc_beneficiaries__yd_4</t>
  </si>
  <si>
    <t>4_all_policies_pc_benefits__yd_4</t>
  </si>
  <si>
    <t>4_all_policies_pc_coverage__yd_4</t>
  </si>
  <si>
    <t>4_all_policies_pc_mean__yd_4</t>
  </si>
  <si>
    <t>4_subsidy_fuel_indirect_pc_beneficiaries__yd_4</t>
  </si>
  <si>
    <t>4_subsidy_fuel_indirect_pc_benefits__yd_4</t>
  </si>
  <si>
    <t>4_subsidy_fuel_indirect_pc_coverage__yd_4</t>
  </si>
  <si>
    <t>4_subsidy_fuel_indirect_pc_mean__yd_4</t>
  </si>
  <si>
    <t>4_all_tax_pc_beneficiaries__yd_4</t>
  </si>
  <si>
    <t>4_all_tax_pc_benefits__yd_4</t>
  </si>
  <si>
    <t>4_all_tax_pc_coverage__yd_4</t>
  </si>
  <si>
    <t>4_all_tax_pc_mean__yd_4</t>
  </si>
  <si>
    <t>4_all_subs_noST_pc_beneficiaries__yd_4</t>
  </si>
  <si>
    <t>4_all_subs_noST_pc_benefits__yd_4</t>
  </si>
  <si>
    <t>4_all_subs_noST_pc_coverage__yd_4</t>
  </si>
  <si>
    <t>4_all_subs_noST_pc_mean__yd_4</t>
  </si>
  <si>
    <t>4_all_subs_pc_beneficiaries__yd_4</t>
  </si>
  <si>
    <t>4_all_subs_pc_benefits__yd_4</t>
  </si>
  <si>
    <t>4_all_subs_pc_coverage__yd_4</t>
  </si>
  <si>
    <t>4_all_subs_pc_mean__yd_4</t>
  </si>
  <si>
    <t>4_all_elec_noST_pc_beneficiaries__yd_4</t>
  </si>
  <si>
    <t>4_all_elec_noST_pc_benefits__yd_4</t>
  </si>
  <si>
    <t>4_all_elec_noST_pc_coverage__yd_4</t>
  </si>
  <si>
    <t>4_all_elec_noST_pc_mean__yd_4</t>
  </si>
  <si>
    <t>4_all_elec_pc_beneficiaries__yd_4</t>
  </si>
  <si>
    <t>4_all_elec_pc_benefits__yd_4</t>
  </si>
  <si>
    <t>4_all_elec_pc_coverage__yd_4</t>
  </si>
  <si>
    <t>4_all_elec_pc_mean__yd_4</t>
  </si>
  <si>
    <t>4_all_fuel_pc_beneficiaries__yd_4</t>
  </si>
  <si>
    <t>4_all_fuel_pc_benefits__yd_4</t>
  </si>
  <si>
    <t>4_all_fuel_pc_coverage__yd_4</t>
  </si>
  <si>
    <t>4_all_fuel_pc_mean__yd_4</t>
  </si>
  <si>
    <t>4_subsidy_fuel_pc_beneficiaries__yd_4</t>
  </si>
  <si>
    <t>4_subsidy_fuel_pc_benefits__yd_4</t>
  </si>
  <si>
    <t>4_subsidy_fuel_pc_coverage__yd_4</t>
  </si>
  <si>
    <t>4_subsidy_fuel_pc_mean__yd_4</t>
  </si>
  <si>
    <t>4_subsidy_elec_direct_pc_beneficiaries__yd_4</t>
  </si>
  <si>
    <t>4_subsidy_elec_direct_pc_benefits__yd_4</t>
  </si>
  <si>
    <t>4_subsidy_elec_direct_pc_coverage__yd_4</t>
  </si>
  <si>
    <t>4_subsidy_elec_direct_pc_mean__yd_4</t>
  </si>
  <si>
    <t>4_subsidy_elec_indirect_pc_beneficiaries__yd_4</t>
  </si>
  <si>
    <t>4_subsidy_elec_indirect_pc_benefits__yd_4</t>
  </si>
  <si>
    <t>4_subsidy_elec_indirect_pc_coverage__yd_4</t>
  </si>
  <si>
    <t>4_subsidy_elec_indirect_pc_mean__yd_4</t>
  </si>
  <si>
    <t>4_subsidy_elec_pc_beneficiaries__yd_4</t>
  </si>
  <si>
    <t>4_subsidy_elec_pc_benefits__yd_4</t>
  </si>
  <si>
    <t>4_subsidy_elec_pc_coverage__yd_4</t>
  </si>
  <si>
    <t>4_subsidy_elec_pc_mean__yd_4</t>
  </si>
  <si>
    <t>4_vat_elec_pc_beneficiaries__yd_4</t>
  </si>
  <si>
    <t>4_vat_elec_pc_benefits__yd_4</t>
  </si>
  <si>
    <t>4_vat_elec_pc_coverage__yd_4</t>
  </si>
  <si>
    <t>4_vat_elec_pc_mean__yd_4</t>
  </si>
  <si>
    <t>4_vat_fuel_pc_beneficiaries__yd_4</t>
  </si>
  <si>
    <t>4_vat_fuel_pc_benefits__yd_4</t>
  </si>
  <si>
    <t>4_vat_fuel_pc_coverage__yd_4</t>
  </si>
  <si>
    <t>4_vat_fuel_pc_mean__yd_4</t>
  </si>
  <si>
    <t>4_am_new_pnbsf_pc_beneficiaries__yd_4</t>
  </si>
  <si>
    <t>4_am_new_pnbsf_pc_benefits__yd_4</t>
  </si>
  <si>
    <t>4_am_new_pnbsf_pc_coverage__yd_4</t>
  </si>
  <si>
    <t>4_am_new_pnbsf_pc_mean__yd_4</t>
  </si>
  <si>
    <t>4_subsidy_fuel_direct_pc_beneficiaries__yd_5</t>
  </si>
  <si>
    <t>4_subsidy_fuel_direct_pc_benefits__yd_5</t>
  </si>
  <si>
    <t>4_subsidy_fuel_direct_pc_coverage__yd_5</t>
  </si>
  <si>
    <t>4_subsidy_fuel_direct_pc_mean__yd_5</t>
  </si>
  <si>
    <t>4_am_delayed_pnbsf_pc_beneficiaries__yd_5</t>
  </si>
  <si>
    <t>4_am_delayed_pnbsf_pc_benefits__yd_5</t>
  </si>
  <si>
    <t>4_am_delayed_pnbsf_pc_coverage__yd_5</t>
  </si>
  <si>
    <t>4_am_delayed_pnbsf_pc_mean__yd_5</t>
  </si>
  <si>
    <t>4_social_tranche_pc_beneficiaries__yd_5</t>
  </si>
  <si>
    <t>4_social_tranche_pc_benefits__yd_5</t>
  </si>
  <si>
    <t>4_social_tranche_pc_coverage__yd_5</t>
  </si>
  <si>
    <t>4_social_tranche_pc_mean__yd_5</t>
  </si>
  <si>
    <t>4_subs_public_transport_pc_beneficiaries__yd_5</t>
  </si>
  <si>
    <t>4_subs_public_transport_pc_benefits__yd_5</t>
  </si>
  <si>
    <t>4_subs_public_transport_pc_coverage__yd_5</t>
  </si>
  <si>
    <t>4_subs_public_transport_pc_mean__yd_5</t>
  </si>
  <si>
    <t>4_am_pnbsf_transferinc_pc_beneficiaries__yd_5</t>
  </si>
  <si>
    <t>4_am_pnbsf_transferinc_pc_benefits__yd_5</t>
  </si>
  <si>
    <t>4_am_pnbsf_transferinc_pc_coverage__yd_5</t>
  </si>
  <si>
    <t>4_am_pnbsf_transferinc_pc_mean__yd_5</t>
  </si>
  <si>
    <t>4_am_pnbsf_newbenefs_pc_beneficiaries__yd_5</t>
  </si>
  <si>
    <t>4_am_pnbsf_newbenefs_pc_benefits__yd_5</t>
  </si>
  <si>
    <t>4_am_pnbsf_newbenefs_pc_coverage__yd_5</t>
  </si>
  <si>
    <t>4_am_pnbsf_newbenefs_pc_mean__yd_5</t>
  </si>
  <si>
    <t>4_all_miti_pc_beneficiaries__yd_5</t>
  </si>
  <si>
    <t>4_all_miti_pc_benefits__yd_5</t>
  </si>
  <si>
    <t>4_all_miti_pc_coverage__yd_5</t>
  </si>
  <si>
    <t>4_all_miti_pc_mean__yd_5</t>
  </si>
  <si>
    <t>4_all_miti_noST_pc_beneficiaries__yd_5</t>
  </si>
  <si>
    <t>4_all_miti_noST_pc_benefits__yd_5</t>
  </si>
  <si>
    <t>4_all_miti_noST_pc_coverage__yd_5</t>
  </si>
  <si>
    <t>4_all_miti_noST_pc_mean__yd_5</t>
  </si>
  <si>
    <t>4_all_policies_miti_pc_beneficiaries__yd_5</t>
  </si>
  <si>
    <t>4_all_policies_miti_pc_benefits__yd_5</t>
  </si>
  <si>
    <t>4_all_policies_miti_pc_coverage__yd_5</t>
  </si>
  <si>
    <t>4_all_policies_miti_pc_mean__yd_5</t>
  </si>
  <si>
    <t>4_all_policies_noST_pc_beneficiaries__yd_5</t>
  </si>
  <si>
    <t>4_all_policies_noST_pc_benefits__yd_5</t>
  </si>
  <si>
    <t>4_all_policies_noST_pc_coverage__yd_5</t>
  </si>
  <si>
    <t>4_all_policies_noST_pc_mean__yd_5</t>
  </si>
  <si>
    <t>4_all_policies_pc_beneficiaries__yd_5</t>
  </si>
  <si>
    <t>4_all_policies_pc_benefits__yd_5</t>
  </si>
  <si>
    <t>4_all_policies_pc_coverage__yd_5</t>
  </si>
  <si>
    <t>4_all_policies_pc_mean__yd_5</t>
  </si>
  <si>
    <t>4_subsidy_fuel_indirect_pc_beneficiaries__yd_5</t>
  </si>
  <si>
    <t>4_subsidy_fuel_indirect_pc_benefits__yd_5</t>
  </si>
  <si>
    <t>4_subsidy_fuel_indirect_pc_coverage__yd_5</t>
  </si>
  <si>
    <t>4_subsidy_fuel_indirect_pc_mean__yd_5</t>
  </si>
  <si>
    <t>4_all_tax_pc_beneficiaries__yd_5</t>
  </si>
  <si>
    <t>4_all_tax_pc_benefits__yd_5</t>
  </si>
  <si>
    <t>4_all_tax_pc_coverage__yd_5</t>
  </si>
  <si>
    <t>4_all_tax_pc_mean__yd_5</t>
  </si>
  <si>
    <t>4_all_subs_noST_pc_beneficiaries__yd_5</t>
  </si>
  <si>
    <t>4_all_subs_noST_pc_benefits__yd_5</t>
  </si>
  <si>
    <t>4_all_subs_noST_pc_coverage__yd_5</t>
  </si>
  <si>
    <t>4_all_subs_noST_pc_mean__yd_5</t>
  </si>
  <si>
    <t>4_all_subs_pc_beneficiaries__yd_5</t>
  </si>
  <si>
    <t>4_all_subs_pc_benefits__yd_5</t>
  </si>
  <si>
    <t>4_all_subs_pc_coverage__yd_5</t>
  </si>
  <si>
    <t>4_all_subs_pc_mean__yd_5</t>
  </si>
  <si>
    <t>4_all_elec_noST_pc_beneficiaries__yd_5</t>
  </si>
  <si>
    <t>4_all_elec_noST_pc_benefits__yd_5</t>
  </si>
  <si>
    <t>4_all_elec_noST_pc_coverage__yd_5</t>
  </si>
  <si>
    <t>4_all_elec_noST_pc_mean__yd_5</t>
  </si>
  <si>
    <t>4_all_elec_pc_beneficiaries__yd_5</t>
  </si>
  <si>
    <t>4_all_elec_pc_benefits__yd_5</t>
  </si>
  <si>
    <t>4_all_elec_pc_coverage__yd_5</t>
  </si>
  <si>
    <t>4_all_elec_pc_mean__yd_5</t>
  </si>
  <si>
    <t>4_all_fuel_pc_beneficiaries__yd_5</t>
  </si>
  <si>
    <t>4_all_fuel_pc_benefits__yd_5</t>
  </si>
  <si>
    <t>4_all_fuel_pc_coverage__yd_5</t>
  </si>
  <si>
    <t>4_all_fuel_pc_mean__yd_5</t>
  </si>
  <si>
    <t>4_subsidy_fuel_pc_beneficiaries__yd_5</t>
  </si>
  <si>
    <t>4_subsidy_fuel_pc_benefits__yd_5</t>
  </si>
  <si>
    <t>4_subsidy_fuel_pc_coverage__yd_5</t>
  </si>
  <si>
    <t>4_subsidy_fuel_pc_mean__yd_5</t>
  </si>
  <si>
    <t>4_subsidy_elec_direct_pc_beneficiaries__yd_5</t>
  </si>
  <si>
    <t>4_subsidy_elec_direct_pc_benefits__yd_5</t>
  </si>
  <si>
    <t>4_subsidy_elec_direct_pc_coverage__yd_5</t>
  </si>
  <si>
    <t>4_subsidy_elec_direct_pc_mean__yd_5</t>
  </si>
  <si>
    <t>4_subsidy_elec_indirect_pc_beneficiaries__yd_5</t>
  </si>
  <si>
    <t>4_subsidy_elec_indirect_pc_benefits__yd_5</t>
  </si>
  <si>
    <t>4_subsidy_elec_indirect_pc_coverage__yd_5</t>
  </si>
  <si>
    <t>4_subsidy_elec_indirect_pc_mean__yd_5</t>
  </si>
  <si>
    <t>4_subsidy_elec_pc_beneficiaries__yd_5</t>
  </si>
  <si>
    <t>4_subsidy_elec_pc_benefits__yd_5</t>
  </si>
  <si>
    <t>4_subsidy_elec_pc_coverage__yd_5</t>
  </si>
  <si>
    <t>4_subsidy_elec_pc_mean__yd_5</t>
  </si>
  <si>
    <t>4_vat_elec_pc_beneficiaries__yd_5</t>
  </si>
  <si>
    <t>4_vat_elec_pc_benefits__yd_5</t>
  </si>
  <si>
    <t>4_vat_elec_pc_coverage__yd_5</t>
  </si>
  <si>
    <t>4_vat_elec_pc_mean__yd_5</t>
  </si>
  <si>
    <t>4_vat_fuel_pc_beneficiaries__yd_5</t>
  </si>
  <si>
    <t>4_vat_fuel_pc_benefits__yd_5</t>
  </si>
  <si>
    <t>4_vat_fuel_pc_coverage__yd_5</t>
  </si>
  <si>
    <t>4_vat_fuel_pc_mean__yd_5</t>
  </si>
  <si>
    <t>4_am_new_pnbsf_pc_beneficiaries__yd_5</t>
  </si>
  <si>
    <t>4_am_new_pnbsf_pc_benefits__yd_5</t>
  </si>
  <si>
    <t>4_am_new_pnbsf_pc_coverage__yd_5</t>
  </si>
  <si>
    <t>4_am_new_pnbsf_pc_mean__yd_5</t>
  </si>
  <si>
    <t>4_subsidy_fuel_direct_pc_beneficiaries__yd_6</t>
  </si>
  <si>
    <t>4_subsidy_fuel_direct_pc_benefits__yd_6</t>
  </si>
  <si>
    <t>4_subsidy_fuel_direct_pc_coverage__yd_6</t>
  </si>
  <si>
    <t>4_subsidy_fuel_direct_pc_mean__yd_6</t>
  </si>
  <si>
    <t>4_am_delayed_pnbsf_pc_beneficiaries__yd_6</t>
  </si>
  <si>
    <t>4_am_delayed_pnbsf_pc_benefits__yd_6</t>
  </si>
  <si>
    <t>4_am_delayed_pnbsf_pc_coverage__yd_6</t>
  </si>
  <si>
    <t>4_am_delayed_pnbsf_pc_mean__yd_6</t>
  </si>
  <si>
    <t>4_social_tranche_pc_beneficiaries__yd_6</t>
  </si>
  <si>
    <t>4_social_tranche_pc_benefits__yd_6</t>
  </si>
  <si>
    <t>4_social_tranche_pc_coverage__yd_6</t>
  </si>
  <si>
    <t>4_social_tranche_pc_mean__yd_6</t>
  </si>
  <si>
    <t>4_subs_public_transport_pc_beneficiaries__yd_6</t>
  </si>
  <si>
    <t>4_subs_public_transport_pc_benefits__yd_6</t>
  </si>
  <si>
    <t>4_subs_public_transport_pc_coverage__yd_6</t>
  </si>
  <si>
    <t>4_subs_public_transport_pc_mean__yd_6</t>
  </si>
  <si>
    <t>4_am_pnbsf_transferinc_pc_beneficiaries__yd_6</t>
  </si>
  <si>
    <t>4_am_pnbsf_transferinc_pc_benefits__yd_6</t>
  </si>
  <si>
    <t>4_am_pnbsf_transferinc_pc_coverage__yd_6</t>
  </si>
  <si>
    <t>4_am_pnbsf_transferinc_pc_mean__yd_6</t>
  </si>
  <si>
    <t>4_am_pnbsf_newbenefs_pc_beneficiaries__yd_6</t>
  </si>
  <si>
    <t>4_am_pnbsf_newbenefs_pc_benefits__yd_6</t>
  </si>
  <si>
    <t>4_am_pnbsf_newbenefs_pc_coverage__yd_6</t>
  </si>
  <si>
    <t>4_am_pnbsf_newbenefs_pc_mean__yd_6</t>
  </si>
  <si>
    <t>4_all_miti_pc_beneficiaries__yd_6</t>
  </si>
  <si>
    <t>4_all_miti_pc_benefits__yd_6</t>
  </si>
  <si>
    <t>4_all_miti_pc_coverage__yd_6</t>
  </si>
  <si>
    <t>4_all_miti_pc_mean__yd_6</t>
  </si>
  <si>
    <t>4_all_miti_noST_pc_beneficiaries__yd_6</t>
  </si>
  <si>
    <t>4_all_miti_noST_pc_benefits__yd_6</t>
  </si>
  <si>
    <t>4_all_miti_noST_pc_coverage__yd_6</t>
  </si>
  <si>
    <t>4_all_miti_noST_pc_mean__yd_6</t>
  </si>
  <si>
    <t>4_all_policies_miti_pc_beneficiaries__yd_6</t>
  </si>
  <si>
    <t>4_all_policies_miti_pc_benefits__yd_6</t>
  </si>
  <si>
    <t>4_all_policies_miti_pc_coverage__yd_6</t>
  </si>
  <si>
    <t>4_all_policies_miti_pc_mean__yd_6</t>
  </si>
  <si>
    <t>4_all_policies_noST_pc_beneficiaries__yd_6</t>
  </si>
  <si>
    <t>4_all_policies_noST_pc_benefits__yd_6</t>
  </si>
  <si>
    <t>4_all_policies_noST_pc_coverage__yd_6</t>
  </si>
  <si>
    <t>4_all_policies_noST_pc_mean__yd_6</t>
  </si>
  <si>
    <t>4_all_policies_pc_beneficiaries__yd_6</t>
  </si>
  <si>
    <t>4_all_policies_pc_benefits__yd_6</t>
  </si>
  <si>
    <t>4_all_policies_pc_coverage__yd_6</t>
  </si>
  <si>
    <t>4_all_policies_pc_mean__yd_6</t>
  </si>
  <si>
    <t>4_subsidy_fuel_indirect_pc_beneficiaries__yd_6</t>
  </si>
  <si>
    <t>4_subsidy_fuel_indirect_pc_benefits__yd_6</t>
  </si>
  <si>
    <t>4_subsidy_fuel_indirect_pc_coverage__yd_6</t>
  </si>
  <si>
    <t>4_subsidy_fuel_indirect_pc_mean__yd_6</t>
  </si>
  <si>
    <t>4_all_tax_pc_beneficiaries__yd_6</t>
  </si>
  <si>
    <t>4_all_tax_pc_benefits__yd_6</t>
  </si>
  <si>
    <t>4_all_tax_pc_coverage__yd_6</t>
  </si>
  <si>
    <t>4_all_tax_pc_mean__yd_6</t>
  </si>
  <si>
    <t>4_all_subs_noST_pc_beneficiaries__yd_6</t>
  </si>
  <si>
    <t>4_all_subs_noST_pc_benefits__yd_6</t>
  </si>
  <si>
    <t>4_all_subs_noST_pc_coverage__yd_6</t>
  </si>
  <si>
    <t>4_all_subs_noST_pc_mean__yd_6</t>
  </si>
  <si>
    <t>4_all_subs_pc_beneficiaries__yd_6</t>
  </si>
  <si>
    <t>4_all_subs_pc_benefits__yd_6</t>
  </si>
  <si>
    <t>4_all_subs_pc_coverage__yd_6</t>
  </si>
  <si>
    <t>4_all_subs_pc_mean__yd_6</t>
  </si>
  <si>
    <t>4_all_elec_noST_pc_beneficiaries__yd_6</t>
  </si>
  <si>
    <t>4_all_elec_noST_pc_benefits__yd_6</t>
  </si>
  <si>
    <t>4_all_elec_noST_pc_coverage__yd_6</t>
  </si>
  <si>
    <t>4_all_elec_noST_pc_mean__yd_6</t>
  </si>
  <si>
    <t>4_all_elec_pc_beneficiaries__yd_6</t>
  </si>
  <si>
    <t>4_all_elec_pc_benefits__yd_6</t>
  </si>
  <si>
    <t>4_all_elec_pc_coverage__yd_6</t>
  </si>
  <si>
    <t>4_all_elec_pc_mean__yd_6</t>
  </si>
  <si>
    <t>4_all_fuel_pc_beneficiaries__yd_6</t>
  </si>
  <si>
    <t>4_all_fuel_pc_benefits__yd_6</t>
  </si>
  <si>
    <t>4_all_fuel_pc_coverage__yd_6</t>
  </si>
  <si>
    <t>4_all_fuel_pc_mean__yd_6</t>
  </si>
  <si>
    <t>4_subsidy_fuel_pc_beneficiaries__yd_6</t>
  </si>
  <si>
    <t>4_subsidy_fuel_pc_benefits__yd_6</t>
  </si>
  <si>
    <t>4_subsidy_fuel_pc_coverage__yd_6</t>
  </si>
  <si>
    <t>4_subsidy_fuel_pc_mean__yd_6</t>
  </si>
  <si>
    <t>4_subsidy_elec_direct_pc_beneficiaries__yd_6</t>
  </si>
  <si>
    <t>4_subsidy_elec_direct_pc_benefits__yd_6</t>
  </si>
  <si>
    <t>4_subsidy_elec_direct_pc_coverage__yd_6</t>
  </si>
  <si>
    <t>4_subsidy_elec_direct_pc_mean__yd_6</t>
  </si>
  <si>
    <t>4_subsidy_elec_indirect_pc_beneficiaries__yd_6</t>
  </si>
  <si>
    <t>4_subsidy_elec_indirect_pc_benefits__yd_6</t>
  </si>
  <si>
    <t>4_subsidy_elec_indirect_pc_coverage__yd_6</t>
  </si>
  <si>
    <t>4_subsidy_elec_indirect_pc_mean__yd_6</t>
  </si>
  <si>
    <t>4_subsidy_elec_pc_beneficiaries__yd_6</t>
  </si>
  <si>
    <t>4_subsidy_elec_pc_benefits__yd_6</t>
  </si>
  <si>
    <t>4_subsidy_elec_pc_coverage__yd_6</t>
  </si>
  <si>
    <t>4_subsidy_elec_pc_mean__yd_6</t>
  </si>
  <si>
    <t>4_vat_elec_pc_beneficiaries__yd_6</t>
  </si>
  <si>
    <t>4_vat_elec_pc_benefits__yd_6</t>
  </si>
  <si>
    <t>4_vat_elec_pc_coverage__yd_6</t>
  </si>
  <si>
    <t>4_vat_elec_pc_mean__yd_6</t>
  </si>
  <si>
    <t>4_vat_fuel_pc_beneficiaries__yd_6</t>
  </si>
  <si>
    <t>4_vat_fuel_pc_benefits__yd_6</t>
  </si>
  <si>
    <t>4_vat_fuel_pc_coverage__yd_6</t>
  </si>
  <si>
    <t>4_vat_fuel_pc_mean__yd_6</t>
  </si>
  <si>
    <t>4_am_new_pnbsf_pc_beneficiaries__yd_6</t>
  </si>
  <si>
    <t>4_am_new_pnbsf_pc_benefits__yd_6</t>
  </si>
  <si>
    <t>4_am_new_pnbsf_pc_coverage__yd_6</t>
  </si>
  <si>
    <t>4_am_new_pnbsf_pc_mean__yd_6</t>
  </si>
  <si>
    <t>4_subsidy_fuel_direct_pc_beneficiaries__yd_7</t>
  </si>
  <si>
    <t>4_subsidy_fuel_direct_pc_benefits__yd_7</t>
  </si>
  <si>
    <t>4_subsidy_fuel_direct_pc_coverage__yd_7</t>
  </si>
  <si>
    <t>4_subsidy_fuel_direct_pc_mean__yd_7</t>
  </si>
  <si>
    <t>4_am_delayed_pnbsf_pc_beneficiaries__yd_7</t>
  </si>
  <si>
    <t>4_am_delayed_pnbsf_pc_benefits__yd_7</t>
  </si>
  <si>
    <t>4_am_delayed_pnbsf_pc_coverage__yd_7</t>
  </si>
  <si>
    <t>4_am_delayed_pnbsf_pc_mean__yd_7</t>
  </si>
  <si>
    <t>4_social_tranche_pc_beneficiaries__yd_7</t>
  </si>
  <si>
    <t>4_social_tranche_pc_benefits__yd_7</t>
  </si>
  <si>
    <t>4_social_tranche_pc_coverage__yd_7</t>
  </si>
  <si>
    <t>4_social_tranche_pc_mean__yd_7</t>
  </si>
  <si>
    <t>4_subs_public_transport_pc_beneficiaries__yd_7</t>
  </si>
  <si>
    <t>4_subs_public_transport_pc_benefits__yd_7</t>
  </si>
  <si>
    <t>4_subs_public_transport_pc_coverage__yd_7</t>
  </si>
  <si>
    <t>4_subs_public_transport_pc_mean__yd_7</t>
  </si>
  <si>
    <t>4_am_pnbsf_transferinc_pc_beneficiaries__yd_7</t>
  </si>
  <si>
    <t>4_am_pnbsf_transferinc_pc_benefits__yd_7</t>
  </si>
  <si>
    <t>4_am_pnbsf_transferinc_pc_coverage__yd_7</t>
  </si>
  <si>
    <t>4_am_pnbsf_transferinc_pc_mean__yd_7</t>
  </si>
  <si>
    <t>4_am_pnbsf_newbenefs_pc_beneficiaries__yd_7</t>
  </si>
  <si>
    <t>4_am_pnbsf_newbenefs_pc_benefits__yd_7</t>
  </si>
  <si>
    <t>4_am_pnbsf_newbenefs_pc_coverage__yd_7</t>
  </si>
  <si>
    <t>4_am_pnbsf_newbenefs_pc_mean__yd_7</t>
  </si>
  <si>
    <t>4_all_miti_pc_beneficiaries__yd_7</t>
  </si>
  <si>
    <t>4_all_miti_pc_benefits__yd_7</t>
  </si>
  <si>
    <t>4_all_miti_pc_coverage__yd_7</t>
  </si>
  <si>
    <t>4_all_miti_pc_mean__yd_7</t>
  </si>
  <si>
    <t>4_all_miti_noST_pc_beneficiaries__yd_7</t>
  </si>
  <si>
    <t>4_all_miti_noST_pc_benefits__yd_7</t>
  </si>
  <si>
    <t>4_all_miti_noST_pc_coverage__yd_7</t>
  </si>
  <si>
    <t>4_all_miti_noST_pc_mean__yd_7</t>
  </si>
  <si>
    <t>4_all_policies_miti_pc_beneficiaries__yd_7</t>
  </si>
  <si>
    <t>4_all_policies_miti_pc_benefits__yd_7</t>
  </si>
  <si>
    <t>4_all_policies_miti_pc_coverage__yd_7</t>
  </si>
  <si>
    <t>4_all_policies_miti_pc_mean__yd_7</t>
  </si>
  <si>
    <t>4_all_policies_noST_pc_beneficiaries__yd_7</t>
  </si>
  <si>
    <t>4_all_policies_noST_pc_benefits__yd_7</t>
  </si>
  <si>
    <t>4_all_policies_noST_pc_coverage__yd_7</t>
  </si>
  <si>
    <t>4_all_policies_noST_pc_mean__yd_7</t>
  </si>
  <si>
    <t>4_all_policies_pc_beneficiaries__yd_7</t>
  </si>
  <si>
    <t>4_all_policies_pc_benefits__yd_7</t>
  </si>
  <si>
    <t>4_all_policies_pc_coverage__yd_7</t>
  </si>
  <si>
    <t>4_all_policies_pc_mean__yd_7</t>
  </si>
  <si>
    <t>4_subsidy_fuel_indirect_pc_beneficiaries__yd_7</t>
  </si>
  <si>
    <t>4_subsidy_fuel_indirect_pc_benefits__yd_7</t>
  </si>
  <si>
    <t>4_subsidy_fuel_indirect_pc_coverage__yd_7</t>
  </si>
  <si>
    <t>4_subsidy_fuel_indirect_pc_mean__yd_7</t>
  </si>
  <si>
    <t>4_all_tax_pc_beneficiaries__yd_7</t>
  </si>
  <si>
    <t>4_all_tax_pc_benefits__yd_7</t>
  </si>
  <si>
    <t>4_all_tax_pc_coverage__yd_7</t>
  </si>
  <si>
    <t>4_all_tax_pc_mean__yd_7</t>
  </si>
  <si>
    <t>4_all_subs_noST_pc_beneficiaries__yd_7</t>
  </si>
  <si>
    <t>4_all_subs_noST_pc_benefits__yd_7</t>
  </si>
  <si>
    <t>4_all_subs_noST_pc_coverage__yd_7</t>
  </si>
  <si>
    <t>4_all_subs_noST_pc_mean__yd_7</t>
  </si>
  <si>
    <t>4_all_subs_pc_beneficiaries__yd_7</t>
  </si>
  <si>
    <t>4_all_subs_pc_benefits__yd_7</t>
  </si>
  <si>
    <t>4_all_subs_pc_coverage__yd_7</t>
  </si>
  <si>
    <t>4_all_subs_pc_mean__yd_7</t>
  </si>
  <si>
    <t>4_all_elec_noST_pc_beneficiaries__yd_7</t>
  </si>
  <si>
    <t>4_all_elec_noST_pc_benefits__yd_7</t>
  </si>
  <si>
    <t>4_all_elec_noST_pc_coverage__yd_7</t>
  </si>
  <si>
    <t>4_all_elec_noST_pc_mean__yd_7</t>
  </si>
  <si>
    <t>4_all_elec_pc_beneficiaries__yd_7</t>
  </si>
  <si>
    <t>4_all_elec_pc_benefits__yd_7</t>
  </si>
  <si>
    <t>4_all_elec_pc_coverage__yd_7</t>
  </si>
  <si>
    <t>4_all_elec_pc_mean__yd_7</t>
  </si>
  <si>
    <t>4_all_fuel_pc_beneficiaries__yd_7</t>
  </si>
  <si>
    <t>4_all_fuel_pc_benefits__yd_7</t>
  </si>
  <si>
    <t>4_all_fuel_pc_coverage__yd_7</t>
  </si>
  <si>
    <t>4_all_fuel_pc_mean__yd_7</t>
  </si>
  <si>
    <t>4_subsidy_fuel_pc_beneficiaries__yd_7</t>
  </si>
  <si>
    <t>4_subsidy_fuel_pc_benefits__yd_7</t>
  </si>
  <si>
    <t>4_subsidy_fuel_pc_coverage__yd_7</t>
  </si>
  <si>
    <t>4_subsidy_fuel_pc_mean__yd_7</t>
  </si>
  <si>
    <t>4_subsidy_elec_direct_pc_beneficiaries__yd_7</t>
  </si>
  <si>
    <t>4_subsidy_elec_direct_pc_benefits__yd_7</t>
  </si>
  <si>
    <t>4_subsidy_elec_direct_pc_coverage__yd_7</t>
  </si>
  <si>
    <t>4_subsidy_elec_direct_pc_mean__yd_7</t>
  </si>
  <si>
    <t>4_subsidy_elec_indirect_pc_beneficiaries__yd_7</t>
  </si>
  <si>
    <t>4_subsidy_elec_indirect_pc_benefits__yd_7</t>
  </si>
  <si>
    <t>4_subsidy_elec_indirect_pc_coverage__yd_7</t>
  </si>
  <si>
    <t>4_subsidy_elec_indirect_pc_mean__yd_7</t>
  </si>
  <si>
    <t>4_subsidy_elec_pc_beneficiaries__yd_7</t>
  </si>
  <si>
    <t>4_subsidy_elec_pc_benefits__yd_7</t>
  </si>
  <si>
    <t>4_subsidy_elec_pc_coverage__yd_7</t>
  </si>
  <si>
    <t>4_subsidy_elec_pc_mean__yd_7</t>
  </si>
  <si>
    <t>4_vat_elec_pc_beneficiaries__yd_7</t>
  </si>
  <si>
    <t>4_vat_elec_pc_benefits__yd_7</t>
  </si>
  <si>
    <t>4_vat_elec_pc_coverage__yd_7</t>
  </si>
  <si>
    <t>4_vat_elec_pc_mean__yd_7</t>
  </si>
  <si>
    <t>4_vat_fuel_pc_beneficiaries__yd_7</t>
  </si>
  <si>
    <t>4_vat_fuel_pc_benefits__yd_7</t>
  </si>
  <si>
    <t>4_vat_fuel_pc_coverage__yd_7</t>
  </si>
  <si>
    <t>4_vat_fuel_pc_mean__yd_7</t>
  </si>
  <si>
    <t>4_am_new_pnbsf_pc_beneficiaries__yd_7</t>
  </si>
  <si>
    <t>4_am_new_pnbsf_pc_benefits__yd_7</t>
  </si>
  <si>
    <t>4_am_new_pnbsf_pc_coverage__yd_7</t>
  </si>
  <si>
    <t>4_am_new_pnbsf_pc_mean__yd_7</t>
  </si>
  <si>
    <t>4_subsidy_fuel_direct_pc_beneficiaries__yd_8</t>
  </si>
  <si>
    <t>4_subsidy_fuel_direct_pc_benefits__yd_8</t>
  </si>
  <si>
    <t>4_subsidy_fuel_direct_pc_coverage__yd_8</t>
  </si>
  <si>
    <t>4_subsidy_fuel_direct_pc_mean__yd_8</t>
  </si>
  <si>
    <t>4_am_delayed_pnbsf_pc_beneficiaries__yd_8</t>
  </si>
  <si>
    <t>4_am_delayed_pnbsf_pc_benefits__yd_8</t>
  </si>
  <si>
    <t>4_am_delayed_pnbsf_pc_coverage__yd_8</t>
  </si>
  <si>
    <t>4_am_delayed_pnbsf_pc_mean__yd_8</t>
  </si>
  <si>
    <t>4_social_tranche_pc_beneficiaries__yd_8</t>
  </si>
  <si>
    <t>4_social_tranche_pc_benefits__yd_8</t>
  </si>
  <si>
    <t>4_social_tranche_pc_coverage__yd_8</t>
  </si>
  <si>
    <t>4_social_tranche_pc_mean__yd_8</t>
  </si>
  <si>
    <t>4_subs_public_transport_pc_beneficiaries__yd_8</t>
  </si>
  <si>
    <t>4_subs_public_transport_pc_benefits__yd_8</t>
  </si>
  <si>
    <t>4_subs_public_transport_pc_coverage__yd_8</t>
  </si>
  <si>
    <t>4_subs_public_transport_pc_mean__yd_8</t>
  </si>
  <si>
    <t>4_am_pnbsf_transferinc_pc_beneficiaries__yd_8</t>
  </si>
  <si>
    <t>4_am_pnbsf_transferinc_pc_benefits__yd_8</t>
  </si>
  <si>
    <t>4_am_pnbsf_transferinc_pc_coverage__yd_8</t>
  </si>
  <si>
    <t>4_am_pnbsf_transferinc_pc_mean__yd_8</t>
  </si>
  <si>
    <t>4_am_pnbsf_newbenefs_pc_beneficiaries__yd_8</t>
  </si>
  <si>
    <t>4_am_pnbsf_newbenefs_pc_benefits__yd_8</t>
  </si>
  <si>
    <t>4_am_pnbsf_newbenefs_pc_coverage__yd_8</t>
  </si>
  <si>
    <t>4_am_pnbsf_newbenefs_pc_mean__yd_8</t>
  </si>
  <si>
    <t>4_all_miti_pc_beneficiaries__yd_8</t>
  </si>
  <si>
    <t>4_all_miti_pc_benefits__yd_8</t>
  </si>
  <si>
    <t>4_all_miti_pc_coverage__yd_8</t>
  </si>
  <si>
    <t>4_all_miti_pc_mean__yd_8</t>
  </si>
  <si>
    <t>4_all_miti_noST_pc_beneficiaries__yd_8</t>
  </si>
  <si>
    <t>4_all_miti_noST_pc_benefits__yd_8</t>
  </si>
  <si>
    <t>4_all_miti_noST_pc_coverage__yd_8</t>
  </si>
  <si>
    <t>4_all_miti_noST_pc_mean__yd_8</t>
  </si>
  <si>
    <t>4_all_policies_miti_pc_beneficiaries__yd_8</t>
  </si>
  <si>
    <t>4_all_policies_miti_pc_benefits__yd_8</t>
  </si>
  <si>
    <t>4_all_policies_miti_pc_coverage__yd_8</t>
  </si>
  <si>
    <t>4_all_policies_miti_pc_mean__yd_8</t>
  </si>
  <si>
    <t>4_all_policies_noST_pc_beneficiaries__yd_8</t>
  </si>
  <si>
    <t>4_all_policies_noST_pc_benefits__yd_8</t>
  </si>
  <si>
    <t>4_all_policies_noST_pc_coverage__yd_8</t>
  </si>
  <si>
    <t>4_all_policies_noST_pc_mean__yd_8</t>
  </si>
  <si>
    <t>4_all_policies_pc_beneficiaries__yd_8</t>
  </si>
  <si>
    <t>4_all_policies_pc_benefits__yd_8</t>
  </si>
  <si>
    <t>4_all_policies_pc_coverage__yd_8</t>
  </si>
  <si>
    <t>4_all_policies_pc_mean__yd_8</t>
  </si>
  <si>
    <t>4_subsidy_fuel_indirect_pc_beneficiaries__yd_8</t>
  </si>
  <si>
    <t>4_subsidy_fuel_indirect_pc_benefits__yd_8</t>
  </si>
  <si>
    <t>4_subsidy_fuel_indirect_pc_coverage__yd_8</t>
  </si>
  <si>
    <t>4_subsidy_fuel_indirect_pc_mean__yd_8</t>
  </si>
  <si>
    <t>4_all_tax_pc_beneficiaries__yd_8</t>
  </si>
  <si>
    <t>4_all_tax_pc_benefits__yd_8</t>
  </si>
  <si>
    <t>4_all_tax_pc_coverage__yd_8</t>
  </si>
  <si>
    <t>4_all_tax_pc_mean__yd_8</t>
  </si>
  <si>
    <t>4_all_subs_noST_pc_beneficiaries__yd_8</t>
  </si>
  <si>
    <t>4_all_subs_noST_pc_benefits__yd_8</t>
  </si>
  <si>
    <t>4_all_subs_noST_pc_coverage__yd_8</t>
  </si>
  <si>
    <t>4_all_subs_noST_pc_mean__yd_8</t>
  </si>
  <si>
    <t>4_all_subs_pc_beneficiaries__yd_8</t>
  </si>
  <si>
    <t>4_all_subs_pc_benefits__yd_8</t>
  </si>
  <si>
    <t>4_all_subs_pc_coverage__yd_8</t>
  </si>
  <si>
    <t>4_all_subs_pc_mean__yd_8</t>
  </si>
  <si>
    <t>4_all_elec_noST_pc_beneficiaries__yd_8</t>
  </si>
  <si>
    <t>4_all_elec_noST_pc_benefits__yd_8</t>
  </si>
  <si>
    <t>4_all_elec_noST_pc_coverage__yd_8</t>
  </si>
  <si>
    <t>4_all_elec_noST_pc_mean__yd_8</t>
  </si>
  <si>
    <t>4_all_elec_pc_beneficiaries__yd_8</t>
  </si>
  <si>
    <t>4_all_elec_pc_benefits__yd_8</t>
  </si>
  <si>
    <t>4_all_elec_pc_coverage__yd_8</t>
  </si>
  <si>
    <t>4_all_elec_pc_mean__yd_8</t>
  </si>
  <si>
    <t>4_all_fuel_pc_beneficiaries__yd_8</t>
  </si>
  <si>
    <t>4_all_fuel_pc_benefits__yd_8</t>
  </si>
  <si>
    <t>4_all_fuel_pc_coverage__yd_8</t>
  </si>
  <si>
    <t>4_all_fuel_pc_mean__yd_8</t>
  </si>
  <si>
    <t>4_subsidy_fuel_pc_beneficiaries__yd_8</t>
  </si>
  <si>
    <t>4_subsidy_fuel_pc_benefits__yd_8</t>
  </si>
  <si>
    <t>4_subsidy_fuel_pc_coverage__yd_8</t>
  </si>
  <si>
    <t>4_subsidy_fuel_pc_mean__yd_8</t>
  </si>
  <si>
    <t>4_subsidy_elec_direct_pc_beneficiaries__yd_8</t>
  </si>
  <si>
    <t>4_subsidy_elec_direct_pc_benefits__yd_8</t>
  </si>
  <si>
    <t>4_subsidy_elec_direct_pc_coverage__yd_8</t>
  </si>
  <si>
    <t>4_subsidy_elec_direct_pc_mean__yd_8</t>
  </si>
  <si>
    <t>4_subsidy_elec_indirect_pc_beneficiaries__yd_8</t>
  </si>
  <si>
    <t>4_subsidy_elec_indirect_pc_benefits__yd_8</t>
  </si>
  <si>
    <t>4_subsidy_elec_indirect_pc_coverage__yd_8</t>
  </si>
  <si>
    <t>4_subsidy_elec_indirect_pc_mean__yd_8</t>
  </si>
  <si>
    <t>4_subsidy_elec_pc_beneficiaries__yd_8</t>
  </si>
  <si>
    <t>4_subsidy_elec_pc_benefits__yd_8</t>
  </si>
  <si>
    <t>4_subsidy_elec_pc_coverage__yd_8</t>
  </si>
  <si>
    <t>4_subsidy_elec_pc_mean__yd_8</t>
  </si>
  <si>
    <t>4_vat_elec_pc_beneficiaries__yd_8</t>
  </si>
  <si>
    <t>4_vat_elec_pc_benefits__yd_8</t>
  </si>
  <si>
    <t>4_vat_elec_pc_coverage__yd_8</t>
  </si>
  <si>
    <t>4_vat_elec_pc_mean__yd_8</t>
  </si>
  <si>
    <t>4_vat_fuel_pc_beneficiaries__yd_8</t>
  </si>
  <si>
    <t>4_vat_fuel_pc_benefits__yd_8</t>
  </si>
  <si>
    <t>4_vat_fuel_pc_coverage__yd_8</t>
  </si>
  <si>
    <t>4_vat_fuel_pc_mean__yd_8</t>
  </si>
  <si>
    <t>4_am_new_pnbsf_pc_beneficiaries__yd_8</t>
  </si>
  <si>
    <t>4_am_new_pnbsf_pc_benefits__yd_8</t>
  </si>
  <si>
    <t>4_am_new_pnbsf_pc_coverage__yd_8</t>
  </si>
  <si>
    <t>4_am_new_pnbsf_pc_mean__yd_8</t>
  </si>
  <si>
    <t>4_subsidy_fuel_direct_pc_beneficiaries__yd_9</t>
  </si>
  <si>
    <t>4_subsidy_fuel_direct_pc_benefits__yd_9</t>
  </si>
  <si>
    <t>4_subsidy_fuel_direct_pc_coverage__yd_9</t>
  </si>
  <si>
    <t>4_subsidy_fuel_direct_pc_mean__yd_9</t>
  </si>
  <si>
    <t>4_am_delayed_pnbsf_pc_beneficiaries__yd_9</t>
  </si>
  <si>
    <t>4_am_delayed_pnbsf_pc_benefits__yd_9</t>
  </si>
  <si>
    <t>4_am_delayed_pnbsf_pc_coverage__yd_9</t>
  </si>
  <si>
    <t>4_am_delayed_pnbsf_pc_mean__yd_9</t>
  </si>
  <si>
    <t>4_social_tranche_pc_beneficiaries__yd_9</t>
  </si>
  <si>
    <t>4_social_tranche_pc_benefits__yd_9</t>
  </si>
  <si>
    <t>4_social_tranche_pc_coverage__yd_9</t>
  </si>
  <si>
    <t>4_social_tranche_pc_mean__yd_9</t>
  </si>
  <si>
    <t>4_subs_public_transport_pc_beneficiaries__yd_9</t>
  </si>
  <si>
    <t>4_subs_public_transport_pc_benefits__yd_9</t>
  </si>
  <si>
    <t>4_subs_public_transport_pc_coverage__yd_9</t>
  </si>
  <si>
    <t>4_subs_public_transport_pc_mean__yd_9</t>
  </si>
  <si>
    <t>4_am_pnbsf_transferinc_pc_beneficiaries__yd_9</t>
  </si>
  <si>
    <t>4_am_pnbsf_transferinc_pc_benefits__yd_9</t>
  </si>
  <si>
    <t>4_am_pnbsf_transferinc_pc_coverage__yd_9</t>
  </si>
  <si>
    <t>4_am_pnbsf_transferinc_pc_mean__yd_9</t>
  </si>
  <si>
    <t>4_am_pnbsf_newbenefs_pc_beneficiaries__yd_9</t>
  </si>
  <si>
    <t>4_am_pnbsf_newbenefs_pc_benefits__yd_9</t>
  </si>
  <si>
    <t>4_am_pnbsf_newbenefs_pc_coverage__yd_9</t>
  </si>
  <si>
    <t>4_am_pnbsf_newbenefs_pc_mean__yd_9</t>
  </si>
  <si>
    <t>4_all_miti_pc_beneficiaries__yd_9</t>
  </si>
  <si>
    <t>4_all_miti_pc_benefits__yd_9</t>
  </si>
  <si>
    <t>4_all_miti_pc_coverage__yd_9</t>
  </si>
  <si>
    <t>4_all_miti_pc_mean__yd_9</t>
  </si>
  <si>
    <t>4_all_miti_noST_pc_beneficiaries__yd_9</t>
  </si>
  <si>
    <t>4_all_miti_noST_pc_benefits__yd_9</t>
  </si>
  <si>
    <t>4_all_miti_noST_pc_coverage__yd_9</t>
  </si>
  <si>
    <t>4_all_miti_noST_pc_mean__yd_9</t>
  </si>
  <si>
    <t>4_all_policies_miti_pc_beneficiaries__yd_9</t>
  </si>
  <si>
    <t>4_all_policies_miti_pc_benefits__yd_9</t>
  </si>
  <si>
    <t>4_all_policies_miti_pc_coverage__yd_9</t>
  </si>
  <si>
    <t>4_all_policies_miti_pc_mean__yd_9</t>
  </si>
  <si>
    <t>4_all_policies_noST_pc_beneficiaries__yd_9</t>
  </si>
  <si>
    <t>4_all_policies_noST_pc_benefits__yd_9</t>
  </si>
  <si>
    <t>4_all_policies_noST_pc_coverage__yd_9</t>
  </si>
  <si>
    <t>4_all_policies_noST_pc_mean__yd_9</t>
  </si>
  <si>
    <t>4_all_policies_pc_beneficiaries__yd_9</t>
  </si>
  <si>
    <t>4_all_policies_pc_benefits__yd_9</t>
  </si>
  <si>
    <t>4_all_policies_pc_coverage__yd_9</t>
  </si>
  <si>
    <t>4_all_policies_pc_mean__yd_9</t>
  </si>
  <si>
    <t>4_subsidy_fuel_indirect_pc_beneficiaries__yd_9</t>
  </si>
  <si>
    <t>4_subsidy_fuel_indirect_pc_benefits__yd_9</t>
  </si>
  <si>
    <t>4_subsidy_fuel_indirect_pc_coverage__yd_9</t>
  </si>
  <si>
    <t>4_subsidy_fuel_indirect_pc_mean__yd_9</t>
  </si>
  <si>
    <t>4_all_tax_pc_beneficiaries__yd_9</t>
  </si>
  <si>
    <t>4_all_tax_pc_benefits__yd_9</t>
  </si>
  <si>
    <t>4_all_tax_pc_coverage__yd_9</t>
  </si>
  <si>
    <t>4_all_tax_pc_mean__yd_9</t>
  </si>
  <si>
    <t>4_all_subs_noST_pc_beneficiaries__yd_9</t>
  </si>
  <si>
    <t>4_all_subs_noST_pc_benefits__yd_9</t>
  </si>
  <si>
    <t>4_all_subs_noST_pc_coverage__yd_9</t>
  </si>
  <si>
    <t>4_all_subs_noST_pc_mean__yd_9</t>
  </si>
  <si>
    <t>4_all_subs_pc_beneficiaries__yd_9</t>
  </si>
  <si>
    <t>4_all_subs_pc_benefits__yd_9</t>
  </si>
  <si>
    <t>4_all_subs_pc_coverage__yd_9</t>
  </si>
  <si>
    <t>4_all_subs_pc_mean__yd_9</t>
  </si>
  <si>
    <t>4_all_elec_noST_pc_beneficiaries__yd_9</t>
  </si>
  <si>
    <t>4_all_elec_noST_pc_benefits__yd_9</t>
  </si>
  <si>
    <t>4_all_elec_noST_pc_coverage__yd_9</t>
  </si>
  <si>
    <t>4_all_elec_noST_pc_mean__yd_9</t>
  </si>
  <si>
    <t>4_all_elec_pc_beneficiaries__yd_9</t>
  </si>
  <si>
    <t>4_all_elec_pc_benefits__yd_9</t>
  </si>
  <si>
    <t>4_all_elec_pc_coverage__yd_9</t>
  </si>
  <si>
    <t>4_all_elec_pc_mean__yd_9</t>
  </si>
  <si>
    <t>4_all_fuel_pc_beneficiaries__yd_9</t>
  </si>
  <si>
    <t>4_all_fuel_pc_benefits__yd_9</t>
  </si>
  <si>
    <t>4_all_fuel_pc_coverage__yd_9</t>
  </si>
  <si>
    <t>4_all_fuel_pc_mean__yd_9</t>
  </si>
  <si>
    <t>4_subsidy_fuel_pc_beneficiaries__yd_9</t>
  </si>
  <si>
    <t>4_subsidy_fuel_pc_benefits__yd_9</t>
  </si>
  <si>
    <t>4_subsidy_fuel_pc_coverage__yd_9</t>
  </si>
  <si>
    <t>4_subsidy_fuel_pc_mean__yd_9</t>
  </si>
  <si>
    <t>4_subsidy_elec_direct_pc_beneficiaries__yd_9</t>
  </si>
  <si>
    <t>4_subsidy_elec_direct_pc_benefits__yd_9</t>
  </si>
  <si>
    <t>4_subsidy_elec_direct_pc_coverage__yd_9</t>
  </si>
  <si>
    <t>4_subsidy_elec_direct_pc_mean__yd_9</t>
  </si>
  <si>
    <t>4_subsidy_elec_indirect_pc_beneficiaries__yd_9</t>
  </si>
  <si>
    <t>4_subsidy_elec_indirect_pc_benefits__yd_9</t>
  </si>
  <si>
    <t>4_subsidy_elec_indirect_pc_coverage__yd_9</t>
  </si>
  <si>
    <t>4_subsidy_elec_indirect_pc_mean__yd_9</t>
  </si>
  <si>
    <t>4_subsidy_elec_pc_beneficiaries__yd_9</t>
  </si>
  <si>
    <t>4_subsidy_elec_pc_benefits__yd_9</t>
  </si>
  <si>
    <t>4_subsidy_elec_pc_coverage__yd_9</t>
  </si>
  <si>
    <t>4_subsidy_elec_pc_mean__yd_9</t>
  </si>
  <si>
    <t>4_vat_elec_pc_beneficiaries__yd_9</t>
  </si>
  <si>
    <t>4_vat_elec_pc_benefits__yd_9</t>
  </si>
  <si>
    <t>4_vat_elec_pc_coverage__yd_9</t>
  </si>
  <si>
    <t>4_vat_elec_pc_mean__yd_9</t>
  </si>
  <si>
    <t>4_vat_fuel_pc_beneficiaries__yd_9</t>
  </si>
  <si>
    <t>4_vat_fuel_pc_benefits__yd_9</t>
  </si>
  <si>
    <t>4_vat_fuel_pc_coverage__yd_9</t>
  </si>
  <si>
    <t>4_vat_fuel_pc_mean__yd_9</t>
  </si>
  <si>
    <t>4_am_new_pnbsf_pc_beneficiaries__yd_9</t>
  </si>
  <si>
    <t>4_am_new_pnbsf_pc_benefits__yd_9</t>
  </si>
  <si>
    <t>4_am_new_pnbsf_pc_coverage__yd_9</t>
  </si>
  <si>
    <t>4_am_new_pnbsf_pc_mean__yd_9</t>
  </si>
  <si>
    <t>4_subsidy_fuel_direct_pc_beneficiaries__yd_10</t>
  </si>
  <si>
    <t>4_subsidy_fuel_direct_pc_benefits__yd_10</t>
  </si>
  <si>
    <t>4_subsidy_fuel_direct_pc_coverage__yd_10</t>
  </si>
  <si>
    <t>4_subsidy_fuel_direct_pc_mean__yd_10</t>
  </si>
  <si>
    <t>4_am_delayed_pnbsf_pc_beneficiaries__yd_10</t>
  </si>
  <si>
    <t>4_am_delayed_pnbsf_pc_benefits__yd_10</t>
  </si>
  <si>
    <t>4_am_delayed_pnbsf_pc_coverage__yd_10</t>
  </si>
  <si>
    <t>4_am_delayed_pnbsf_pc_mean__yd_10</t>
  </si>
  <si>
    <t>4_social_tranche_pc_beneficiaries__yd_10</t>
  </si>
  <si>
    <t>4_social_tranche_pc_benefits__yd_10</t>
  </si>
  <si>
    <t>4_social_tranche_pc_coverage__yd_10</t>
  </si>
  <si>
    <t>4_social_tranche_pc_mean__yd_10</t>
  </si>
  <si>
    <t>4_subs_public_transport_pc_beneficiaries__yd_10</t>
  </si>
  <si>
    <t>4_subs_public_transport_pc_benefits__yd_10</t>
  </si>
  <si>
    <t>4_subs_public_transport_pc_coverage__yd_10</t>
  </si>
  <si>
    <t>4_subs_public_transport_pc_mean__yd_10</t>
  </si>
  <si>
    <t>4_am_pnbsf_transferinc_pc_beneficiaries__yd_10</t>
  </si>
  <si>
    <t>4_am_pnbsf_transferinc_pc_benefits__yd_10</t>
  </si>
  <si>
    <t>4_am_pnbsf_transferinc_pc_coverage__yd_10</t>
  </si>
  <si>
    <t>4_am_pnbsf_transferinc_pc_mean__yd_10</t>
  </si>
  <si>
    <t>4_am_pnbsf_newbenefs_pc_beneficiaries__yd_10</t>
  </si>
  <si>
    <t>4_am_pnbsf_newbenefs_pc_benefits__yd_10</t>
  </si>
  <si>
    <t>4_am_pnbsf_newbenefs_pc_coverage__yd_10</t>
  </si>
  <si>
    <t>4_am_pnbsf_newbenefs_pc_mean__yd_10</t>
  </si>
  <si>
    <t>4_all_miti_pc_beneficiaries__yd_10</t>
  </si>
  <si>
    <t>4_all_miti_pc_benefits__yd_10</t>
  </si>
  <si>
    <t>4_all_miti_pc_coverage__yd_10</t>
  </si>
  <si>
    <t>4_all_miti_pc_mean__yd_10</t>
  </si>
  <si>
    <t>4_all_miti_noST_pc_beneficiaries__yd_10</t>
  </si>
  <si>
    <t>4_all_miti_noST_pc_benefits__yd_10</t>
  </si>
  <si>
    <t>4_all_miti_noST_pc_coverage__yd_10</t>
  </si>
  <si>
    <t>4_all_miti_noST_pc_mean__yd_10</t>
  </si>
  <si>
    <t>4_all_policies_miti_pc_beneficiaries__yd_10</t>
  </si>
  <si>
    <t>4_all_policies_miti_pc_benefits__yd_10</t>
  </si>
  <si>
    <t>4_all_policies_miti_pc_coverage__yd_10</t>
  </si>
  <si>
    <t>4_all_policies_miti_pc_mean__yd_10</t>
  </si>
  <si>
    <t>4_all_policies_noST_pc_beneficiaries__yd_10</t>
  </si>
  <si>
    <t>4_all_policies_noST_pc_benefits__yd_10</t>
  </si>
  <si>
    <t>4_all_policies_noST_pc_coverage__yd_10</t>
  </si>
  <si>
    <t>4_all_policies_noST_pc_mean__yd_10</t>
  </si>
  <si>
    <t>4_all_policies_pc_beneficiaries__yd_10</t>
  </si>
  <si>
    <t>4_all_policies_pc_benefits__yd_10</t>
  </si>
  <si>
    <t>4_all_policies_pc_coverage__yd_10</t>
  </si>
  <si>
    <t>4_all_policies_pc_mean__yd_10</t>
  </si>
  <si>
    <t>4_subsidy_fuel_indirect_pc_beneficiaries__yd_10</t>
  </si>
  <si>
    <t>4_subsidy_fuel_indirect_pc_benefits__yd_10</t>
  </si>
  <si>
    <t>4_subsidy_fuel_indirect_pc_coverage__yd_10</t>
  </si>
  <si>
    <t>4_subsidy_fuel_indirect_pc_mean__yd_10</t>
  </si>
  <si>
    <t>4_all_tax_pc_beneficiaries__yd_10</t>
  </si>
  <si>
    <t>4_all_tax_pc_benefits__yd_10</t>
  </si>
  <si>
    <t>4_all_tax_pc_coverage__yd_10</t>
  </si>
  <si>
    <t>4_all_tax_pc_mean__yd_10</t>
  </si>
  <si>
    <t>4_all_subs_noST_pc_beneficiaries__yd_10</t>
  </si>
  <si>
    <t>4_all_subs_noST_pc_benefits__yd_10</t>
  </si>
  <si>
    <t>4_all_subs_noST_pc_coverage__yd_10</t>
  </si>
  <si>
    <t>4_all_subs_noST_pc_mean__yd_10</t>
  </si>
  <si>
    <t>4_all_subs_pc_beneficiaries__yd_10</t>
  </si>
  <si>
    <t>4_all_subs_pc_benefits__yd_10</t>
  </si>
  <si>
    <t>4_all_subs_pc_coverage__yd_10</t>
  </si>
  <si>
    <t>4_all_subs_pc_mean__yd_10</t>
  </si>
  <si>
    <t>4_all_elec_noST_pc_beneficiaries__yd_10</t>
  </si>
  <si>
    <t>4_all_elec_noST_pc_benefits__yd_10</t>
  </si>
  <si>
    <t>4_all_elec_noST_pc_coverage__yd_10</t>
  </si>
  <si>
    <t>4_all_elec_noST_pc_mean__yd_10</t>
  </si>
  <si>
    <t>4_all_elec_pc_beneficiaries__yd_10</t>
  </si>
  <si>
    <t>4_all_elec_pc_benefits__yd_10</t>
  </si>
  <si>
    <t>4_all_elec_pc_coverage__yd_10</t>
  </si>
  <si>
    <t>4_all_elec_pc_mean__yd_10</t>
  </si>
  <si>
    <t>4_all_fuel_pc_beneficiaries__yd_10</t>
  </si>
  <si>
    <t>4_all_fuel_pc_benefits__yd_10</t>
  </si>
  <si>
    <t>4_all_fuel_pc_coverage__yd_10</t>
  </si>
  <si>
    <t>4_all_fuel_pc_mean__yd_10</t>
  </si>
  <si>
    <t>4_subsidy_fuel_pc_beneficiaries__yd_10</t>
  </si>
  <si>
    <t>4_subsidy_fuel_pc_benefits__yd_10</t>
  </si>
  <si>
    <t>4_subsidy_fuel_pc_coverage__yd_10</t>
  </si>
  <si>
    <t>4_subsidy_fuel_pc_mean__yd_10</t>
  </si>
  <si>
    <t>4_subsidy_elec_direct_pc_beneficiaries__yd_10</t>
  </si>
  <si>
    <t>4_subsidy_elec_direct_pc_benefits__yd_10</t>
  </si>
  <si>
    <t>4_subsidy_elec_direct_pc_coverage__yd_10</t>
  </si>
  <si>
    <t>4_subsidy_elec_direct_pc_mean__yd_10</t>
  </si>
  <si>
    <t>4_subsidy_elec_indirect_pc_beneficiaries__yd_10</t>
  </si>
  <si>
    <t>4_subsidy_elec_indirect_pc_benefits__yd_10</t>
  </si>
  <si>
    <t>4_subsidy_elec_indirect_pc_coverage__yd_10</t>
  </si>
  <si>
    <t>4_subsidy_elec_indirect_pc_mean__yd_10</t>
  </si>
  <si>
    <t>4_subsidy_elec_pc_beneficiaries__yd_10</t>
  </si>
  <si>
    <t>4_subsidy_elec_pc_benefits__yd_10</t>
  </si>
  <si>
    <t>4_subsidy_elec_pc_coverage__yd_10</t>
  </si>
  <si>
    <t>4_subsidy_elec_pc_mean__yd_10</t>
  </si>
  <si>
    <t>4_vat_elec_pc_beneficiaries__yd_10</t>
  </si>
  <si>
    <t>4_vat_elec_pc_benefits__yd_10</t>
  </si>
  <si>
    <t>4_vat_elec_pc_coverage__yd_10</t>
  </si>
  <si>
    <t>4_vat_elec_pc_mean__yd_10</t>
  </si>
  <si>
    <t>4_vat_fuel_pc_beneficiaries__yd_10</t>
  </si>
  <si>
    <t>4_vat_fuel_pc_benefits__yd_10</t>
  </si>
  <si>
    <t>4_vat_fuel_pc_coverage__yd_10</t>
  </si>
  <si>
    <t>4_vat_fuel_pc_mean__yd_10</t>
  </si>
  <si>
    <t>4_am_new_pnbsf_pc_beneficiaries__yd_10</t>
  </si>
  <si>
    <t>4_am_new_pnbsf_pc_benefits__yd_10</t>
  </si>
  <si>
    <t>4_am_new_pnbsf_pc_coverage__yd_10</t>
  </si>
  <si>
    <t>4_am_new_pnbsf_pc_mean__yd_10</t>
  </si>
  <si>
    <t>4_all_elec_noST_pc_netcash__yd_1</t>
  </si>
  <si>
    <t>4_all_elec_pc_netcash__yd_1</t>
  </si>
  <si>
    <t>4_all_fuel_pc_netcash__yd_1</t>
  </si>
  <si>
    <t>4_all_miti_noST_pc_netcash__yd_1</t>
  </si>
  <si>
    <t>4_all_miti_pc_netcash__yd_1</t>
  </si>
  <si>
    <t>4_all_policies_miti_pc_netcash__yd_1</t>
  </si>
  <si>
    <t>4_all_policies_noST_pc_netcash__yd_1</t>
  </si>
  <si>
    <t>4_all_policies_pc_netcash__yd_1</t>
  </si>
  <si>
    <t>4_all_subs_noST_pc_netcash__yd_1</t>
  </si>
  <si>
    <t>4_all_subs_pc_netcash__yd_1</t>
  </si>
  <si>
    <t>4_all_tax_pc_netcash__yd_1</t>
  </si>
  <si>
    <t>4_am_delayed_pnbsf_pc_netcash__yd_1</t>
  </si>
  <si>
    <t>4_am_new_pnbsf_pc_netcash__yd_1</t>
  </si>
  <si>
    <t>4_am_pnbsf_newbenefs_pc_netcash__yd_1</t>
  </si>
  <si>
    <t>4_am_pnbsf_transferinc_pc_netcash__yd_1</t>
  </si>
  <si>
    <t>4_social_tranche_pc_netcash__yd_1</t>
  </si>
  <si>
    <t>4_subs_public_transport_pc_netcash__yd_1</t>
  </si>
  <si>
    <t>4_subsidy_elec_direct_pc_netcash__yd_1</t>
  </si>
  <si>
    <t>4_subsidy_elec_indirect_pc_netcash__yd_1</t>
  </si>
  <si>
    <t>4_subsidy_elec_pc_netcash__yd_1</t>
  </si>
  <si>
    <t>4_subsidy_fuel_direct_pc_netcash__yd_1</t>
  </si>
  <si>
    <t>4_subsidy_fuel_indirect_pc_netcash__yd_1</t>
  </si>
  <si>
    <t>4_subsidy_fuel_pc_netcash__yd_1</t>
  </si>
  <si>
    <t>4_vat_elec_pc_netcash__yd_1</t>
  </si>
  <si>
    <t>4_vat_fuel_pc_netcash__yd_1</t>
  </si>
  <si>
    <t>4_all_elec_noST_pc_netcash__yd_2</t>
  </si>
  <si>
    <t>4_all_elec_pc_netcash__yd_2</t>
  </si>
  <si>
    <t>4_all_fuel_pc_netcash__yd_2</t>
  </si>
  <si>
    <t>4_all_miti_noST_pc_netcash__yd_2</t>
  </si>
  <si>
    <t>4_all_miti_pc_netcash__yd_2</t>
  </si>
  <si>
    <t>4_all_policies_miti_pc_netcash__yd_2</t>
  </si>
  <si>
    <t>4_all_policies_noST_pc_netcash__yd_2</t>
  </si>
  <si>
    <t>4_all_policies_pc_netcash__yd_2</t>
  </si>
  <si>
    <t>4_all_subs_noST_pc_netcash__yd_2</t>
  </si>
  <si>
    <t>4_all_subs_pc_netcash__yd_2</t>
  </si>
  <si>
    <t>4_all_tax_pc_netcash__yd_2</t>
  </si>
  <si>
    <t>4_am_delayed_pnbsf_pc_netcash__yd_2</t>
  </si>
  <si>
    <t>4_am_new_pnbsf_pc_netcash__yd_2</t>
  </si>
  <si>
    <t>4_am_pnbsf_newbenefs_pc_netcash__yd_2</t>
  </si>
  <si>
    <t>4_am_pnbsf_transferinc_pc_netcash__yd_2</t>
  </si>
  <si>
    <t>4_social_tranche_pc_netcash__yd_2</t>
  </si>
  <si>
    <t>4_subs_public_transport_pc_netcash__yd_2</t>
  </si>
  <si>
    <t>4_subsidy_elec_direct_pc_netcash__yd_2</t>
  </si>
  <si>
    <t>4_subsidy_elec_indirect_pc_netcash__yd_2</t>
  </si>
  <si>
    <t>4_subsidy_elec_pc_netcash__yd_2</t>
  </si>
  <si>
    <t>4_subsidy_fuel_direct_pc_netcash__yd_2</t>
  </si>
  <si>
    <t>4_subsidy_fuel_indirect_pc_netcash__yd_2</t>
  </si>
  <si>
    <t>4_subsidy_fuel_pc_netcash__yd_2</t>
  </si>
  <si>
    <t>4_vat_elec_pc_netcash__yd_2</t>
  </si>
  <si>
    <t>4_vat_fuel_pc_netcash__yd_2</t>
  </si>
  <si>
    <t>4_all_elec_noST_pc_netcash__yd_3</t>
  </si>
  <si>
    <t>4_all_elec_pc_netcash__yd_3</t>
  </si>
  <si>
    <t>4_all_fuel_pc_netcash__yd_3</t>
  </si>
  <si>
    <t>4_all_miti_noST_pc_netcash__yd_3</t>
  </si>
  <si>
    <t>4_all_miti_pc_netcash__yd_3</t>
  </si>
  <si>
    <t>4_all_policies_miti_pc_netcash__yd_3</t>
  </si>
  <si>
    <t>4_all_policies_noST_pc_netcash__yd_3</t>
  </si>
  <si>
    <t>4_all_policies_pc_netcash__yd_3</t>
  </si>
  <si>
    <t>4_all_subs_noST_pc_netcash__yd_3</t>
  </si>
  <si>
    <t>4_all_subs_pc_netcash__yd_3</t>
  </si>
  <si>
    <t>4_all_tax_pc_netcash__yd_3</t>
  </si>
  <si>
    <t>4_am_delayed_pnbsf_pc_netcash__yd_3</t>
  </si>
  <si>
    <t>4_am_new_pnbsf_pc_netcash__yd_3</t>
  </si>
  <si>
    <t>4_am_pnbsf_newbenefs_pc_netcash__yd_3</t>
  </si>
  <si>
    <t>4_am_pnbsf_transferinc_pc_netcash__yd_3</t>
  </si>
  <si>
    <t>4_social_tranche_pc_netcash__yd_3</t>
  </si>
  <si>
    <t>4_subs_public_transport_pc_netcash__yd_3</t>
  </si>
  <si>
    <t>4_subsidy_elec_direct_pc_netcash__yd_3</t>
  </si>
  <si>
    <t>4_subsidy_elec_indirect_pc_netcash__yd_3</t>
  </si>
  <si>
    <t>4_subsidy_elec_pc_netcash__yd_3</t>
  </si>
  <si>
    <t>4_subsidy_fuel_direct_pc_netcash__yd_3</t>
  </si>
  <si>
    <t>4_subsidy_fuel_indirect_pc_netcash__yd_3</t>
  </si>
  <si>
    <t>4_subsidy_fuel_pc_netcash__yd_3</t>
  </si>
  <si>
    <t>4_vat_elec_pc_netcash__yd_3</t>
  </si>
  <si>
    <t>4_vat_fuel_pc_netcash__yd_3</t>
  </si>
  <si>
    <t>4_all_elec_noST_pc_netcash__yd_4</t>
  </si>
  <si>
    <t>4_all_elec_pc_netcash__yd_4</t>
  </si>
  <si>
    <t>4_all_fuel_pc_netcash__yd_4</t>
  </si>
  <si>
    <t>4_all_miti_noST_pc_netcash__yd_4</t>
  </si>
  <si>
    <t>4_all_miti_pc_netcash__yd_4</t>
  </si>
  <si>
    <t>4_all_policies_miti_pc_netcash__yd_4</t>
  </si>
  <si>
    <t>4_all_policies_noST_pc_netcash__yd_4</t>
  </si>
  <si>
    <t>4_all_policies_pc_netcash__yd_4</t>
  </si>
  <si>
    <t>4_all_subs_noST_pc_netcash__yd_4</t>
  </si>
  <si>
    <t>4_all_subs_pc_netcash__yd_4</t>
  </si>
  <si>
    <t>4_all_tax_pc_netcash__yd_4</t>
  </si>
  <si>
    <t>4_am_delayed_pnbsf_pc_netcash__yd_4</t>
  </si>
  <si>
    <t>4_am_new_pnbsf_pc_netcash__yd_4</t>
  </si>
  <si>
    <t>4_am_pnbsf_newbenefs_pc_netcash__yd_4</t>
  </si>
  <si>
    <t>4_am_pnbsf_transferinc_pc_netcash__yd_4</t>
  </si>
  <si>
    <t>4_social_tranche_pc_netcash__yd_4</t>
  </si>
  <si>
    <t>4_subs_public_transport_pc_netcash__yd_4</t>
  </si>
  <si>
    <t>4_subsidy_elec_direct_pc_netcash__yd_4</t>
  </si>
  <si>
    <t>4_subsidy_elec_indirect_pc_netcash__yd_4</t>
  </si>
  <si>
    <t>4_subsidy_elec_pc_netcash__yd_4</t>
  </si>
  <si>
    <t>4_subsidy_fuel_direct_pc_netcash__yd_4</t>
  </si>
  <si>
    <t>4_subsidy_fuel_indirect_pc_netcash__yd_4</t>
  </si>
  <si>
    <t>4_subsidy_fuel_pc_netcash__yd_4</t>
  </si>
  <si>
    <t>4_vat_elec_pc_netcash__yd_4</t>
  </si>
  <si>
    <t>4_vat_fuel_pc_netcash__yd_4</t>
  </si>
  <si>
    <t>4_all_elec_noST_pc_netcash__yd_5</t>
  </si>
  <si>
    <t>4_all_elec_pc_netcash__yd_5</t>
  </si>
  <si>
    <t>4_all_fuel_pc_netcash__yd_5</t>
  </si>
  <si>
    <t>4_all_miti_noST_pc_netcash__yd_5</t>
  </si>
  <si>
    <t>4_all_miti_pc_netcash__yd_5</t>
  </si>
  <si>
    <t>4_all_policies_miti_pc_netcash__yd_5</t>
  </si>
  <si>
    <t>4_all_policies_noST_pc_netcash__yd_5</t>
  </si>
  <si>
    <t>4_all_policies_pc_netcash__yd_5</t>
  </si>
  <si>
    <t>4_all_subs_noST_pc_netcash__yd_5</t>
  </si>
  <si>
    <t>4_all_subs_pc_netcash__yd_5</t>
  </si>
  <si>
    <t>4_all_tax_pc_netcash__yd_5</t>
  </si>
  <si>
    <t>4_am_delayed_pnbsf_pc_netcash__yd_5</t>
  </si>
  <si>
    <t>4_am_new_pnbsf_pc_netcash__yd_5</t>
  </si>
  <si>
    <t>4_am_pnbsf_newbenefs_pc_netcash__yd_5</t>
  </si>
  <si>
    <t>4_am_pnbsf_transferinc_pc_netcash__yd_5</t>
  </si>
  <si>
    <t>4_social_tranche_pc_netcash__yd_5</t>
  </si>
  <si>
    <t>4_subs_public_transport_pc_netcash__yd_5</t>
  </si>
  <si>
    <t>4_subsidy_elec_direct_pc_netcash__yd_5</t>
  </si>
  <si>
    <t>4_subsidy_elec_indirect_pc_netcash__yd_5</t>
  </si>
  <si>
    <t>4_subsidy_elec_pc_netcash__yd_5</t>
  </si>
  <si>
    <t>4_subsidy_fuel_direct_pc_netcash__yd_5</t>
  </si>
  <si>
    <t>4_subsidy_fuel_indirect_pc_netcash__yd_5</t>
  </si>
  <si>
    <t>4_subsidy_fuel_pc_netcash__yd_5</t>
  </si>
  <si>
    <t>4_vat_elec_pc_netcash__yd_5</t>
  </si>
  <si>
    <t>4_vat_fuel_pc_netcash__yd_5</t>
  </si>
  <si>
    <t>4_all_elec_noST_pc_netcash__yd_6</t>
  </si>
  <si>
    <t>4_all_elec_pc_netcash__yd_6</t>
  </si>
  <si>
    <t>4_all_fuel_pc_netcash__yd_6</t>
  </si>
  <si>
    <t>4_all_miti_noST_pc_netcash__yd_6</t>
  </si>
  <si>
    <t>4_all_miti_pc_netcash__yd_6</t>
  </si>
  <si>
    <t>4_all_policies_miti_pc_netcash__yd_6</t>
  </si>
  <si>
    <t>4_all_policies_noST_pc_netcash__yd_6</t>
  </si>
  <si>
    <t>4_all_policies_pc_netcash__yd_6</t>
  </si>
  <si>
    <t>4_all_subs_noST_pc_netcash__yd_6</t>
  </si>
  <si>
    <t>4_all_subs_pc_netcash__yd_6</t>
  </si>
  <si>
    <t>4_all_tax_pc_netcash__yd_6</t>
  </si>
  <si>
    <t>4_am_delayed_pnbsf_pc_netcash__yd_6</t>
  </si>
  <si>
    <t>4_am_new_pnbsf_pc_netcash__yd_6</t>
  </si>
  <si>
    <t>4_am_pnbsf_newbenefs_pc_netcash__yd_6</t>
  </si>
  <si>
    <t>4_am_pnbsf_transferinc_pc_netcash__yd_6</t>
  </si>
  <si>
    <t>4_social_tranche_pc_netcash__yd_6</t>
  </si>
  <si>
    <t>4_subs_public_transport_pc_netcash__yd_6</t>
  </si>
  <si>
    <t>4_subsidy_elec_direct_pc_netcash__yd_6</t>
  </si>
  <si>
    <t>4_subsidy_elec_indirect_pc_netcash__yd_6</t>
  </si>
  <si>
    <t>4_subsidy_elec_pc_netcash__yd_6</t>
  </si>
  <si>
    <t>4_subsidy_fuel_direct_pc_netcash__yd_6</t>
  </si>
  <si>
    <t>4_subsidy_fuel_indirect_pc_netcash__yd_6</t>
  </si>
  <si>
    <t>4_subsidy_fuel_pc_netcash__yd_6</t>
  </si>
  <si>
    <t>4_vat_elec_pc_netcash__yd_6</t>
  </si>
  <si>
    <t>4_vat_fuel_pc_netcash__yd_6</t>
  </si>
  <si>
    <t>4_all_elec_noST_pc_netcash__yd_7</t>
  </si>
  <si>
    <t>4_all_elec_pc_netcash__yd_7</t>
  </si>
  <si>
    <t>4_all_fuel_pc_netcash__yd_7</t>
  </si>
  <si>
    <t>4_all_miti_noST_pc_netcash__yd_7</t>
  </si>
  <si>
    <t>4_all_miti_pc_netcash__yd_7</t>
  </si>
  <si>
    <t>4_all_policies_miti_pc_netcash__yd_7</t>
  </si>
  <si>
    <t>4_all_policies_noST_pc_netcash__yd_7</t>
  </si>
  <si>
    <t>4_all_policies_pc_netcash__yd_7</t>
  </si>
  <si>
    <t>4_all_subs_noST_pc_netcash__yd_7</t>
  </si>
  <si>
    <t>4_all_subs_pc_netcash__yd_7</t>
  </si>
  <si>
    <t>4_all_tax_pc_netcash__yd_7</t>
  </si>
  <si>
    <t>4_am_delayed_pnbsf_pc_netcash__yd_7</t>
  </si>
  <si>
    <t>4_am_new_pnbsf_pc_netcash__yd_7</t>
  </si>
  <si>
    <t>4_am_pnbsf_newbenefs_pc_netcash__yd_7</t>
  </si>
  <si>
    <t>4_am_pnbsf_transferinc_pc_netcash__yd_7</t>
  </si>
  <si>
    <t>4_social_tranche_pc_netcash__yd_7</t>
  </si>
  <si>
    <t>4_subs_public_transport_pc_netcash__yd_7</t>
  </si>
  <si>
    <t>4_subsidy_elec_direct_pc_netcash__yd_7</t>
  </si>
  <si>
    <t>4_subsidy_elec_indirect_pc_netcash__yd_7</t>
  </si>
  <si>
    <t>4_subsidy_elec_pc_netcash__yd_7</t>
  </si>
  <si>
    <t>4_subsidy_fuel_direct_pc_netcash__yd_7</t>
  </si>
  <si>
    <t>4_subsidy_fuel_indirect_pc_netcash__yd_7</t>
  </si>
  <si>
    <t>4_subsidy_fuel_pc_netcash__yd_7</t>
  </si>
  <si>
    <t>4_vat_elec_pc_netcash__yd_7</t>
  </si>
  <si>
    <t>4_vat_fuel_pc_netcash__yd_7</t>
  </si>
  <si>
    <t>4_all_elec_noST_pc_netcash__yd_8</t>
  </si>
  <si>
    <t>4_all_elec_pc_netcash__yd_8</t>
  </si>
  <si>
    <t>4_all_fuel_pc_netcash__yd_8</t>
  </si>
  <si>
    <t>4_all_miti_noST_pc_netcash__yd_8</t>
  </si>
  <si>
    <t>4_all_miti_pc_netcash__yd_8</t>
  </si>
  <si>
    <t>4_all_policies_miti_pc_netcash__yd_8</t>
  </si>
  <si>
    <t>4_all_policies_noST_pc_netcash__yd_8</t>
  </si>
  <si>
    <t>4_all_policies_pc_netcash__yd_8</t>
  </si>
  <si>
    <t>4_all_subs_noST_pc_netcash__yd_8</t>
  </si>
  <si>
    <t>4_all_subs_pc_netcash__yd_8</t>
  </si>
  <si>
    <t>4_all_tax_pc_netcash__yd_8</t>
  </si>
  <si>
    <t>4_am_delayed_pnbsf_pc_netcash__yd_8</t>
  </si>
  <si>
    <t>4_am_new_pnbsf_pc_netcash__yd_8</t>
  </si>
  <si>
    <t>4_am_pnbsf_newbenefs_pc_netcash__yd_8</t>
  </si>
  <si>
    <t>4_am_pnbsf_transferinc_pc_netcash__yd_8</t>
  </si>
  <si>
    <t>4_social_tranche_pc_netcash__yd_8</t>
  </si>
  <si>
    <t>4_subs_public_transport_pc_netcash__yd_8</t>
  </si>
  <si>
    <t>4_subsidy_elec_direct_pc_netcash__yd_8</t>
  </si>
  <si>
    <t>4_subsidy_elec_indirect_pc_netcash__yd_8</t>
  </si>
  <si>
    <t>4_subsidy_elec_pc_netcash__yd_8</t>
  </si>
  <si>
    <t>4_subsidy_fuel_direct_pc_netcash__yd_8</t>
  </si>
  <si>
    <t>4_subsidy_fuel_indirect_pc_netcash__yd_8</t>
  </si>
  <si>
    <t>4_subsidy_fuel_pc_netcash__yd_8</t>
  </si>
  <si>
    <t>4_vat_elec_pc_netcash__yd_8</t>
  </si>
  <si>
    <t>4_vat_fuel_pc_netcash__yd_8</t>
  </si>
  <si>
    <t>4_all_elec_noST_pc_netcash__yd_9</t>
  </si>
  <si>
    <t>4_all_elec_pc_netcash__yd_9</t>
  </si>
  <si>
    <t>4_all_fuel_pc_netcash__yd_9</t>
  </si>
  <si>
    <t>4_all_miti_noST_pc_netcash__yd_9</t>
  </si>
  <si>
    <t>4_all_miti_pc_netcash__yd_9</t>
  </si>
  <si>
    <t>4_all_policies_miti_pc_netcash__yd_9</t>
  </si>
  <si>
    <t>4_all_policies_noST_pc_netcash__yd_9</t>
  </si>
  <si>
    <t>4_all_policies_pc_netcash__yd_9</t>
  </si>
  <si>
    <t>4_all_subs_noST_pc_netcash__yd_9</t>
  </si>
  <si>
    <t>4_all_subs_pc_netcash__yd_9</t>
  </si>
  <si>
    <t>4_all_tax_pc_netcash__yd_9</t>
  </si>
  <si>
    <t>4_am_delayed_pnbsf_pc_netcash__yd_9</t>
  </si>
  <si>
    <t>4_am_new_pnbsf_pc_netcash__yd_9</t>
  </si>
  <si>
    <t>4_am_pnbsf_newbenefs_pc_netcash__yd_9</t>
  </si>
  <si>
    <t>4_am_pnbsf_transferinc_pc_netcash__yd_9</t>
  </si>
  <si>
    <t>4_social_tranche_pc_netcash__yd_9</t>
  </si>
  <si>
    <t>4_subs_public_transport_pc_netcash__yd_9</t>
  </si>
  <si>
    <t>4_subsidy_elec_direct_pc_netcash__yd_9</t>
  </si>
  <si>
    <t>4_subsidy_elec_indirect_pc_netcash__yd_9</t>
  </si>
  <si>
    <t>4_subsidy_elec_pc_netcash__yd_9</t>
  </si>
  <si>
    <t>4_subsidy_fuel_direct_pc_netcash__yd_9</t>
  </si>
  <si>
    <t>4_subsidy_fuel_indirect_pc_netcash__yd_9</t>
  </si>
  <si>
    <t>4_subsidy_fuel_pc_netcash__yd_9</t>
  </si>
  <si>
    <t>4_vat_elec_pc_netcash__yd_9</t>
  </si>
  <si>
    <t>4_vat_fuel_pc_netcash__yd_9</t>
  </si>
  <si>
    <t>4_all_elec_noST_pc_netcash__yd_10</t>
  </si>
  <si>
    <t>4_all_elec_pc_netcash__yd_10</t>
  </si>
  <si>
    <t>4_all_fuel_pc_netcash__yd_10</t>
  </si>
  <si>
    <t>4_all_miti_noST_pc_netcash__yd_10</t>
  </si>
  <si>
    <t>4_all_miti_pc_netcash__yd_10</t>
  </si>
  <si>
    <t>4_all_policies_miti_pc_netcash__yd_10</t>
  </si>
  <si>
    <t>4_all_policies_noST_pc_netcash__yd_10</t>
  </si>
  <si>
    <t>4_all_policies_pc_netcash__yd_10</t>
  </si>
  <si>
    <t>4_all_subs_noST_pc_netcash__yd_10</t>
  </si>
  <si>
    <t>4_all_subs_pc_netcash__yd_10</t>
  </si>
  <si>
    <t>4_all_tax_pc_netcash__yd_10</t>
  </si>
  <si>
    <t>4_am_delayed_pnbsf_pc_netcash__yd_10</t>
  </si>
  <si>
    <t>4_am_new_pnbsf_pc_netcash__yd_10</t>
  </si>
  <si>
    <t>4_am_pnbsf_newbenefs_pc_netcash__yd_10</t>
  </si>
  <si>
    <t>4_am_pnbsf_transferinc_pc_netcash__yd_10</t>
  </si>
  <si>
    <t>4_social_tranche_pc_netcash__yd_10</t>
  </si>
  <si>
    <t>4_subs_public_transport_pc_netcash__yd_10</t>
  </si>
  <si>
    <t>4_subsidy_elec_direct_pc_netcash__yd_10</t>
  </si>
  <si>
    <t>4_subsidy_elec_indirect_pc_netcash__yd_10</t>
  </si>
  <si>
    <t>4_subsidy_elec_pc_netcash__yd_10</t>
  </si>
  <si>
    <t>4_subsidy_fuel_direct_pc_netcash__yd_10</t>
  </si>
  <si>
    <t>4_subsidy_fuel_indirect_pc_netcash__yd_10</t>
  </si>
  <si>
    <t>4_subsidy_fuel_pc_netcash__yd_10</t>
  </si>
  <si>
    <t>4_vat_elec_pc_netcash__yd_10</t>
  </si>
  <si>
    <t>4_vat_fuel_pc_netcash__yd_10</t>
  </si>
  <si>
    <t>4_all_elec_noST_pc_cond_netcash__yd_1</t>
  </si>
  <si>
    <t>4_all_elec_pc_cond_netcash__yd_1</t>
  </si>
  <si>
    <t>4_all_fuel_pc_cond_netcash__yd_1</t>
  </si>
  <si>
    <t>4_all_miti_noST_pc_cond_netcash__yd_1</t>
  </si>
  <si>
    <t>4_all_miti_pc_cond_netcash__yd_1</t>
  </si>
  <si>
    <t>4_all_policies_miti_pc_cond_netcash__yd_1</t>
  </si>
  <si>
    <t>4_all_policies_noST_pc_cond_netcash__yd_1</t>
  </si>
  <si>
    <t>4_all_policies_pc_cond_netcash__yd_1</t>
  </si>
  <si>
    <t>4_all_subs_noST_pc_cond_netcash__yd_1</t>
  </si>
  <si>
    <t>4_all_subs_pc_cond_netcash__yd_1</t>
  </si>
  <si>
    <t>4_all_tax_pc_cond_netcash__yd_1</t>
  </si>
  <si>
    <t>4_am_delayed_pnbsf_pc_cond_netcash__yd_1</t>
  </si>
  <si>
    <t>4_am_new_pnbsf_pc_cond_netcash__yd_1</t>
  </si>
  <si>
    <t>4_am_pnbsf_newbenefs_pc_cond_netcash__yd_1</t>
  </si>
  <si>
    <t>4_am_pnbsf_transferinc_pc_cond_netcash__yd_1</t>
  </si>
  <si>
    <t>4_social_tranche_pc_cond_netcash__yd_1</t>
  </si>
  <si>
    <t>4_subs_public_transport_pc_cond_netcash__yd_1</t>
  </si>
  <si>
    <t>4_subsidy_elec_direct_pc_cond_netcash__yd_1</t>
  </si>
  <si>
    <t>4_subsidy_elec_indirect_pc_cond_netcash__yd_1</t>
  </si>
  <si>
    <t>4_subsidy_elec_pc_cond_netcash__yd_1</t>
  </si>
  <si>
    <t>4_subsidy_fuel_direct_pc_cond_netcash__yd_1</t>
  </si>
  <si>
    <t>4_subsidy_fuel_indirect_pc_cond_netcash__yd_1</t>
  </si>
  <si>
    <t>4_subsidy_fuel_pc_cond_netcash__yd_1</t>
  </si>
  <si>
    <t>4_vat_elec_pc_cond_netcash__yd_1</t>
  </si>
  <si>
    <t>4_vat_fuel_pc_cond_netcash__yd_1</t>
  </si>
  <si>
    <t>4_all_elec_noST_pc_cond_netcash__yd_2</t>
  </si>
  <si>
    <t>4_all_elec_pc_cond_netcash__yd_2</t>
  </si>
  <si>
    <t>4_all_fuel_pc_cond_netcash__yd_2</t>
  </si>
  <si>
    <t>4_all_miti_noST_pc_cond_netcash__yd_2</t>
  </si>
  <si>
    <t>4_all_miti_pc_cond_netcash__yd_2</t>
  </si>
  <si>
    <t>4_all_policies_miti_pc_cond_netcash__yd_2</t>
  </si>
  <si>
    <t>4_all_policies_noST_pc_cond_netcash__yd_2</t>
  </si>
  <si>
    <t>4_all_policies_pc_cond_netcash__yd_2</t>
  </si>
  <si>
    <t>4_all_subs_noST_pc_cond_netcash__yd_2</t>
  </si>
  <si>
    <t>4_all_subs_pc_cond_netcash__yd_2</t>
  </si>
  <si>
    <t>4_all_tax_pc_cond_netcash__yd_2</t>
  </si>
  <si>
    <t>4_am_delayed_pnbsf_pc_cond_netcash__yd_2</t>
  </si>
  <si>
    <t>4_am_new_pnbsf_pc_cond_netcash__yd_2</t>
  </si>
  <si>
    <t>4_am_pnbsf_newbenefs_pc_cond_netcash__yd_2</t>
  </si>
  <si>
    <t>4_am_pnbsf_transferinc_pc_cond_netcash__yd_2</t>
  </si>
  <si>
    <t>4_social_tranche_pc_cond_netcash__yd_2</t>
  </si>
  <si>
    <t>4_subs_public_transport_pc_cond_netcash__yd_2</t>
  </si>
  <si>
    <t>4_subsidy_elec_direct_pc_cond_netcash__yd_2</t>
  </si>
  <si>
    <t>4_subsidy_elec_indirect_pc_cond_netcash__yd_2</t>
  </si>
  <si>
    <t>4_subsidy_elec_pc_cond_netcash__yd_2</t>
  </si>
  <si>
    <t>4_subsidy_fuel_direct_pc_cond_netcash__yd_2</t>
  </si>
  <si>
    <t>4_subsidy_fuel_indirect_pc_cond_netcash__yd_2</t>
  </si>
  <si>
    <t>4_subsidy_fuel_pc_cond_netcash__yd_2</t>
  </si>
  <si>
    <t>4_vat_elec_pc_cond_netcash__yd_2</t>
  </si>
  <si>
    <t>4_vat_fuel_pc_cond_netcash__yd_2</t>
  </si>
  <si>
    <t>4_all_elec_noST_pc_cond_netcash__yd_3</t>
  </si>
  <si>
    <t>4_all_elec_pc_cond_netcash__yd_3</t>
  </si>
  <si>
    <t>4_all_fuel_pc_cond_netcash__yd_3</t>
  </si>
  <si>
    <t>4_all_miti_noST_pc_cond_netcash__yd_3</t>
  </si>
  <si>
    <t>4_all_miti_pc_cond_netcash__yd_3</t>
  </si>
  <si>
    <t>4_all_policies_miti_pc_cond_netcash__yd_3</t>
  </si>
  <si>
    <t>4_all_policies_noST_pc_cond_netcash__yd_3</t>
  </si>
  <si>
    <t>4_all_policies_pc_cond_netcash__yd_3</t>
  </si>
  <si>
    <t>4_all_subs_noST_pc_cond_netcash__yd_3</t>
  </si>
  <si>
    <t>4_all_subs_pc_cond_netcash__yd_3</t>
  </si>
  <si>
    <t>4_all_tax_pc_cond_netcash__yd_3</t>
  </si>
  <si>
    <t>4_am_delayed_pnbsf_pc_cond_netcash__yd_3</t>
  </si>
  <si>
    <t>4_am_new_pnbsf_pc_cond_netcash__yd_3</t>
  </si>
  <si>
    <t>4_am_pnbsf_newbenefs_pc_cond_netcash__yd_3</t>
  </si>
  <si>
    <t>4_am_pnbsf_transferinc_pc_cond_netcash__yd_3</t>
  </si>
  <si>
    <t>4_social_tranche_pc_cond_netcash__yd_3</t>
  </si>
  <si>
    <t>4_subs_public_transport_pc_cond_netcash__yd_3</t>
  </si>
  <si>
    <t>4_subsidy_elec_direct_pc_cond_netcash__yd_3</t>
  </si>
  <si>
    <t>4_subsidy_elec_indirect_pc_cond_netcash__yd_3</t>
  </si>
  <si>
    <t>4_subsidy_elec_pc_cond_netcash__yd_3</t>
  </si>
  <si>
    <t>4_subsidy_fuel_direct_pc_cond_netcash__yd_3</t>
  </si>
  <si>
    <t>4_subsidy_fuel_indirect_pc_cond_netcash__yd_3</t>
  </si>
  <si>
    <t>4_subsidy_fuel_pc_cond_netcash__yd_3</t>
  </si>
  <si>
    <t>4_vat_elec_pc_cond_netcash__yd_3</t>
  </si>
  <si>
    <t>4_vat_fuel_pc_cond_netcash__yd_3</t>
  </si>
  <si>
    <t>4_all_elec_noST_pc_cond_netcash__yd_4</t>
  </si>
  <si>
    <t>4_all_elec_pc_cond_netcash__yd_4</t>
  </si>
  <si>
    <t>4_all_fuel_pc_cond_netcash__yd_4</t>
  </si>
  <si>
    <t>4_all_miti_noST_pc_cond_netcash__yd_4</t>
  </si>
  <si>
    <t>4_all_miti_pc_cond_netcash__yd_4</t>
  </si>
  <si>
    <t>4_all_policies_miti_pc_cond_netcash__yd_4</t>
  </si>
  <si>
    <t>4_all_policies_noST_pc_cond_netcash__yd_4</t>
  </si>
  <si>
    <t>4_all_policies_pc_cond_netcash__yd_4</t>
  </si>
  <si>
    <t>4_all_subs_noST_pc_cond_netcash__yd_4</t>
  </si>
  <si>
    <t>4_all_subs_pc_cond_netcash__yd_4</t>
  </si>
  <si>
    <t>4_all_tax_pc_cond_netcash__yd_4</t>
  </si>
  <si>
    <t>4_am_delayed_pnbsf_pc_cond_netcash__yd_4</t>
  </si>
  <si>
    <t>4_am_new_pnbsf_pc_cond_netcash__yd_4</t>
  </si>
  <si>
    <t>4_am_pnbsf_newbenefs_pc_cond_netcash__yd_4</t>
  </si>
  <si>
    <t>4_am_pnbsf_transferinc_pc_cond_netcash__yd_4</t>
  </si>
  <si>
    <t>4_social_tranche_pc_cond_netcash__yd_4</t>
  </si>
  <si>
    <t>4_subs_public_transport_pc_cond_netcash__yd_4</t>
  </si>
  <si>
    <t>4_subsidy_elec_direct_pc_cond_netcash__yd_4</t>
  </si>
  <si>
    <t>4_subsidy_elec_indirect_pc_cond_netcash__yd_4</t>
  </si>
  <si>
    <t>4_subsidy_elec_pc_cond_netcash__yd_4</t>
  </si>
  <si>
    <t>4_subsidy_fuel_direct_pc_cond_netcash__yd_4</t>
  </si>
  <si>
    <t>4_subsidy_fuel_indirect_pc_cond_netcash__yd_4</t>
  </si>
  <si>
    <t>4_subsidy_fuel_pc_cond_netcash__yd_4</t>
  </si>
  <si>
    <t>4_vat_elec_pc_cond_netcash__yd_4</t>
  </si>
  <si>
    <t>4_vat_fuel_pc_cond_netcash__yd_4</t>
  </si>
  <si>
    <t>4_all_elec_noST_pc_cond_netcash__yd_5</t>
  </si>
  <si>
    <t>4_all_elec_pc_cond_netcash__yd_5</t>
  </si>
  <si>
    <t>4_all_fuel_pc_cond_netcash__yd_5</t>
  </si>
  <si>
    <t>4_all_miti_noST_pc_cond_netcash__yd_5</t>
  </si>
  <si>
    <t>4_all_miti_pc_cond_netcash__yd_5</t>
  </si>
  <si>
    <t>4_all_policies_miti_pc_cond_netcash__yd_5</t>
  </si>
  <si>
    <t>4_all_policies_noST_pc_cond_netcash__yd_5</t>
  </si>
  <si>
    <t>4_all_policies_pc_cond_netcash__yd_5</t>
  </si>
  <si>
    <t>4_all_subs_noST_pc_cond_netcash__yd_5</t>
  </si>
  <si>
    <t>4_all_subs_pc_cond_netcash__yd_5</t>
  </si>
  <si>
    <t>4_all_tax_pc_cond_netcash__yd_5</t>
  </si>
  <si>
    <t>4_am_delayed_pnbsf_pc_cond_netcash__yd_5</t>
  </si>
  <si>
    <t>4_am_new_pnbsf_pc_cond_netcash__yd_5</t>
  </si>
  <si>
    <t>4_am_pnbsf_newbenefs_pc_cond_netcash__yd_5</t>
  </si>
  <si>
    <t>4_am_pnbsf_transferinc_pc_cond_netcash__yd_5</t>
  </si>
  <si>
    <t>4_social_tranche_pc_cond_netcash__yd_5</t>
  </si>
  <si>
    <t>4_subs_public_transport_pc_cond_netcash__yd_5</t>
  </si>
  <si>
    <t>4_subsidy_elec_direct_pc_cond_netcash__yd_5</t>
  </si>
  <si>
    <t>4_subsidy_elec_indirect_pc_cond_netcash__yd_5</t>
  </si>
  <si>
    <t>4_subsidy_elec_pc_cond_netcash__yd_5</t>
  </si>
  <si>
    <t>4_subsidy_fuel_direct_pc_cond_netcash__yd_5</t>
  </si>
  <si>
    <t>4_subsidy_fuel_indirect_pc_cond_netcash__yd_5</t>
  </si>
  <si>
    <t>4_subsidy_fuel_pc_cond_netcash__yd_5</t>
  </si>
  <si>
    <t>4_vat_elec_pc_cond_netcash__yd_5</t>
  </si>
  <si>
    <t>4_vat_fuel_pc_cond_netcash__yd_5</t>
  </si>
  <si>
    <t>4_all_elec_noST_pc_cond_netcash__yd_6</t>
  </si>
  <si>
    <t>4_all_elec_pc_cond_netcash__yd_6</t>
  </si>
  <si>
    <t>4_all_fuel_pc_cond_netcash__yd_6</t>
  </si>
  <si>
    <t>4_all_miti_noST_pc_cond_netcash__yd_6</t>
  </si>
  <si>
    <t>4_all_miti_pc_cond_netcash__yd_6</t>
  </si>
  <si>
    <t>4_all_policies_miti_pc_cond_netcash__yd_6</t>
  </si>
  <si>
    <t>4_all_policies_noST_pc_cond_netcash__yd_6</t>
  </si>
  <si>
    <t>4_all_policies_pc_cond_netcash__yd_6</t>
  </si>
  <si>
    <t>4_all_subs_noST_pc_cond_netcash__yd_6</t>
  </si>
  <si>
    <t>4_all_subs_pc_cond_netcash__yd_6</t>
  </si>
  <si>
    <t>4_all_tax_pc_cond_netcash__yd_6</t>
  </si>
  <si>
    <t>4_am_delayed_pnbsf_pc_cond_netcash__yd_6</t>
  </si>
  <si>
    <t>4_am_new_pnbsf_pc_cond_netcash__yd_6</t>
  </si>
  <si>
    <t>4_am_pnbsf_newbenefs_pc_cond_netcash__yd_6</t>
  </si>
  <si>
    <t>4_am_pnbsf_transferinc_pc_cond_netcash__yd_6</t>
  </si>
  <si>
    <t>4_social_tranche_pc_cond_netcash__yd_6</t>
  </si>
  <si>
    <t>4_subs_public_transport_pc_cond_netcash__yd_6</t>
  </si>
  <si>
    <t>4_subsidy_elec_direct_pc_cond_netcash__yd_6</t>
  </si>
  <si>
    <t>4_subsidy_elec_indirect_pc_cond_netcash__yd_6</t>
  </si>
  <si>
    <t>4_subsidy_elec_pc_cond_netcash__yd_6</t>
  </si>
  <si>
    <t>4_subsidy_fuel_direct_pc_cond_netcash__yd_6</t>
  </si>
  <si>
    <t>4_subsidy_fuel_indirect_pc_cond_netcash__yd_6</t>
  </si>
  <si>
    <t>4_subsidy_fuel_pc_cond_netcash__yd_6</t>
  </si>
  <si>
    <t>4_vat_elec_pc_cond_netcash__yd_6</t>
  </si>
  <si>
    <t>4_vat_fuel_pc_cond_netcash__yd_6</t>
  </si>
  <si>
    <t>4_all_elec_noST_pc_cond_netcash__yd_7</t>
  </si>
  <si>
    <t>4_all_elec_pc_cond_netcash__yd_7</t>
  </si>
  <si>
    <t>4_all_fuel_pc_cond_netcash__yd_7</t>
  </si>
  <si>
    <t>4_all_miti_noST_pc_cond_netcash__yd_7</t>
  </si>
  <si>
    <t>4_all_miti_pc_cond_netcash__yd_7</t>
  </si>
  <si>
    <t>4_all_policies_miti_pc_cond_netcash__yd_7</t>
  </si>
  <si>
    <t>4_all_policies_noST_pc_cond_netcash__yd_7</t>
  </si>
  <si>
    <t>4_all_policies_pc_cond_netcash__yd_7</t>
  </si>
  <si>
    <t>4_all_subs_noST_pc_cond_netcash__yd_7</t>
  </si>
  <si>
    <t>4_all_subs_pc_cond_netcash__yd_7</t>
  </si>
  <si>
    <t>4_all_tax_pc_cond_netcash__yd_7</t>
  </si>
  <si>
    <t>4_am_delayed_pnbsf_pc_cond_netcash__yd_7</t>
  </si>
  <si>
    <t>4_am_new_pnbsf_pc_cond_netcash__yd_7</t>
  </si>
  <si>
    <t>4_am_pnbsf_newbenefs_pc_cond_netcash__yd_7</t>
  </si>
  <si>
    <t>4_am_pnbsf_transferinc_pc_cond_netcash__yd_7</t>
  </si>
  <si>
    <t>4_social_tranche_pc_cond_netcash__yd_7</t>
  </si>
  <si>
    <t>4_subs_public_transport_pc_cond_netcash__yd_7</t>
  </si>
  <si>
    <t>4_subsidy_elec_direct_pc_cond_netcash__yd_7</t>
  </si>
  <si>
    <t>4_subsidy_elec_indirect_pc_cond_netcash__yd_7</t>
  </si>
  <si>
    <t>4_subsidy_elec_pc_cond_netcash__yd_7</t>
  </si>
  <si>
    <t>4_subsidy_fuel_direct_pc_cond_netcash__yd_7</t>
  </si>
  <si>
    <t>4_subsidy_fuel_indirect_pc_cond_netcash__yd_7</t>
  </si>
  <si>
    <t>4_subsidy_fuel_pc_cond_netcash__yd_7</t>
  </si>
  <si>
    <t>4_vat_elec_pc_cond_netcash__yd_7</t>
  </si>
  <si>
    <t>4_vat_fuel_pc_cond_netcash__yd_7</t>
  </si>
  <si>
    <t>4_all_elec_noST_pc_cond_netcash__yd_8</t>
  </si>
  <si>
    <t>4_all_elec_pc_cond_netcash__yd_8</t>
  </si>
  <si>
    <t>4_all_fuel_pc_cond_netcash__yd_8</t>
  </si>
  <si>
    <t>4_all_miti_noST_pc_cond_netcash__yd_8</t>
  </si>
  <si>
    <t>4_all_miti_pc_cond_netcash__yd_8</t>
  </si>
  <si>
    <t>4_all_policies_miti_pc_cond_netcash__yd_8</t>
  </si>
  <si>
    <t>4_all_policies_noST_pc_cond_netcash__yd_8</t>
  </si>
  <si>
    <t>4_all_policies_pc_cond_netcash__yd_8</t>
  </si>
  <si>
    <t>4_all_subs_noST_pc_cond_netcash__yd_8</t>
  </si>
  <si>
    <t>4_all_subs_pc_cond_netcash__yd_8</t>
  </si>
  <si>
    <t>4_all_tax_pc_cond_netcash__yd_8</t>
  </si>
  <si>
    <t>4_am_delayed_pnbsf_pc_cond_netcash__yd_8</t>
  </si>
  <si>
    <t>4_am_new_pnbsf_pc_cond_netcash__yd_8</t>
  </si>
  <si>
    <t>4_am_pnbsf_newbenefs_pc_cond_netcash__yd_8</t>
  </si>
  <si>
    <t>4_am_pnbsf_transferinc_pc_cond_netcash__yd_8</t>
  </si>
  <si>
    <t>4_social_tranche_pc_cond_netcash__yd_8</t>
  </si>
  <si>
    <t>4_subs_public_transport_pc_cond_netcash__yd_8</t>
  </si>
  <si>
    <t>4_subsidy_elec_direct_pc_cond_netcash__yd_8</t>
  </si>
  <si>
    <t>4_subsidy_elec_indirect_pc_cond_netcash__yd_8</t>
  </si>
  <si>
    <t>4_subsidy_elec_pc_cond_netcash__yd_8</t>
  </si>
  <si>
    <t>4_subsidy_fuel_direct_pc_cond_netcash__yd_8</t>
  </si>
  <si>
    <t>4_subsidy_fuel_indirect_pc_cond_netcash__yd_8</t>
  </si>
  <si>
    <t>4_subsidy_fuel_pc_cond_netcash__yd_8</t>
  </si>
  <si>
    <t>4_vat_elec_pc_cond_netcash__yd_8</t>
  </si>
  <si>
    <t>4_vat_fuel_pc_cond_netcash__yd_8</t>
  </si>
  <si>
    <t>4_all_elec_noST_pc_cond_netcash__yd_9</t>
  </si>
  <si>
    <t>4_all_elec_pc_cond_netcash__yd_9</t>
  </si>
  <si>
    <t>4_all_fuel_pc_cond_netcash__yd_9</t>
  </si>
  <si>
    <t>4_all_miti_noST_pc_cond_netcash__yd_9</t>
  </si>
  <si>
    <t>4_all_miti_pc_cond_netcash__yd_9</t>
  </si>
  <si>
    <t>4_all_policies_miti_pc_cond_netcash__yd_9</t>
  </si>
  <si>
    <t>4_all_policies_noST_pc_cond_netcash__yd_9</t>
  </si>
  <si>
    <t>4_all_policies_pc_cond_netcash__yd_9</t>
  </si>
  <si>
    <t>4_all_subs_noST_pc_cond_netcash__yd_9</t>
  </si>
  <si>
    <t>4_all_subs_pc_cond_netcash__yd_9</t>
  </si>
  <si>
    <t>4_all_tax_pc_cond_netcash__yd_9</t>
  </si>
  <si>
    <t>4_am_delayed_pnbsf_pc_cond_netcash__yd_9</t>
  </si>
  <si>
    <t>4_am_new_pnbsf_pc_cond_netcash__yd_9</t>
  </si>
  <si>
    <t>4_am_pnbsf_newbenefs_pc_cond_netcash__yd_9</t>
  </si>
  <si>
    <t>4_am_pnbsf_transferinc_pc_cond_netcash__yd_9</t>
  </si>
  <si>
    <t>4_social_tranche_pc_cond_netcash__yd_9</t>
  </si>
  <si>
    <t>4_subs_public_transport_pc_cond_netcash__yd_9</t>
  </si>
  <si>
    <t>4_subsidy_elec_direct_pc_cond_netcash__yd_9</t>
  </si>
  <si>
    <t>4_subsidy_elec_indirect_pc_cond_netcash__yd_9</t>
  </si>
  <si>
    <t>4_subsidy_elec_pc_cond_netcash__yd_9</t>
  </si>
  <si>
    <t>4_subsidy_fuel_direct_pc_cond_netcash__yd_9</t>
  </si>
  <si>
    <t>4_subsidy_fuel_indirect_pc_cond_netcash__yd_9</t>
  </si>
  <si>
    <t>4_subsidy_fuel_pc_cond_netcash__yd_9</t>
  </si>
  <si>
    <t>4_vat_elec_pc_cond_netcash__yd_9</t>
  </si>
  <si>
    <t>4_vat_fuel_pc_cond_netcash__yd_9</t>
  </si>
  <si>
    <t>4_all_elec_noST_pc_cond_netcash__yd_10</t>
  </si>
  <si>
    <t>4_all_elec_pc_cond_netcash__yd_10</t>
  </si>
  <si>
    <t>4_all_fuel_pc_cond_netcash__yd_10</t>
  </si>
  <si>
    <t>4_all_miti_noST_pc_cond_netcash__yd_10</t>
  </si>
  <si>
    <t>4_all_miti_pc_cond_netcash__yd_10</t>
  </si>
  <si>
    <t>4_all_policies_miti_pc_cond_netcash__yd_10</t>
  </si>
  <si>
    <t>4_all_policies_noST_pc_cond_netcash__yd_10</t>
  </si>
  <si>
    <t>4_all_policies_pc_cond_netcash__yd_10</t>
  </si>
  <si>
    <t>4_all_subs_noST_pc_cond_netcash__yd_10</t>
  </si>
  <si>
    <t>4_all_subs_pc_cond_netcash__yd_10</t>
  </si>
  <si>
    <t>4_all_tax_pc_cond_netcash__yd_10</t>
  </si>
  <si>
    <t>4_am_delayed_pnbsf_pc_cond_netcash__yd_10</t>
  </si>
  <si>
    <t>4_am_new_pnbsf_pc_cond_netcash__yd_10</t>
  </si>
  <si>
    <t>4_am_pnbsf_newbenefs_pc_cond_netcash__yd_10</t>
  </si>
  <si>
    <t>4_am_pnbsf_transferinc_pc_cond_netcash__yd_10</t>
  </si>
  <si>
    <t>4_social_tranche_pc_cond_netcash__yd_10</t>
  </si>
  <si>
    <t>4_subs_public_transport_pc_cond_netcash__yd_10</t>
  </si>
  <si>
    <t>4_subsidy_elec_direct_pc_cond_netcash__yd_10</t>
  </si>
  <si>
    <t>4_subsidy_elec_indirect_pc_cond_netcash__yd_10</t>
  </si>
  <si>
    <t>4_subsidy_elec_pc_cond_netcash__yd_10</t>
  </si>
  <si>
    <t>4_subsidy_fuel_direct_pc_cond_netcash__yd_10</t>
  </si>
  <si>
    <t>4_subsidy_fuel_indirect_pc_cond_netcash__yd_10</t>
  </si>
  <si>
    <t>4_subsidy_fuel_pc_cond_netcash__yd_10</t>
  </si>
  <si>
    <t>4_vat_elec_pc_cond_netcash__yd_10</t>
  </si>
  <si>
    <t>4_vat_fuel_pc_cond_netcash__yd_10</t>
  </si>
  <si>
    <t>4_subsidy_fuel_pc_ai__yd_1</t>
  </si>
  <si>
    <t>4_all_miti_noST_pc_ai__yd_1</t>
  </si>
  <si>
    <t>4_subs_public_transport_pc_ai__yd_1</t>
  </si>
  <si>
    <t>4_am_new_pnbsf_pc_ai__yd_1</t>
  </si>
  <si>
    <t>4_subsidy_elec_pc_ai__yd_1</t>
  </si>
  <si>
    <t>4_all_subs_noST_pc_ai__yd_1</t>
  </si>
  <si>
    <t>4_subsidy_elec_direct_pc_ai__yd_1</t>
  </si>
  <si>
    <t>4_subsidy_fuel_indirect_pc_ai__yd_1</t>
  </si>
  <si>
    <t>4_all_elec_pc_ai__yd_1</t>
  </si>
  <si>
    <t>4_am_pnbsf_transferinc_pc_ai__yd_1</t>
  </si>
  <si>
    <t>4_subsidy_fuel_direct_pc_ai__yd_1</t>
  </si>
  <si>
    <t>4_am_delayed_pnbsf_pc_ai__yd_1</t>
  </si>
  <si>
    <t>4_subsidy_elec_indirect_pc_ai__yd_1</t>
  </si>
  <si>
    <t>4_vat_fuel_pc_ai__yd_1</t>
  </si>
  <si>
    <t>4_social_tranche_pc_ai__yd_1</t>
  </si>
  <si>
    <t>4_all_tax_pc_ai__yd_1</t>
  </si>
  <si>
    <t>4_all_elec_noST_pc_ai__yd_1</t>
  </si>
  <si>
    <t>4_all_fuel_pc_ai__yd_1</t>
  </si>
  <si>
    <t>4_all_policies_pc_ai__yd_1</t>
  </si>
  <si>
    <t>4_vat_elec_pc_ai__yd_1</t>
  </si>
  <si>
    <t>4_all_policies_noST_pc_ai__yd_1</t>
  </si>
  <si>
    <t>4_all_policies_miti_pc_ai__yd_1</t>
  </si>
  <si>
    <t>4_am_pnbsf_newbenefs_pc_ai__yd_1</t>
  </si>
  <si>
    <t>4_all_miti_pc_ai__yd_1</t>
  </si>
  <si>
    <t>4_all_subs_pc_ai__yd_1</t>
  </si>
  <si>
    <t>4_subsidy_fuel_direct_pc_ai__yd_2</t>
  </si>
  <si>
    <t>4_all_miti_noST_pc_ai__yd_2</t>
  </si>
  <si>
    <t>4_all_policies_pc_ai__yd_2</t>
  </si>
  <si>
    <t>4_am_new_pnbsf_pc_ai__yd_2</t>
  </si>
  <si>
    <t>4_vat_elec_pc_ai__yd_2</t>
  </si>
  <si>
    <t>4_social_tranche_pc_ai__yd_2</t>
  </si>
  <si>
    <t>4_all_elec_pc_ai__yd_2</t>
  </si>
  <si>
    <t>4_subsidy_elec_direct_pc_ai__yd_2</t>
  </si>
  <si>
    <t>4_subs_public_transport_pc_ai__yd_2</t>
  </si>
  <si>
    <t>4_all_subs_pc_ai__yd_2</t>
  </si>
  <si>
    <t>4_subsidy_elec_pc_ai__yd_2</t>
  </si>
  <si>
    <t>4_all_elec_noST_pc_ai__yd_2</t>
  </si>
  <si>
    <t>4_all_tax_pc_ai__yd_2</t>
  </si>
  <si>
    <t>4_all_policies_miti_pc_ai__yd_2</t>
  </si>
  <si>
    <t>4_all_miti_pc_ai__yd_2</t>
  </si>
  <si>
    <t>4_vat_fuel_pc_ai__yd_2</t>
  </si>
  <si>
    <t>4_am_pnbsf_newbenefs_pc_ai__yd_2</t>
  </si>
  <si>
    <t>4_subsidy_fuel_pc_ai__yd_2</t>
  </si>
  <si>
    <t>4_am_pnbsf_transferinc_pc_ai__yd_2</t>
  </si>
  <si>
    <t>4_all_fuel_pc_ai__yd_2</t>
  </si>
  <si>
    <t>4_subsidy_fuel_indirect_pc_ai__yd_2</t>
  </si>
  <si>
    <t>4_all_subs_noST_pc_ai__yd_2</t>
  </si>
  <si>
    <t>4_am_delayed_pnbsf_pc_ai__yd_2</t>
  </si>
  <si>
    <t>4_all_policies_noST_pc_ai__yd_2</t>
  </si>
  <si>
    <t>4_subsidy_elec_indirect_pc_ai__yd_2</t>
  </si>
  <si>
    <t>4_all_policies_miti_pc_ai__yd_3</t>
  </si>
  <si>
    <t>4_all_miti_pc_ai__yd_3</t>
  </si>
  <si>
    <t>4_all_fuel_pc_ai__yd_3</t>
  </si>
  <si>
    <t>4_subs_public_transport_pc_ai__yd_3</t>
  </si>
  <si>
    <t>4_vat_elec_pc_ai__yd_3</t>
  </si>
  <si>
    <t>4_subsidy_fuel_direct_pc_ai__yd_3</t>
  </si>
  <si>
    <t>4_am_pnbsf_newbenefs_pc_ai__yd_3</t>
  </si>
  <si>
    <t>4_all_policies_pc_ai__yd_3</t>
  </si>
  <si>
    <t>4_subsidy_fuel_indirect_pc_ai__yd_3</t>
  </si>
  <si>
    <t>4_subsidy_elec_pc_ai__yd_3</t>
  </si>
  <si>
    <t>4_am_new_pnbsf_pc_ai__yd_3</t>
  </si>
  <si>
    <t>4_all_tax_pc_ai__yd_3</t>
  </si>
  <si>
    <t>4_all_subs_pc_ai__yd_3</t>
  </si>
  <si>
    <t>4_all_elec_noST_pc_ai__yd_3</t>
  </si>
  <si>
    <t>4_vat_fuel_pc_ai__yd_3</t>
  </si>
  <si>
    <t>4_all_elec_pc_ai__yd_3</t>
  </si>
  <si>
    <t>4_subsidy_elec_indirect_pc_ai__yd_3</t>
  </si>
  <si>
    <t>4_all_miti_noST_pc_ai__yd_3</t>
  </si>
  <si>
    <t>4_all_subs_noST_pc_ai__yd_3</t>
  </si>
  <si>
    <t>4_am_delayed_pnbsf_pc_ai__yd_3</t>
  </si>
  <si>
    <t>4_am_pnbsf_transferinc_pc_ai__yd_3</t>
  </si>
  <si>
    <t>4_social_tranche_pc_ai__yd_3</t>
  </si>
  <si>
    <t>4_all_policies_noST_pc_ai__yd_3</t>
  </si>
  <si>
    <t>4_subsidy_elec_direct_pc_ai__yd_3</t>
  </si>
  <si>
    <t>4_subsidy_fuel_pc_ai__yd_3</t>
  </si>
  <si>
    <t>4_subsidy_fuel_indirect_pc_ai__yd_4</t>
  </si>
  <si>
    <t>4_all_policies_noST_pc_ai__yd_4</t>
  </si>
  <si>
    <t>4_all_subs_noST_pc_ai__yd_4</t>
  </si>
  <si>
    <t>4_am_delayed_pnbsf_pc_ai__yd_4</t>
  </si>
  <si>
    <t>4_subsidy_elec_direct_pc_ai__yd_4</t>
  </si>
  <si>
    <t>4_all_fuel_pc_ai__yd_4</t>
  </si>
  <si>
    <t>4_all_policies_pc_ai__yd_4</t>
  </si>
  <si>
    <t>4_social_tranche_pc_ai__yd_4</t>
  </si>
  <si>
    <t>4_all_miti_pc_ai__yd_4</t>
  </si>
  <si>
    <t>4_subsidy_elec_indirect_pc_ai__yd_4</t>
  </si>
  <si>
    <t>4_vat_fuel_pc_ai__yd_4</t>
  </si>
  <si>
    <t>4_all_elec_pc_ai__yd_4</t>
  </si>
  <si>
    <t>4_subsidy_fuel_direct_pc_ai__yd_4</t>
  </si>
  <si>
    <t>4_subsidy_elec_pc_ai__yd_4</t>
  </si>
  <si>
    <t>4_subs_public_transport_pc_ai__yd_4</t>
  </si>
  <si>
    <t>4_all_subs_pc_ai__yd_4</t>
  </si>
  <si>
    <t>4_subsidy_fuel_pc_ai__yd_4</t>
  </si>
  <si>
    <t>4_am_pnbsf_newbenefs_pc_ai__yd_4</t>
  </si>
  <si>
    <t>4_all_policies_miti_pc_ai__yd_4</t>
  </si>
  <si>
    <t>4_am_pnbsf_transferinc_pc_ai__yd_4</t>
  </si>
  <si>
    <t>4_all_miti_noST_pc_ai__yd_4</t>
  </si>
  <si>
    <t>4_all_tax_pc_ai__yd_4</t>
  </si>
  <si>
    <t>4_am_new_pnbsf_pc_ai__yd_4</t>
  </si>
  <si>
    <t>4_vat_elec_pc_ai__yd_4</t>
  </si>
  <si>
    <t>4_all_elec_noST_pc_ai__yd_4</t>
  </si>
  <si>
    <t>4_all_miti_pc_ai__yd_5</t>
  </si>
  <si>
    <t>4_subsidy_elec_direct_pc_ai__yd_5</t>
  </si>
  <si>
    <t>4_subs_public_transport_pc_ai__yd_5</t>
  </si>
  <si>
    <t>4_am_new_pnbsf_pc_ai__yd_5</t>
  </si>
  <si>
    <t>4_am_delayed_pnbsf_pc_ai__yd_5</t>
  </si>
  <si>
    <t>4_all_subs_noST_pc_ai__yd_5</t>
  </si>
  <si>
    <t>4_am_pnbsf_transferinc_pc_ai__yd_5</t>
  </si>
  <si>
    <t>4_all_fuel_pc_ai__yd_5</t>
  </si>
  <si>
    <t>4_all_elec_pc_ai__yd_5</t>
  </si>
  <si>
    <t>4_all_miti_noST_pc_ai__yd_5</t>
  </si>
  <si>
    <t>4_all_subs_pc_ai__yd_5</t>
  </si>
  <si>
    <t>4_all_policies_miti_pc_ai__yd_5</t>
  </si>
  <si>
    <t>4_subsidy_elec_indirect_pc_ai__yd_5</t>
  </si>
  <si>
    <t>4_social_tranche_pc_ai__yd_5</t>
  </si>
  <si>
    <t>4_all_policies_pc_ai__yd_5</t>
  </si>
  <si>
    <t>4_all_elec_noST_pc_ai__yd_5</t>
  </si>
  <si>
    <t>4_all_tax_pc_ai__yd_5</t>
  </si>
  <si>
    <t>4_subsidy_fuel_indirect_pc_ai__yd_5</t>
  </si>
  <si>
    <t>4_subsidy_elec_pc_ai__yd_5</t>
  </si>
  <si>
    <t>4_all_policies_noST_pc_ai__yd_5</t>
  </si>
  <si>
    <t>4_am_pnbsf_newbenefs_pc_ai__yd_5</t>
  </si>
  <si>
    <t>4_subsidy_fuel_direct_pc_ai__yd_5</t>
  </si>
  <si>
    <t>4_vat_elec_pc_ai__yd_5</t>
  </si>
  <si>
    <t>4_vat_fuel_pc_ai__yd_5</t>
  </si>
  <si>
    <t>4_subsidy_fuel_pc_ai__yd_5</t>
  </si>
  <si>
    <t>4_am_new_pnbsf_pc_ai__yd_6</t>
  </si>
  <si>
    <t>4_subsidy_fuel_direct_pc_ai__yd_6</t>
  </si>
  <si>
    <t>4_all_tax_pc_ai__yd_6</t>
  </si>
  <si>
    <t>4_am_pnbsf_transferinc_pc_ai__yd_6</t>
  </si>
  <si>
    <t>4_am_pnbsf_newbenefs_pc_ai__yd_6</t>
  </si>
  <si>
    <t>4_vat_fuel_pc_ai__yd_6</t>
  </si>
  <si>
    <t>4_all_fuel_pc_ai__yd_6</t>
  </si>
  <si>
    <t>4_subsidy_elec_indirect_pc_ai__yd_6</t>
  </si>
  <si>
    <t>4_vat_elec_pc_ai__yd_6</t>
  </si>
  <si>
    <t>4_subsidy_fuel_pc_ai__yd_6</t>
  </si>
  <si>
    <t>4_subs_public_transport_pc_ai__yd_6</t>
  </si>
  <si>
    <t>4_all_miti_noST_pc_ai__yd_6</t>
  </si>
  <si>
    <t>4_all_subs_noST_pc_ai__yd_6</t>
  </si>
  <si>
    <t>4_all_policies_noST_pc_ai__yd_6</t>
  </si>
  <si>
    <t>4_all_policies_miti_pc_ai__yd_6</t>
  </si>
  <si>
    <t>4_subsidy_elec_direct_pc_ai__yd_6</t>
  </si>
  <si>
    <t>4_all_policies_pc_ai__yd_6</t>
  </si>
  <si>
    <t>4_all_elec_pc_ai__yd_6</t>
  </si>
  <si>
    <t>4_all_elec_noST_pc_ai__yd_6</t>
  </si>
  <si>
    <t>4_subsidy_elec_pc_ai__yd_6</t>
  </si>
  <si>
    <t>4_all_subs_pc_ai__yd_6</t>
  </si>
  <si>
    <t>4_subsidy_fuel_indirect_pc_ai__yd_6</t>
  </si>
  <si>
    <t>4_am_delayed_pnbsf_pc_ai__yd_6</t>
  </si>
  <si>
    <t>4_all_miti_pc_ai__yd_6</t>
  </si>
  <si>
    <t>4_social_tranche_pc_ai__yd_6</t>
  </si>
  <si>
    <t>4_subsidy_elec_indirect_pc_ai__yd_7</t>
  </si>
  <si>
    <t>4_all_policies_pc_ai__yd_7</t>
  </si>
  <si>
    <t>4_all_fuel_pc_ai__yd_7</t>
  </si>
  <si>
    <t>4_all_miti_noST_pc_ai__yd_7</t>
  </si>
  <si>
    <t>4_am_delayed_pnbsf_pc_ai__yd_7</t>
  </si>
  <si>
    <t>4_all_subs_noST_pc_ai__yd_7</t>
  </si>
  <si>
    <t>4_vat_fuel_pc_ai__yd_7</t>
  </si>
  <si>
    <t>4_subs_public_transport_pc_ai__yd_7</t>
  </si>
  <si>
    <t>4_social_tranche_pc_ai__yd_7</t>
  </si>
  <si>
    <t>4_subsidy_elec_pc_ai__yd_7</t>
  </si>
  <si>
    <t>4_subsidy_fuel_direct_pc_ai__yd_7</t>
  </si>
  <si>
    <t>4_am_pnbsf_newbenefs_pc_ai__yd_7</t>
  </si>
  <si>
    <t>4_all_elec_pc_ai__yd_7</t>
  </si>
  <si>
    <t>4_all_policies_miti_pc_ai__yd_7</t>
  </si>
  <si>
    <t>4_all_policies_noST_pc_ai__yd_7</t>
  </si>
  <si>
    <t>4_vat_elec_pc_ai__yd_7</t>
  </si>
  <si>
    <t>4_subsidy_fuel_pc_ai__yd_7</t>
  </si>
  <si>
    <t>4_all_miti_pc_ai__yd_7</t>
  </si>
  <si>
    <t>4_am_pnbsf_transferinc_pc_ai__yd_7</t>
  </si>
  <si>
    <t>4_subsidy_fuel_indirect_pc_ai__yd_7</t>
  </si>
  <si>
    <t>4_all_elec_noST_pc_ai__yd_7</t>
  </si>
  <si>
    <t>4_am_new_pnbsf_pc_ai__yd_7</t>
  </si>
  <si>
    <t>4_all_tax_pc_ai__yd_7</t>
  </si>
  <si>
    <t>4_all_subs_pc_ai__yd_7</t>
  </si>
  <si>
    <t>4_subsidy_elec_direct_pc_ai__yd_7</t>
  </si>
  <si>
    <t>4_subsidy_elec_direct_pc_ai__yd_8</t>
  </si>
  <si>
    <t>4_am_pnbsf_newbenefs_pc_ai__yd_8</t>
  </si>
  <si>
    <t>4_subsidy_fuel_pc_ai__yd_8</t>
  </si>
  <si>
    <t>4_all_policies_noST_pc_ai__yd_8</t>
  </si>
  <si>
    <t>4_vat_fuel_pc_ai__yd_8</t>
  </si>
  <si>
    <t>4_subsidy_fuel_indirect_pc_ai__yd_8</t>
  </si>
  <si>
    <t>4_all_policies_pc_ai__yd_8</t>
  </si>
  <si>
    <t>4_social_tranche_pc_ai__yd_8</t>
  </si>
  <si>
    <t>4_all_miti_noST_pc_ai__yd_8</t>
  </si>
  <si>
    <t>4_all_miti_pc_ai__yd_8</t>
  </si>
  <si>
    <t>4_all_subs_pc_ai__yd_8</t>
  </si>
  <si>
    <t>4_all_elec_pc_ai__yd_8</t>
  </si>
  <si>
    <t>4_am_pnbsf_transferinc_pc_ai__yd_8</t>
  </si>
  <si>
    <t>4_all_subs_noST_pc_ai__yd_8</t>
  </si>
  <si>
    <t>4_all_elec_noST_pc_ai__yd_8</t>
  </si>
  <si>
    <t>4_subs_public_transport_pc_ai__yd_8</t>
  </si>
  <si>
    <t>4_am_delayed_pnbsf_pc_ai__yd_8</t>
  </si>
  <si>
    <t>4_subsidy_elec_pc_ai__yd_8</t>
  </si>
  <si>
    <t>4_subsidy_elec_indirect_pc_ai__yd_8</t>
  </si>
  <si>
    <t>4_subsidy_fuel_direct_pc_ai__yd_8</t>
  </si>
  <si>
    <t>4_all_tax_pc_ai__yd_8</t>
  </si>
  <si>
    <t>4_vat_elec_pc_ai__yd_8</t>
  </si>
  <si>
    <t>4_all_fuel_pc_ai__yd_8</t>
  </si>
  <si>
    <t>4_am_new_pnbsf_pc_ai__yd_8</t>
  </si>
  <si>
    <t>4_all_policies_miti_pc_ai__yd_8</t>
  </si>
  <si>
    <t>4_social_tranche_pc_ai__yd_9</t>
  </si>
  <si>
    <t>4_all_policies_pc_ai__yd_9</t>
  </si>
  <si>
    <t>4_all_elec_pc_ai__yd_9</t>
  </si>
  <si>
    <t>4_all_miti_noST_pc_ai__yd_9</t>
  </si>
  <si>
    <t>4_subsidy_elec_direct_pc_ai__yd_9</t>
  </si>
  <si>
    <t>4_subsidy_fuel_indirect_pc_ai__yd_9</t>
  </si>
  <si>
    <t>4_all_subs_noST_pc_ai__yd_9</t>
  </si>
  <si>
    <t>4_all_elec_noST_pc_ai__yd_9</t>
  </si>
  <si>
    <t>4_subsidy_fuel_direct_pc_ai__yd_9</t>
  </si>
  <si>
    <t>4_am_new_pnbsf_pc_ai__yd_9</t>
  </si>
  <si>
    <t>4_subsidy_elec_pc_ai__yd_9</t>
  </si>
  <si>
    <t>4_all_tax_pc_ai__yd_9</t>
  </si>
  <si>
    <t>4_am_pnbsf_transferinc_pc_ai__yd_9</t>
  </si>
  <si>
    <t>4_all_policies_miti_pc_ai__yd_9</t>
  </si>
  <si>
    <t>4_subs_public_transport_pc_ai__yd_9</t>
  </si>
  <si>
    <t>4_vat_elec_pc_ai__yd_9</t>
  </si>
  <si>
    <t>4_am_delayed_pnbsf_pc_ai__yd_9</t>
  </si>
  <si>
    <t>4_all_subs_pc_ai__yd_9</t>
  </si>
  <si>
    <t>4_am_pnbsf_newbenefs_pc_ai__yd_9</t>
  </si>
  <si>
    <t>4_subsidy_fuel_pc_ai__yd_9</t>
  </si>
  <si>
    <t>4_subsidy_elec_indirect_pc_ai__yd_9</t>
  </si>
  <si>
    <t>4_all_policies_noST_pc_ai__yd_9</t>
  </si>
  <si>
    <t>4_vat_fuel_pc_ai__yd_9</t>
  </si>
  <si>
    <t>4_all_fuel_pc_ai__yd_9</t>
  </si>
  <si>
    <t>4_all_miti_pc_ai__yd_9</t>
  </si>
  <si>
    <t>4_vat_elec_pc_ai__yd_10</t>
  </si>
  <si>
    <t>4_all_policies_miti_pc_ai__yd_10</t>
  </si>
  <si>
    <t>4_subs_public_transport_pc_ai__yd_10</t>
  </si>
  <si>
    <t>4_all_miti_noST_pc_ai__yd_10</t>
  </si>
  <si>
    <t>4_am_pnbsf_newbenefs_pc_ai__yd_10</t>
  </si>
  <si>
    <t>4_all_policies_noST_pc_ai__yd_10</t>
  </si>
  <si>
    <t>4_subsidy_elec_direct_pc_ai__yd_10</t>
  </si>
  <si>
    <t>4_all_elec_pc_ai__yd_10</t>
  </si>
  <si>
    <t>4_subsidy_elec_pc_ai__yd_10</t>
  </si>
  <si>
    <t>4_subsidy_fuel_pc_ai__yd_10</t>
  </si>
  <si>
    <t>4_all_fuel_pc_ai__yd_10</t>
  </si>
  <si>
    <t>4_all_subs_pc_ai__yd_10</t>
  </si>
  <si>
    <t>4_all_elec_noST_pc_ai__yd_10</t>
  </si>
  <si>
    <t>4_am_new_pnbsf_pc_ai__yd_10</t>
  </si>
  <si>
    <t>4_all_miti_pc_ai__yd_10</t>
  </si>
  <si>
    <t>4_subsidy_fuel_indirect_pc_ai__yd_10</t>
  </si>
  <si>
    <t>4_social_tranche_pc_ai__yd_10</t>
  </si>
  <si>
    <t>4_all_policies_pc_ai__yd_10</t>
  </si>
  <si>
    <t>4_all_subs_noST_pc_ai__yd_10</t>
  </si>
  <si>
    <t>4_am_pnbsf_transferinc_pc_ai__yd_10</t>
  </si>
  <si>
    <t>4_all_tax_pc_ai__yd_10</t>
  </si>
  <si>
    <t>4_am_delayed_pnbsf_pc_ai__yd_10</t>
  </si>
  <si>
    <t>4_subsidy_fuel_direct_pc_ai__yd_10</t>
  </si>
  <si>
    <t>4_subsidy_elec_indirect_pc_ai__yd_10</t>
  </si>
  <si>
    <t>4_vat_fuel_pc_ai__yd_10</t>
  </si>
  <si>
    <t>4_subsidy_fuel_direct_pc_beneficiaries__yd_0</t>
  </si>
  <si>
    <t>4_subsidy_fuel_direct_pc_benefits__yd_0</t>
  </si>
  <si>
    <t>4_subsidy_fuel_direct_pc_coverage__yd_0</t>
  </si>
  <si>
    <t>4_subsidy_fuel_direct_pc_mean__yd_0</t>
  </si>
  <si>
    <t>4_am_delayed_pnbsf_pc_beneficiaries__yd_0</t>
  </si>
  <si>
    <t>4_am_delayed_pnbsf_pc_benefits__yd_0</t>
  </si>
  <si>
    <t>4_am_delayed_pnbsf_pc_coverage__yd_0</t>
  </si>
  <si>
    <t>4_am_delayed_pnbsf_pc_mean__yd_0</t>
  </si>
  <si>
    <t>4_social_tranche_pc_beneficiaries__yd_0</t>
  </si>
  <si>
    <t>4_social_tranche_pc_benefits__yd_0</t>
  </si>
  <si>
    <t>4_social_tranche_pc_coverage__yd_0</t>
  </si>
  <si>
    <t>4_social_tranche_pc_mean__yd_0</t>
  </si>
  <si>
    <t>4_subs_public_transport_pc_beneficiaries__yd_0</t>
  </si>
  <si>
    <t>4_subs_public_transport_pc_benefits__yd_0</t>
  </si>
  <si>
    <t>4_subs_public_transport_pc_coverage__yd_0</t>
  </si>
  <si>
    <t>4_subs_public_transport_pc_mean__yd_0</t>
  </si>
  <si>
    <t>4_am_pnbsf_transferinc_pc_beneficiaries__yd_0</t>
  </si>
  <si>
    <t>4_am_pnbsf_transferinc_pc_benefits__yd_0</t>
  </si>
  <si>
    <t>4_am_pnbsf_transferinc_pc_coverage__yd_0</t>
  </si>
  <si>
    <t>4_am_pnbsf_transferinc_pc_mean__yd_0</t>
  </si>
  <si>
    <t>4_am_pnbsf_newbenefs_pc_beneficiaries__yd_0</t>
  </si>
  <si>
    <t>4_am_pnbsf_newbenefs_pc_benefits__yd_0</t>
  </si>
  <si>
    <t>4_am_pnbsf_newbenefs_pc_coverage__yd_0</t>
  </si>
  <si>
    <t>4_am_pnbsf_newbenefs_pc_mean__yd_0</t>
  </si>
  <si>
    <t>4_all_miti_pc_beneficiaries__yd_0</t>
  </si>
  <si>
    <t>4_all_miti_pc_benefits__yd_0</t>
  </si>
  <si>
    <t>4_all_miti_pc_coverage__yd_0</t>
  </si>
  <si>
    <t>4_all_miti_pc_mean__yd_0</t>
  </si>
  <si>
    <t>4_all_miti_noST_pc_beneficiaries__yd_0</t>
  </si>
  <si>
    <t>4_all_miti_noST_pc_benefits__yd_0</t>
  </si>
  <si>
    <t>4_all_miti_noST_pc_coverage__yd_0</t>
  </si>
  <si>
    <t>4_all_miti_noST_pc_mean__yd_0</t>
  </si>
  <si>
    <t>4_all_policies_miti_pc_beneficiaries__yd_0</t>
  </si>
  <si>
    <t>4_all_policies_miti_pc_benefits__yd_0</t>
  </si>
  <si>
    <t>4_all_policies_miti_pc_coverage__yd_0</t>
  </si>
  <si>
    <t>4_all_policies_miti_pc_mean__yd_0</t>
  </si>
  <si>
    <t>4_all_policies_noST_pc_beneficiaries__yd_0</t>
  </si>
  <si>
    <t>4_all_policies_noST_pc_benefits__yd_0</t>
  </si>
  <si>
    <t>4_all_policies_noST_pc_coverage__yd_0</t>
  </si>
  <si>
    <t>4_all_policies_noST_pc_mean__yd_0</t>
  </si>
  <si>
    <t>4_all_policies_pc_beneficiaries__yd_0</t>
  </si>
  <si>
    <t>4_all_policies_pc_benefits__yd_0</t>
  </si>
  <si>
    <t>4_all_policies_pc_coverage__yd_0</t>
  </si>
  <si>
    <t>4_all_policies_pc_mean__yd_0</t>
  </si>
  <si>
    <t>4_subsidy_fuel_indirect_pc_beneficiaries__yd_0</t>
  </si>
  <si>
    <t>4_subsidy_fuel_indirect_pc_benefits__yd_0</t>
  </si>
  <si>
    <t>4_subsidy_fuel_indirect_pc_coverage__yd_0</t>
  </si>
  <si>
    <t>4_subsidy_fuel_indirect_pc_mean__yd_0</t>
  </si>
  <si>
    <t>4_all_tax_pc_beneficiaries__yd_0</t>
  </si>
  <si>
    <t>4_all_tax_pc_benefits__yd_0</t>
  </si>
  <si>
    <t>4_all_tax_pc_coverage__yd_0</t>
  </si>
  <si>
    <t>4_all_tax_pc_mean__yd_0</t>
  </si>
  <si>
    <t>4_all_subs_noST_pc_beneficiaries__yd_0</t>
  </si>
  <si>
    <t>4_all_subs_noST_pc_benefits__yd_0</t>
  </si>
  <si>
    <t>4_all_subs_noST_pc_coverage__yd_0</t>
  </si>
  <si>
    <t>4_all_subs_noST_pc_mean__yd_0</t>
  </si>
  <si>
    <t>4_all_subs_pc_beneficiaries__yd_0</t>
  </si>
  <si>
    <t>4_all_subs_pc_benefits__yd_0</t>
  </si>
  <si>
    <t>4_all_subs_pc_coverage__yd_0</t>
  </si>
  <si>
    <t>4_all_subs_pc_mean__yd_0</t>
  </si>
  <si>
    <t>4_all_elec_noST_pc_beneficiaries__yd_0</t>
  </si>
  <si>
    <t>4_all_elec_noST_pc_benefits__yd_0</t>
  </si>
  <si>
    <t>4_all_elec_noST_pc_coverage__yd_0</t>
  </si>
  <si>
    <t>4_all_elec_noST_pc_mean__yd_0</t>
  </si>
  <si>
    <t>4_all_elec_pc_beneficiaries__yd_0</t>
  </si>
  <si>
    <t>4_all_elec_pc_benefits__yd_0</t>
  </si>
  <si>
    <t>4_all_elec_pc_coverage__yd_0</t>
  </si>
  <si>
    <t>4_all_elec_pc_mean__yd_0</t>
  </si>
  <si>
    <t>4_all_fuel_pc_beneficiaries__yd_0</t>
  </si>
  <si>
    <t>4_all_fuel_pc_benefits__yd_0</t>
  </si>
  <si>
    <t>4_all_fuel_pc_coverage__yd_0</t>
  </si>
  <si>
    <t>4_all_fuel_pc_mean__yd_0</t>
  </si>
  <si>
    <t>4_subsidy_fuel_pc_beneficiaries__yd_0</t>
  </si>
  <si>
    <t>4_subsidy_fuel_pc_benefits__yd_0</t>
  </si>
  <si>
    <t>4_subsidy_fuel_pc_coverage__yd_0</t>
  </si>
  <si>
    <t>4_subsidy_fuel_pc_mean__yd_0</t>
  </si>
  <si>
    <t>4_subsidy_elec_direct_pc_beneficiaries__yd_0</t>
  </si>
  <si>
    <t>4_subsidy_elec_direct_pc_benefits__yd_0</t>
  </si>
  <si>
    <t>4_subsidy_elec_direct_pc_coverage__yd_0</t>
  </si>
  <si>
    <t>4_subsidy_elec_direct_pc_mean__yd_0</t>
  </si>
  <si>
    <t>4_subsidy_elec_indirect_pc_beneficiaries__yd_0</t>
  </si>
  <si>
    <t>4_subsidy_elec_indirect_pc_benefits__yd_0</t>
  </si>
  <si>
    <t>4_subsidy_elec_indirect_pc_coverage__yd_0</t>
  </si>
  <si>
    <t>4_subsidy_elec_indirect_pc_mean__yd_0</t>
  </si>
  <si>
    <t>4_subsidy_elec_pc_beneficiaries__yd_0</t>
  </si>
  <si>
    <t>4_subsidy_elec_pc_benefits__yd_0</t>
  </si>
  <si>
    <t>4_subsidy_elec_pc_coverage__yd_0</t>
  </si>
  <si>
    <t>4_subsidy_elec_pc_mean__yd_0</t>
  </si>
  <si>
    <t>4_vat_elec_pc_beneficiaries__yd_0</t>
  </si>
  <si>
    <t>4_vat_elec_pc_benefits__yd_0</t>
  </si>
  <si>
    <t>4_vat_elec_pc_coverage__yd_0</t>
  </si>
  <si>
    <t>4_vat_elec_pc_mean__yd_0</t>
  </si>
  <si>
    <t>4_vat_fuel_pc_beneficiaries__yd_0</t>
  </si>
  <si>
    <t>4_vat_fuel_pc_benefits__yd_0</t>
  </si>
  <si>
    <t>4_vat_fuel_pc_coverage__yd_0</t>
  </si>
  <si>
    <t>4_vat_fuel_pc_mean__yd_0</t>
  </si>
  <si>
    <t>4_am_new_pnbsf_pc_beneficiaries__yd_0</t>
  </si>
  <si>
    <t>4_am_new_pnbsf_pc_benefits__yd_0</t>
  </si>
  <si>
    <t>4_am_new_pnbsf_pc_coverage__yd_0</t>
  </si>
  <si>
    <t>4_am_new_pnbsf_pc_mean__yd_0</t>
  </si>
  <si>
    <t>4_yd_pc_gini__yd_0</t>
  </si>
  <si>
    <t>4_yd_pc_theil__yd_0</t>
  </si>
  <si>
    <t>4_inc_am_new_pnbsf_gini__yd_0</t>
  </si>
  <si>
    <t>4_inc_am_new_pnbsf_theil__yd_0</t>
  </si>
  <si>
    <t>4_inc_am_new_pnbsf_fgt0__yd_0</t>
  </si>
  <si>
    <t>4_inc_am_new_pnbsf_fgt1__yd_0</t>
  </si>
  <si>
    <t>4_inc_am_new_pnbsf_fgt2__yd_0</t>
  </si>
  <si>
    <t>4_inc_am_delayed_pnbsf_gini__yd_0</t>
  </si>
  <si>
    <t>4_inc_am_delayed_pnbsf_theil__yd_0</t>
  </si>
  <si>
    <t>4_inc_am_delayed_pnbsf_fgt0__yd_0</t>
  </si>
  <si>
    <t>4_inc_am_delayed_pnbsf_fgt1__yd_0</t>
  </si>
  <si>
    <t>4_inc_am_delayed_pnbsf_fgt2__yd_0</t>
  </si>
  <si>
    <t>4_inc_social_tranche_gini__yd_0</t>
  </si>
  <si>
    <t>4_inc_social_tranche_theil__yd_0</t>
  </si>
  <si>
    <t>4_inc_social_tranche_fgt0__yd_0</t>
  </si>
  <si>
    <t>4_inc_social_tranche_fgt1__yd_0</t>
  </si>
  <si>
    <t>4_inc_social_tranche_fgt2__yd_0</t>
  </si>
  <si>
    <t>4_inc_subs_public_transport_gini__yd_0</t>
  </si>
  <si>
    <t>4_inc_subs_public_transport_theil__yd_0</t>
  </si>
  <si>
    <t>4_inc_subs_public_transport_fgt0__yd_0</t>
  </si>
  <si>
    <t>4_inc_subs_public_transport_fgt1__yd_0</t>
  </si>
  <si>
    <t>4_inc_subs_public_transport_fgt2__yd_0</t>
  </si>
  <si>
    <t>4_inc_am_pnbsf_transferinc_gini__yd_0</t>
  </si>
  <si>
    <t>4_inc_am_pnbsf_transferinc_theil__yd_0</t>
  </si>
  <si>
    <t>4_inc_am_pnbsf_transferinc_fgt0__yd_0</t>
  </si>
  <si>
    <t>4_inc_am_pnbsf_transferinc_fgt1__yd_0</t>
  </si>
  <si>
    <t>4_inc_am_pnbsf_transferinc_fgt2__yd_0</t>
  </si>
  <si>
    <t>4_inc_am_pnbsf_newbenefs_gini__yd_0</t>
  </si>
  <si>
    <t>4_inc_am_pnbsf_newbenefs_theil__yd_0</t>
  </si>
  <si>
    <t>4_inc_am_pnbsf_newbenefs_fgt0__yd_0</t>
  </si>
  <si>
    <t>4_inc_am_pnbsf_newbenefs_fgt1__yd_0</t>
  </si>
  <si>
    <t>4_inc_am_pnbsf_newbenefs_fgt2__yd_0</t>
  </si>
  <si>
    <t>4_inc_all_miti_gini__yd_0</t>
  </si>
  <si>
    <t>4_inc_all_miti_theil__yd_0</t>
  </si>
  <si>
    <t>4_inc_all_miti_fgt0__yd_0</t>
  </si>
  <si>
    <t>4_inc_all_miti_fgt1__yd_0</t>
  </si>
  <si>
    <t>4_inc_all_miti_fgt2__yd_0</t>
  </si>
  <si>
    <t>4_inc_all_miti_noST_gini__yd_0</t>
  </si>
  <si>
    <t>4_inc_all_miti_noST_theil__yd_0</t>
  </si>
  <si>
    <t>4_inc_all_miti_noST_fgt0__yd_0</t>
  </si>
  <si>
    <t>4_inc_all_miti_noST_fgt1__yd_0</t>
  </si>
  <si>
    <t>4_inc_all_miti_noST_fgt2__yd_0</t>
  </si>
  <si>
    <t>4_inc_all_policies_miti_gini__yd_0</t>
  </si>
  <si>
    <t>4_inc_all_policies_miti_theil__yd_0</t>
  </si>
  <si>
    <t>4_inc_all_policies_miti_fgt0__yd_0</t>
  </si>
  <si>
    <t>4_inc_all_policies_miti_fgt1__yd_0</t>
  </si>
  <si>
    <t>4_inc_all_policies_miti_fgt2__yd_0</t>
  </si>
  <si>
    <t>4_inc_all_policies_noST_gini__yd_0</t>
  </si>
  <si>
    <t>4_inc_all_policies_noST_theil__yd_0</t>
  </si>
  <si>
    <t>4_inc_all_policies_noST_fgt0__yd_0</t>
  </si>
  <si>
    <t>4_inc_all_policies_noST_fgt1__yd_0</t>
  </si>
  <si>
    <t>4_inc_all_policies_noST_fgt2__yd_0</t>
  </si>
  <si>
    <t>4_yd_pc_fgt0__yd_0</t>
  </si>
  <si>
    <t>4_yd_pc_fgt1__yd_0</t>
  </si>
  <si>
    <t>4_yd_pc_fgt2__yd_0</t>
  </si>
  <si>
    <t>4_inc_vat_elec_gini__yd_0</t>
  </si>
  <si>
    <t>4_inc_vat_elec_theil__yd_0</t>
  </si>
  <si>
    <t>4_inc_all_policies_gini__yd_0</t>
  </si>
  <si>
    <t>4_inc_all_policies_theil__yd_0</t>
  </si>
  <si>
    <t>4_inc_all_policies_fgt0__yd_0</t>
  </si>
  <si>
    <t>4_inc_all_policies_fgt1__yd_0</t>
  </si>
  <si>
    <t>4_inc_all_policies_fgt2__yd_0</t>
  </si>
  <si>
    <t>4_inc_all_tax_gini__yd_0</t>
  </si>
  <si>
    <t>4_inc_all_tax_theil__yd_0</t>
  </si>
  <si>
    <t>4_inc_all_tax_fgt0__yd_0</t>
  </si>
  <si>
    <t>4_inc_all_tax_fgt1__yd_0</t>
  </si>
  <si>
    <t>4_inc_all_tax_fgt2__yd_0</t>
  </si>
  <si>
    <t>4_inc_all_subs_noST_gini__yd_0</t>
  </si>
  <si>
    <t>4_inc_all_subs_noST_theil__yd_0</t>
  </si>
  <si>
    <t>4_inc_all_subs_noST_fgt0__yd_0</t>
  </si>
  <si>
    <t>4_inc_all_subs_noST_fgt1__yd_0</t>
  </si>
  <si>
    <t>4_inc_all_subs_noST_fgt2__yd_0</t>
  </si>
  <si>
    <t>4_inc_all_subs_gini__yd_0</t>
  </si>
  <si>
    <t>4_inc_all_subs_theil__yd_0</t>
  </si>
  <si>
    <t>4_inc_all_subs_fgt0__yd_0</t>
  </si>
  <si>
    <t>4_inc_all_subs_fgt1__yd_0</t>
  </si>
  <si>
    <t>4_inc_all_subs_fgt2__yd_0</t>
  </si>
  <si>
    <t>4_inc_all_elec_noST_gini__yd_0</t>
  </si>
  <si>
    <t>4_inc_all_elec_noST_theil__yd_0</t>
  </si>
  <si>
    <t>4_inc_all_elec_noST_fgt0__yd_0</t>
  </si>
  <si>
    <t>4_inc_all_elec_noST_fgt1__yd_0</t>
  </si>
  <si>
    <t>4_inc_all_elec_noST_fgt2__yd_0</t>
  </si>
  <si>
    <t>4_inc_all_elec_gini__yd_0</t>
  </si>
  <si>
    <t>4_inc_all_elec_theil__yd_0</t>
  </si>
  <si>
    <t>4_inc_all_elec_fgt0__yd_0</t>
  </si>
  <si>
    <t>4_inc_all_elec_fgt1__yd_0</t>
  </si>
  <si>
    <t>4_inc_all_elec_fgt2__yd_0</t>
  </si>
  <si>
    <t>4_inc_all_fuel_gini__yd_0</t>
  </si>
  <si>
    <t>4_inc_all_fuel_theil__yd_0</t>
  </si>
  <si>
    <t>4_inc_all_fuel_fgt0__yd_0</t>
  </si>
  <si>
    <t>4_inc_all_fuel_fgt1__yd_0</t>
  </si>
  <si>
    <t>4_inc_all_fuel_fgt2__yd_0</t>
  </si>
  <si>
    <t>4_inc_vat_elec_fgt0__yd_0</t>
  </si>
  <si>
    <t>4_inc_vat_elec_fgt1__yd_0</t>
  </si>
  <si>
    <t>4_inc_vat_elec_fgt2__yd_0</t>
  </si>
  <si>
    <t>4_inc_vat_fuel_gini__yd_0</t>
  </si>
  <si>
    <t>4_inc_vat_fuel_theil__yd_0</t>
  </si>
  <si>
    <t>4_inc_vat_fuel_fgt0__yd_0</t>
  </si>
  <si>
    <t>4_inc_vat_fuel_fgt1__yd_0</t>
  </si>
  <si>
    <t>4_inc_vat_fuel_fgt2__yd_0</t>
  </si>
  <si>
    <t>4_inc_subsidy_fuel_direct_gini__yd_0</t>
  </si>
  <si>
    <t>4_inc_subsidy_fuel_direct_theil__yd_0</t>
  </si>
  <si>
    <t>4_inc_subsidy_fuel_direct_fgt0__yd_0</t>
  </si>
  <si>
    <t>4_inc_subsidy_fuel_direct_fgt1__yd_0</t>
  </si>
  <si>
    <t>4_inc_subsidy_fuel_direct_fgt2__yd_0</t>
  </si>
  <si>
    <t>4_inc_subsidy_fuel_indirect_gini__yd_0</t>
  </si>
  <si>
    <t>4_inc_subsidy_fuel_indirect_theil__yd_0</t>
  </si>
  <si>
    <t>4_inc_subsidy_fuel_indirect_fgt0__yd_0</t>
  </si>
  <si>
    <t>4_inc_subsidy_fuel_indirect_fgt1__yd_0</t>
  </si>
  <si>
    <t>4_inc_subsidy_fuel_indirect_fgt2__yd_0</t>
  </si>
  <si>
    <t>4_inc_subsidy_fuel_gini__yd_0</t>
  </si>
  <si>
    <t>4_inc_subsidy_fuel_theil__yd_0</t>
  </si>
  <si>
    <t>4_inc_subsidy_fuel_fgt0__yd_0</t>
  </si>
  <si>
    <t>4_inc_subsidy_fuel_fgt1__yd_0</t>
  </si>
  <si>
    <t>4_inc_subsidy_fuel_fgt2__yd_0</t>
  </si>
  <si>
    <t>4_inc_subsidy_elec_direct_gini__yd_0</t>
  </si>
  <si>
    <t>4_inc_subsidy_elec_direct_theil__yd_0</t>
  </si>
  <si>
    <t>4_inc_subsidy_elec_direct_fgt0__yd_0</t>
  </si>
  <si>
    <t>4_inc_subsidy_elec_direct_fgt1__yd_0</t>
  </si>
  <si>
    <t>4_inc_subsidy_elec_direct_fgt2__yd_0</t>
  </si>
  <si>
    <t>4_inc_subsidy_elec_indirect_gini__yd_0</t>
  </si>
  <si>
    <t>4_inc_subsidy_elec_indirect_theil__yd_0</t>
  </si>
  <si>
    <t>4_inc_subsidy_elec_indirect_fgt0__yd_0</t>
  </si>
  <si>
    <t>4_inc_subsidy_elec_indirect_fgt1__yd_0</t>
  </si>
  <si>
    <t>4_inc_subsidy_elec_indirect_fgt2__yd_0</t>
  </si>
  <si>
    <t>4_inc_subsidy_elec_gini__yd_0</t>
  </si>
  <si>
    <t>4_inc_subsidy_elec_theil__yd_0</t>
  </si>
  <si>
    <t>4_inc_subsidy_elec_fgt0__yd_0</t>
  </si>
  <si>
    <t>4_inc_subsidy_elec_fgt1__yd_0</t>
  </si>
  <si>
    <t>4_inc_subsidy_elec_fgt2__yd_0</t>
  </si>
  <si>
    <t>yd_deciles_pc</t>
  </si>
  <si>
    <t>measure</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</si>
  <si>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</si>
  <si>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</si>
  <si>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</si>
  <si>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</si>
  <si>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</si>
  <si>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</si>
  <si>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</si>
  <si>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</si>
  <si>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</si>
  <si>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</si>
  <si>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</si>
  <si>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</si>
  <si>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</si>
  <si>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</si>
  <si>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</si>
  <si>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</si>
  <si>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</si>
  <si>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</si>
  <si>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</si>
  <si>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</si>
  <si>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</si>
  <si>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</si>
  <si>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</si>
  <si>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</si>
  <si>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</si>
  <si>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</si>
  <si>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</si>
  <si>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</si>
  <si>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</si>
  <si>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</si>
  <si>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</si>
  <si>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</si>
  <si>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</si>
  <si>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</si>
  <si>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</si>
  <si>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</si>
  <si>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</si>
  <si>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</si>
  <si>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</si>
  <si>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</si>
  <si>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</si>
  <si>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</si>
  <si>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</si>
  <si>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</si>
  <si>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</si>
  <si>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</si>
  <si>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</si>
  <si>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</si>
  <si>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</si>
  <si>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</si>
  <si>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</si>
  <si>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</si>
  <si>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</si>
  <si>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</si>
  <si>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</si>
  <si>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</si>
  <si>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</si>
  <si>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</si>
  <si>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</si>
  <si>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</si>
  <si>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</si>
  <si>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</si>
  <si>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</si>
  <si>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</si>
  <si>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</si>
  <si>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</si>
  <si>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</si>
  <si>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</si>
  <si>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</si>
  <si>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</si>
  <si>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</si>
  <si>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</si>
  <si>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</si>
  <si>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</si>
  <si>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</si>
  <si>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</si>
  <si>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</si>
  <si>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</si>
  <si>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</si>
  <si>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</si>
  <si>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</si>
  <si>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</si>
  <si>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</si>
  <si>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</si>
  <si>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</si>
  <si>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</si>
  <si>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</si>
  <si>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</si>
  <si>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</si>
  <si>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</si>
  <si>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</si>
  <si>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</si>
  <si>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</si>
  <si>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</si>
  <si>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</si>
  <si>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</si>
  <si>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</si>
  <si>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</si>
  <si>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</si>
  <si>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</si>
  <si>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</si>
  <si>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</si>
  <si>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</si>
  <si>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</si>
  <si>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</si>
  <si>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</si>
  <si>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</si>
  <si>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</si>
  <si>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</si>
  <si>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</si>
  <si>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</si>
  <si>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</si>
  <si>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</si>
  <si>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</si>
  <si>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</si>
  <si>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</si>
  <si>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</si>
  <si>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</si>
  <si>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</si>
  <si>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</si>
  <si>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</si>
  <si>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</si>
  <si>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</si>
  <si>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</si>
  <si>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</si>
  <si>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</si>
  <si>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</si>
  <si>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</si>
  <si>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</si>
  <si>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</si>
  <si>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</si>
  <si>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</si>
  <si>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</si>
  <si>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</si>
  <si>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</si>
  <si>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</si>
  <si>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</si>
  <si>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</si>
  <si>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</si>
  <si>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</si>
  <si>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</si>
  <si>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</si>
  <si>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</si>
  <si>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</si>
  <si>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</si>
  <si>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</si>
  <si>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</si>
  <si>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</si>
  <si>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</si>
  <si>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</si>
  <si>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</si>
  <si>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</si>
  <si>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</si>
  <si>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</si>
  <si>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</si>
  <si>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</si>
  <si>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</si>
  <si>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</si>
  <si>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</si>
  <si>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</si>
  <si>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</si>
  <si>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</si>
  <si>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</si>
  <si>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</si>
  <si>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</si>
  <si>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</si>
  <si>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</si>
  <si>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</si>
  <si>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</si>
  <si>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</si>
  <si>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</si>
  <si>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</si>
  <si>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</si>
  <si>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</si>
  <si>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</si>
  <si>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</si>
  <si>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</si>
  <si>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</si>
  <si>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</si>
  <si>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</si>
  <si>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</si>
  <si>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</si>
  <si>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</si>
  <si>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</si>
  <si>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</si>
  <si>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</si>
  <si>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</si>
  <si>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</si>
  <si>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</si>
  <si>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</si>
  <si>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</si>
  <si>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</si>
  <si>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</si>
  <si>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</si>
  <si>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</si>
  <si>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</si>
  <si>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</si>
  <si>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</si>
  <si>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</si>
  <si>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</si>
  <si>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</si>
  <si>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</si>
  <si>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</si>
  <si>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</si>
  <si>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</si>
  <si>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</si>
  <si>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</si>
  <si>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</si>
  <si>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</si>
  <si>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</si>
  <si>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</si>
  <si>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</si>
  <si>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</si>
  <si>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</si>
  <si>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</si>
  <si>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</si>
  <si>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</si>
  <si>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</si>
  <si>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</si>
  <si>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</si>
  <si>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</si>
  <si>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</si>
  <si>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</si>
  <si>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</si>
  <si>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</si>
  <si>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</si>
  <si>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</si>
  <si>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</si>
  <si>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</si>
  <si>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</si>
  <si>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</si>
  <si>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</si>
  <si>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</si>
  <si>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</si>
  <si>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</si>
  <si>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</si>
  <si>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</si>
  <si>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</si>
  <si>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</si>
  <si>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</si>
  <si>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</si>
  <si>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</si>
  <si>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</si>
  <si>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</si>
  <si>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</si>
  <si>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</si>
  <si>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</si>
  <si>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</si>
  <si>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</si>
  <si>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</si>
  <si>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</si>
  <si>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</si>
  <si>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</si>
  <si>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</si>
  <si>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</si>
  <si>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</si>
  <si>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</si>
  <si>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</si>
  <si>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</si>
  <si>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</si>
  <si>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</si>
  <si>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</si>
  <si>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</si>
  <si>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</si>
  <si>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</si>
  <si>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</si>
  <si>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</si>
  <si>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</si>
  <si>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</si>
  <si>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</si>
  <si>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</si>
  <si>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</si>
  <si>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</si>
  <si>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</si>
  <si>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</si>
  <si>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</si>
  <si>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</si>
  <si>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</si>
  <si>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</si>
  <si>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</si>
  <si>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</si>
  <si>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</si>
  <si>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</si>
  <si>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</si>
  <si>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</si>
  <si>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</si>
  <si>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</si>
  <si>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</si>
  <si>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</si>
  <si>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</si>
  <si>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</si>
  <si>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</si>
  <si>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</si>
  <si>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</si>
  <si>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</si>
  <si>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</si>
  <si>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</si>
  <si>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</si>
  <si>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</si>
  <si>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</si>
  <si>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</si>
  <si>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</si>
  <si>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</si>
  <si>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</si>
  <si>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</si>
  <si>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</si>
  <si>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</si>
  <si>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</si>
  <si>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</si>
  <si>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</si>
  <si>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</si>
  <si>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</si>
  <si>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</si>
  <si>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</si>
  <si>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</si>
  <si>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</si>
  <si>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</si>
  <si>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</si>
  <si>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</si>
  <si>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</si>
  <si>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</si>
  <si>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</si>
  <si>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</si>
  <si>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</si>
  <si>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</si>
  <si>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</si>
  <si>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</si>
  <si>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</si>
  <si>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</si>
  <si>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</si>
  <si>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</si>
  <si>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</si>
  <si>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</si>
  <si>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</si>
  <si>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</si>
  <si>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</si>
  <si>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</si>
  <si>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</si>
  <si>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</si>
  <si>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</si>
  <si>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</si>
  <si>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</si>
  <si>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</si>
  <si>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</si>
  <si>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</si>
  <si>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</si>
  <si>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</si>
  <si>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</si>
  <si>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</si>
  <si>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</si>
  <si>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</si>
  <si>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</si>
  <si>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</si>
  <si>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</si>
  <si>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</si>
  <si>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</si>
  <si>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</si>
  <si>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</si>
  <si>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</si>
  <si>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</si>
  <si>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</si>
  <si>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</si>
  <si>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</si>
  <si>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</si>
  <si>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</si>
  <si>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</si>
  <si>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</si>
  <si>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</si>
  <si>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</si>
  <si>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</si>
  <si>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</si>
  <si>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</si>
  <si>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</si>
  <si>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</si>
  <si>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</si>
  <si>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</si>
  <si>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</si>
  <si>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</si>
  <si>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</si>
  <si>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</si>
  <si>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</si>
  <si>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</si>
  <si>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</si>
  <si>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</si>
  <si>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</si>
  <si>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</si>
  <si>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</si>
  <si>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</si>
  <si>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</si>
  <si>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</si>
  <si>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</si>
  <si>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</si>
  <si>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</si>
  <si>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</si>
  <si>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</si>
  <si>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</si>
  <si>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</si>
  <si>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</si>
  <si>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</si>
  <si>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</si>
  <si>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</si>
  <si>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</si>
  <si>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</si>
  <si>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</si>
  <si>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</si>
  <si>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</si>
  <si>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</si>
  <si>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</si>
  <si>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</si>
  <si>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</si>
  <si>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</si>
  <si>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</si>
  <si>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</si>
  <si>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</si>
  <si>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</si>
  <si>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</si>
  <si>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</si>
  <si>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</si>
  <si>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</si>
  <si>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</si>
  <si>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</si>
  <si>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</si>
  <si>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</si>
  <si>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</si>
  <si>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</si>
  <si>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</si>
  <si>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</si>
  <si>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</si>
  <si>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</si>
  <si>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</si>
  <si>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</si>
  <si>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</si>
  <si>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</si>
  <si>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</si>
  <si>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</si>
  <si>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</si>
  <si>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</si>
  <si>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</si>
  <si>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</si>
  <si>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</si>
  <si>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</si>
  <si>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</si>
  <si>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</si>
  <si>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</si>
  <si>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</si>
  <si>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</si>
  <si>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</si>
  <si>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</si>
  <si>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</si>
  <si>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</si>
  <si>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</si>
  <si>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</si>
  <si>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</si>
  <si>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</si>
  <si>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</si>
  <si>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</si>
  <si>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</si>
  <si>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</si>
  <si>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</si>
  <si>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</si>
  <si>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</si>
  <si>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</si>
  <si>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</si>
  <si>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</si>
  <si>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</si>
  <si>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</si>
  <si>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</si>
  <si>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</si>
  <si>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</si>
  <si>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</si>
  <si>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</si>
  <si>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</si>
  <si>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</si>
  <si>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</si>
  <si>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</si>
  <si>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</si>
  <si>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</si>
  <si>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</si>
  <si>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</si>
  <si>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</si>
  <si>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</si>
  <si>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</si>
  <si>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</si>
  <si>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</si>
  <si>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</si>
  <si>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</si>
  <si>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</si>
  <si>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</si>
  <si>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</si>
  <si>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</si>
  <si>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</si>
  <si>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</si>
  <si>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</si>
  <si>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</si>
  <si>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</si>
  <si>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</si>
  <si>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</si>
  <si>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</si>
  <si>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</si>
  <si>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</si>
  <si>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</si>
  <si>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</si>
  <si>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</si>
  <si>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</si>
  <si>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</si>
  <si>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</si>
  <si>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</si>
  <si>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</si>
  <si>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</si>
  <si>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</si>
  <si>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</si>
  <si>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</si>
  <si>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</si>
  <si>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</si>
  <si>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</si>
  <si>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</si>
  <si>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</si>
  <si>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</si>
  <si>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</si>
  <si>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</si>
  <si>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</si>
  <si>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</si>
  <si>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</si>
  <si>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</si>
  <si>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</si>
  <si>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</si>
  <si>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</si>
  <si>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</si>
  <si>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</si>
  <si>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</si>
  <si>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</si>
  <si>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</si>
  <si>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</si>
  <si>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</si>
  <si>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</si>
  <si>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</si>
  <si>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</si>
  <si>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</si>
  <si>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</si>
  <si>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</si>
  <si>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</si>
  <si>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</si>
  <si>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</si>
  <si>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</si>
  <si>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</si>
  <si>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</si>
  <si>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</si>
  <si>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</si>
  <si>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</si>
  <si>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</si>
  <si>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</si>
  <si>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</si>
  <si>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</si>
  <si>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</si>
  <si>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</si>
  <si>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</si>
  <si>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</si>
  <si>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</si>
  <si>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</si>
  <si>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</si>
  <si>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</si>
  <si>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</si>
  <si>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</si>
  <si>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</si>
  <si>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</si>
  <si>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</si>
  <si>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</si>
  <si>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</si>
  <si>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</si>
  <si>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</si>
  <si>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</si>
  <si>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</si>
  <si>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</si>
  <si>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</si>
  <si>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</si>
  <si>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</si>
  <si>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</si>
  <si>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</si>
  <si>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</si>
  <si>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</si>
  <si>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</si>
  <si>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</si>
  <si>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</si>
  <si>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</si>
  <si>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</si>
  <si>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</si>
  <si>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</si>
  <si>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</si>
  <si>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</si>
  <si>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</si>
  <si>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</si>
  <si>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</si>
  <si>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</si>
  <si>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</si>
  <si>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</si>
  <si>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</si>
  <si>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</si>
  <si>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</si>
  <si>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</si>
  <si>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</si>
  <si>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</si>
  <si>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</si>
  <si>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</si>
  <si>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</si>
  <si>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</si>
  <si>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</si>
  <si>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</si>
  <si>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</si>
  <si>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</si>
  <si>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</si>
  <si>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</si>
  <si>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</si>
  <si>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</si>
  <si>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</si>
  <si>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</si>
  <si>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</si>
  <si>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</si>
  <si>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</si>
  <si>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</si>
  <si>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</si>
  <si>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</si>
  <si>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</si>
  <si>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</si>
  <si>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</si>
  <si>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</si>
  <si>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</si>
  <si>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</si>
  <si>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</si>
  <si>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</si>
  <si>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</si>
  <si>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</si>
  <si>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</si>
  <si>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</si>
  <si>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</si>
  <si>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</si>
  <si>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</si>
  <si>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</si>
  <si>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</si>
  <si>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</si>
  <si>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</si>
  <si>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</si>
  <si>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</si>
  <si>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</si>
  <si>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</si>
  <si>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</si>
  <si>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</si>
  <si>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</si>
  <si>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</si>
  <si>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</si>
  <si>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</si>
  <si>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</si>
  <si>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</si>
  <si>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</si>
  <si>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</si>
  <si>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</si>
  <si>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</si>
  <si>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</si>
  <si>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</si>
  <si>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</si>
  <si>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</si>
  <si>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</si>
  <si>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</si>
  <si>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</si>
  <si>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</si>
  <si>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</si>
  <si>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</si>
  <si>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</si>
  <si>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</si>
  <si>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</si>
  <si>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</si>
  <si>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</si>
  <si>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</si>
  <si>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</si>
  <si>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</si>
  <si>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</si>
  <si>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</si>
  <si>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</si>
  <si>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</si>
  <si>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</si>
  <si>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</si>
  <si>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</si>
  <si>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</si>
  <si>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</si>
  <si>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</si>
  <si>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</si>
  <si>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</si>
  <si>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</si>
  <si>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</si>
  <si>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</si>
  <si>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</si>
  <si>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</si>
  <si>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</si>
  <si>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</si>
  <si>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</si>
  <si>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</si>
  <si>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</si>
  <si>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</si>
  <si>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</si>
  <si>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</si>
  <si>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</si>
  <si>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</si>
  <si>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</si>
  <si>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</si>
  <si>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</si>
  <si>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</si>
  <si>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</si>
  <si>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</si>
  <si>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</si>
  <si>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</si>
  <si>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</si>
  <si>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</si>
  <si>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</si>
  <si>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</si>
  <si>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</si>
  <si>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</si>
  <si>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</si>
  <si>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</si>
  <si>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</si>
  <si>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</si>
  <si>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</si>
  <si>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</si>
  <si>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</si>
  <si>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</si>
  <si>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</si>
  <si>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</si>
  <si>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</si>
  <si>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</si>
  <si>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</si>
  <si>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</si>
  <si>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</si>
  <si>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</si>
  <si>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</si>
  <si>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</si>
  <si>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</si>
  <si>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</si>
  <si>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</si>
  <si>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</si>
  <si>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</si>
  <si>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</si>
  <si>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</si>
  <si>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</si>
  <si>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</si>
  <si>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</si>
  <si>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</si>
  <si>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</si>
  <si>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</si>
  <si>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</si>
  <si>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</si>
  <si>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</si>
  <si>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</si>
  <si>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</si>
  <si>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</si>
  <si>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</si>
  <si>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</si>
  <si>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</si>
  <si>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</si>
  <si>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</si>
  <si>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</si>
  <si>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</si>
  <si>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</si>
  <si>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</si>
  <si>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</si>
  <si>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</si>
  <si>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</si>
  <si>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</si>
  <si>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</si>
  <si>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</si>
  <si>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</si>
  <si>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</si>
  <si>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</si>
  <si>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</si>
  <si>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</si>
  <si>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</si>
  <si>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</si>
  <si>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</si>
  <si>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</si>
  <si>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</si>
  <si>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</si>
  <si>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</si>
  <si>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</si>
  <si>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</si>
  <si>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</si>
  <si>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</si>
  <si>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</si>
  <si>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</si>
  <si>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</si>
  <si>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</si>
  <si>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</si>
  <si>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</si>
  <si>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</si>
  <si>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</si>
  <si>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</si>
  <si>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</si>
  <si>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</si>
  <si>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</si>
  <si>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</si>
  <si>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</si>
  <si>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</si>
  <si>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</si>
  <si>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</si>
  <si>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</si>
  <si>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</si>
  <si>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</si>
  <si>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</si>
  <si>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</si>
  <si>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</si>
  <si>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</si>
  <si>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</si>
  <si>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</si>
  <si>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</si>
  <si>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</si>
  <si>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</si>
  <si>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</si>
  <si>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</si>
  <si>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</si>
  <si>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</si>
  <si>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</si>
  <si>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</si>
  <si>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</si>
  <si>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</si>
  <si>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</si>
  <si>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</si>
  <si>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</si>
  <si>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</si>
  <si>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</si>
  <si>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</si>
  <si>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</si>
  <si>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</si>
  <si>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</si>
  <si>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</si>
  <si>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</si>
  <si>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</si>
  <si>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</si>
  <si>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</si>
  <si>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</si>
  <si>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</si>
  <si>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</si>
  <si>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</si>
  <si>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</si>
  <si>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</si>
  <si>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</si>
  <si>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</si>
  <si>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</si>
  <si>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</si>
  <si>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</si>
  <si>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</si>
  <si>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</si>
  <si>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</si>
  <si>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</si>
  <si>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</si>
  <si>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</si>
  <si>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</si>
  <si>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</si>
  <si>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</si>
  <si>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</si>
  <si>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</si>
  <si>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</si>
  <si>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</si>
  <si>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</si>
  <si>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</si>
  <si>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</si>
  <si>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</si>
  <si>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</si>
  <si>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</si>
  <si>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</si>
  <si>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</si>
  <si>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</si>
  <si>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</si>
  <si>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</si>
  <si>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</si>
  <si>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</si>
  <si>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</si>
  <si>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</si>
  <si>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</si>
  <si>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</si>
  <si>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</si>
  <si>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</si>
  <si>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</si>
  <si>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</si>
  <si>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</si>
  <si>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</si>
  <si>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</si>
  <si>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</si>
  <si>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</si>
  <si>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</si>
  <si>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</si>
  <si>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</si>
  <si>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</si>
  <si>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</si>
  <si>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</si>
  <si>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</si>
  <si>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</si>
  <si>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</si>
  <si>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</si>
  <si>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</si>
  <si>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</si>
  <si>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</si>
  <si>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</si>
  <si>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</si>
  <si>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</si>
  <si>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</si>
  <si>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</si>
  <si>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</si>
  <si>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</si>
  <si>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</si>
  <si>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</si>
  <si>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</si>
  <si>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</si>
  <si>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</si>
  <si>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</si>
  <si>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</si>
  <si>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</si>
  <si>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</si>
  <si>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</si>
  <si>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</si>
  <si>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</si>
  <si>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</si>
  <si>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</si>
  <si>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</si>
  <si>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</si>
  <si>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</si>
  <si>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</si>
  <si>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</si>
  <si>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</si>
  <si>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</si>
  <si>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</si>
  <si>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</si>
  <si>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</si>
  <si>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</si>
  <si>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</si>
  <si>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</si>
  <si>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</si>
  <si>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</si>
  <si>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</si>
  <si>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</si>
  <si>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</si>
  <si>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</si>
  <si>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</si>
  <si>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</si>
  <si>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</si>
  <si>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</si>
  <si>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</si>
  <si>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</si>
  <si>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</si>
  <si>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</si>
  <si>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</si>
  <si>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</si>
  <si>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</si>
  <si>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</si>
  <si>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</si>
  <si>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</si>
  <si>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</si>
  <si>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</si>
  <si>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</si>
  <si>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</si>
  <si>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</si>
  <si>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</si>
  <si>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</si>
  <si>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</si>
  <si>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</si>
  <si>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</si>
  <si>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</si>
  <si>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</si>
  <si>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</si>
  <si>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</si>
  <si>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</si>
  <si>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</si>
  <si>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</si>
  <si>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</si>
  <si>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</si>
  <si>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</si>
  <si>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</si>
  <si>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</si>
  <si>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</si>
  <si>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</si>
  <si>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</si>
  <si>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</si>
  <si>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</si>
  <si>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</si>
  <si>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</si>
  <si>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</si>
  <si>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</si>
  <si>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</si>
  <si>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</si>
  <si>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</si>
  <si>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</si>
  <si>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</si>
  <si>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</si>
  <si>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</si>
  <si>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</si>
  <si>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</si>
  <si>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</si>
  <si>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</si>
  <si>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</si>
  <si>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</si>
  <si>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</si>
  <si>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</si>
  <si>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</si>
  <si>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</si>
  <si>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</si>
  <si>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</si>
  <si>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</si>
  <si>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</si>
  <si>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</si>
  <si>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</si>
  <si>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</si>
  <si>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</si>
  <si>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</si>
  <si>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</si>
  <si>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</si>
  <si>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</si>
  <si>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</si>
  <si>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</si>
  <si>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</si>
  <si>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</si>
  <si>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</si>
  <si>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</si>
  <si>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</si>
  <si>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</si>
  <si>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</si>
  <si>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</si>
  <si>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</si>
  <si>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</si>
  <si>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</si>
  <si>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</si>
  <si>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</si>
  <si>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</si>
  <si>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</si>
  <si>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</si>
  <si>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</si>
  <si>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</si>
  <si>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</si>
  <si>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</si>
  <si>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</si>
  <si>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</si>
  <si>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</si>
  <si>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</si>
  <si>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</si>
  <si>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</si>
  <si>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</si>
  <si>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</si>
  <si>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</si>
  <si>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</si>
  <si>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</si>
  <si>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</si>
  <si>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</si>
  <si>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</si>
  <si>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</si>
  <si>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</si>
  <si>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</si>
  <si>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</si>
  <si>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</si>
  <si>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</si>
  <si>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</si>
  <si>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</si>
  <si>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</si>
  <si>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</si>
  <si>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</si>
  <si>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</si>
  <si>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</si>
  <si>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</si>
  <si>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</si>
  <si>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</si>
  <si>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</si>
  <si>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</si>
  <si>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</si>
  <si>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</si>
  <si>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</si>
  <si>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</si>
  <si>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</si>
  <si>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</si>
  <si>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</si>
  <si>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</si>
  <si>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</si>
  <si>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</si>
  <si>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</si>
  <si>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</si>
  <si>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</si>
  <si>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</si>
  <si>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</si>
  <si>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</si>
  <si>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</si>
  <si>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</si>
  <si>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</si>
  <si>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</si>
  <si>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</si>
  <si>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</si>
  <si>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</si>
  <si>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</si>
  <si>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</si>
  <si>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</si>
  <si>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</si>
  <si>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</si>
  <si>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</si>
  <si>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</si>
  <si>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</si>
  <si>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</si>
  <si>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</si>
  <si>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</si>
  <si>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</si>
  <si>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</si>
  <si>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</si>
  <si>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</si>
  <si>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</si>
  <si>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</si>
  <si>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</si>
  <si>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</si>
  <si>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</si>
  <si>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</si>
  <si>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</si>
  <si>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</si>
  <si>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</si>
  <si>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</si>
  <si>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</si>
  <si>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</si>
  <si>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</si>
  <si>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</si>
  <si>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</si>
  <si>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</si>
  <si>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</si>
  <si>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</si>
  <si>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</si>
  <si>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</si>
  <si>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</si>
  <si>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</si>
  <si>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</si>
  <si>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</si>
  <si>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</si>
  <si>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</si>
  <si>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</si>
  <si>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</si>
  <si>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</si>
  <si>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</si>
  <si>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</si>
  <si>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</si>
  <si>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</si>
  <si>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</si>
  <si>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</si>
  <si>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</si>
  <si>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</si>
  <si>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</si>
  <si>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</si>
  <si>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</si>
  <si>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</si>
  <si>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</si>
  <si>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</si>
  <si>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</si>
  <si>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</si>
  <si>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</si>
  <si>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</si>
  <si>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</si>
  <si>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</si>
  <si>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</si>
  <si>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</si>
  <si>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</si>
  <si>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</si>
  <si>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</si>
  <si>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</si>
  <si>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</si>
  <si>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</si>
  <si>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</si>
  <si>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</si>
  <si>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</si>
  <si>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</si>
  <si>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</si>
  <si>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</si>
  <si>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</si>
  <si>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</si>
  <si>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</si>
  <si>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</si>
  <si>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</si>
  <si>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</si>
  <si>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</si>
  <si>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</si>
  <si>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</si>
  <si>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</si>
  <si>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</si>
  <si>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</si>
  <si>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</si>
  <si>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</si>
  <si>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</si>
  <si>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</si>
  <si>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</si>
  <si>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</si>
  <si>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</si>
  <si>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</si>
  <si>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</si>
  <si>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</si>
  <si>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</si>
  <si>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</si>
  <si>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</si>
  <si>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</si>
  <si>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</si>
  <si>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</si>
  <si>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</si>
  <si>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</si>
  <si>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</si>
  <si>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</si>
  <si>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</si>
  <si>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</si>
  <si>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</si>
  <si>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</si>
  <si>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</si>
  <si>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</si>
  <si>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</si>
  <si>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</si>
  <si>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</si>
  <si>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</si>
  <si>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</si>
  <si>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</si>
  <si>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</si>
  <si>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</si>
  <si>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</si>
  <si>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</si>
  <si>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</si>
  <si>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</si>
  <si>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</si>
  <si>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</si>
  <si>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</si>
  <si>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</si>
  <si>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</si>
  <si>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</si>
  <si>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</si>
  <si>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</si>
  <si>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</si>
  <si>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</si>
  <si>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</si>
  <si>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</si>
  <si>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</si>
  <si>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</si>
  <si>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</si>
  <si>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</si>
  <si>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</si>
  <si>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</si>
  <si>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</si>
  <si>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</si>
  <si>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</si>
  <si>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</si>
  <si>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</si>
  <si>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</si>
  <si>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</si>
  <si>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</si>
  <si>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</si>
  <si>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</si>
  <si>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</si>
  <si>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</si>
  <si>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</si>
  <si>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</si>
  <si>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</si>
  <si>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</si>
  <si>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</si>
  <si>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</si>
  <si>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</si>
  <si>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</si>
  <si>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</si>
  <si>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</si>
  <si>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</si>
  <si>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</si>
  <si>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</si>
  <si>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</si>
  <si>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</si>
  <si>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</si>
  <si>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</si>
  <si>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</si>
  <si>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</si>
  <si>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</si>
  <si>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</si>
  <si>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</si>
  <si>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</si>
  <si>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</si>
  <si>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</si>
  <si>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</si>
  <si>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</si>
  <si>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</si>
  <si>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</si>
  <si>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</si>
  <si>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</si>
  <si>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</si>
  <si>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</si>
  <si>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</si>
  <si>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</si>
  <si>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</si>
  <si>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</si>
  <si>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</si>
  <si>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</si>
  <si>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</si>
  <si>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</si>
  <si>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</si>
  <si>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</si>
  <si>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</si>
  <si>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</si>
  <si>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</si>
  <si>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</si>
  <si>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</si>
  <si>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</si>
  <si>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</si>
  <si>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</si>
  <si>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</si>
  <si>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</si>
  <si>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</si>
  <si>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</si>
  <si>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</si>
  <si>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</si>
  <si>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</si>
  <si>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</si>
  <si>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</si>
  <si>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</si>
  <si>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</si>
  <si>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</si>
  <si>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</si>
  <si>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</si>
  <si>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</si>
  <si>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</si>
  <si>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</si>
  <si>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</si>
  <si>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</si>
  <si>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</si>
  <si>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</si>
  <si>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</si>
  <si>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</si>
  <si>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</si>
  <si>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</si>
  <si>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</si>
  <si>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</si>
  <si>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</si>
  <si>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</si>
  <si>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</si>
  <si>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</si>
  <si>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</si>
  <si>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</si>
  <si>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</si>
  <si>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</si>
  <si>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</si>
  <si>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</si>
  <si>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</si>
  <si>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</si>
  <si>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</si>
  <si>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</si>
  <si>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</si>
  <si>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</si>
  <si>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</si>
  <si>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</si>
  <si>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</si>
  <si>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</si>
  <si>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</si>
  <si>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</si>
  <si>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</si>
  <si>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</si>
  <si>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</si>
  <si>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</si>
  <si>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</si>
  <si>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</si>
  <si>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</si>
  <si>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</si>
  <si>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</si>
  <si>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</si>
  <si>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</si>
  <si>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</si>
  <si>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</si>
  <si>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</si>
  <si>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</si>
  <si>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</si>
  <si>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</si>
  <si>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</si>
  <si>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</si>
  <si>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</si>
  <si>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</si>
  <si>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</si>
  <si>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</si>
  <si>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</si>
  <si>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</si>
  <si>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</si>
  <si>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</si>
  <si>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</si>
  <si>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</si>
  <si>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</si>
  <si>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</si>
  <si>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</si>
  <si>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</si>
  <si>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</si>
  <si>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</si>
  <si>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</si>
  <si>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</si>
  <si>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</si>
  <si>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</si>
  <si>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</si>
  <si>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</si>
  <si>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</si>
  <si>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</si>
  <si>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</si>
  <si>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</si>
  <si>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</si>
  <si>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</si>
  <si>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</si>
  <si>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</si>
  <si>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</si>
  <si>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</si>
  <si>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</si>
  <si>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</si>
  <si>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</si>
  <si>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</si>
  <si>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</si>
  <si>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</si>
  <si>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</si>
  <si>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</si>
  <si>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</si>
  <si>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</si>
  <si>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</si>
  <si>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</si>
  <si>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</si>
  <si>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</si>
  <si>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</si>
  <si>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</si>
  <si>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</si>
  <si>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</si>
  <si>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</si>
  <si>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</si>
  <si>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</si>
  <si>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</si>
  <si>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</si>
  <si>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</si>
  <si>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</si>
  <si>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</si>
  <si>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</si>
  <si>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</si>
  <si>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</si>
  <si>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</si>
  <si>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</si>
  <si>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</si>
  <si>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</si>
  <si>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</si>
  <si>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</si>
  <si>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</si>
  <si>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</si>
  <si>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</si>
  <si>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</si>
  <si>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</si>
  <si>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</si>
  <si>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</si>
  <si>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</si>
  <si>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</si>
  <si>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</si>
  <si>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</si>
  <si>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</si>
  <si>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</si>
  <si>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</si>
  <si>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</si>
  <si>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</si>
  <si>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</si>
  <si>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</si>
  <si>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</si>
  <si>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</si>
  <si>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</si>
  <si>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</si>
  <si>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</si>
  <si>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</si>
  <si>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</si>
  <si>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</si>
  <si>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</si>
  <si>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</si>
  <si>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</si>
  <si>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</si>
  <si>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</si>
  <si>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</si>
  <si>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</si>
  <si>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</si>
  <si>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</si>
  <si>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</si>
  <si>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</si>
  <si>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</si>
  <si>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</si>
  <si>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</si>
  <si>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</si>
  <si>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</si>
  <si>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</si>
  <si>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</si>
  <si>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</si>
  <si>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</si>
  <si>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</si>
  <si>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</si>
  <si>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</si>
  <si>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</si>
  <si>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</si>
  <si>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</si>
  <si>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</si>
  <si>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</si>
  <si>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</si>
  <si>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</si>
  <si>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</si>
  <si>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</si>
  <si>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</si>
  <si>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</si>
  <si>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</si>
  <si>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</si>
  <si>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</si>
  <si>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</si>
  <si>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</si>
  <si>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</si>
  <si>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</si>
  <si>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</si>
  <si>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</si>
  <si>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</si>
  <si>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</si>
  <si>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</si>
  <si>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</si>
  <si>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</si>
  <si>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</si>
  <si>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</si>
  <si>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</si>
  <si>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</si>
  <si>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</si>
  <si>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</si>
  <si>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</si>
  <si>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</si>
  <si>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</si>
  <si>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</si>
  <si>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</si>
  <si>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</si>
  <si>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</si>
  <si>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</si>
  <si>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</si>
  <si>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</si>
  <si>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</si>
  <si>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</si>
  <si>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</si>
  <si>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</si>
  <si>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</si>
  <si>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</si>
  <si>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</si>
  <si>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</si>
  <si>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</si>
  <si>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</si>
  <si>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</si>
  <si>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</si>
  <si>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</si>
  <si>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</si>
  <si>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</si>
  <si>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</si>
  <si>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</si>
  <si>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</si>
  <si>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</si>
  <si>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</si>
  <si>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</si>
  <si>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</si>
  <si>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</si>
  <si>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</si>
  <si>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</si>
  <si>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</si>
  <si>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</si>
  <si>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</si>
  <si>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</si>
  <si>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</si>
  <si>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</si>
  <si>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</si>
  <si>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</si>
  <si>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</si>
  <si>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</si>
  <si>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</si>
  <si>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</si>
  <si>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</si>
  <si>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</si>
  <si>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</si>
  <si>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</si>
  <si>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</si>
  <si>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</si>
  <si>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</si>
  <si>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</si>
  <si>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</si>
  <si>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</si>
  <si>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</si>
  <si>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</si>
  <si>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</si>
  <si>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</si>
  <si>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</si>
  <si>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</si>
  <si>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</si>
  <si>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</si>
  <si>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</si>
  <si>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</si>
  <si>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</si>
  <si>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</si>
  <si>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</si>
  <si>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</si>
  <si>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</si>
  <si>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</si>
  <si>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</si>
  <si>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</si>
  <si>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</si>
  <si>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</si>
  <si>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</si>
  <si>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</si>
  <si>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</si>
  <si>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</si>
  <si>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</si>
  <si>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</si>
  <si>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</si>
  <si>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</si>
  <si>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</si>
  <si>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</si>
  <si>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</si>
  <si>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</si>
  <si>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</si>
  <si>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</si>
  <si>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</si>
  <si>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</si>
  <si>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</si>
  <si>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</si>
  <si>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</si>
  <si>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</si>
  <si>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</si>
  <si>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</si>
  <si>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</si>
  <si>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</si>
  <si>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</si>
  <si>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</si>
  <si>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</si>
  <si>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</si>
  <si>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</si>
  <si>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</si>
  <si>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</si>
  <si>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</si>
  <si>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</si>
  <si>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</si>
  <si>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</si>
  <si>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</si>
  <si>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</si>
  <si>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</si>
  <si>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</si>
  <si>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</si>
  <si>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</si>
  <si>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</si>
  <si>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</si>
  <si>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</si>
  <si>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</si>
  <si>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</si>
  <si>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</si>
  <si>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</si>
  <si>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</si>
  <si>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</si>
  <si>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</si>
  <si>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</si>
  <si>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</si>
  <si>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</si>
  <si>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</si>
  <si>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</si>
  <si>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</si>
  <si>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</si>
  <si>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</si>
  <si>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</si>
  <si>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</si>
  <si>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</si>
  <si>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</si>
  <si>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</si>
  <si>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</si>
  <si>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</si>
  <si>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</si>
  <si>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</si>
  <si>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</si>
  <si>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</si>
  <si>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</si>
  <si>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</si>
  <si>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</si>
  <si>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</si>
  <si>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</si>
  <si>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</si>
  <si>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</si>
  <si>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</si>
  <si>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</si>
  <si>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</si>
  <si>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</si>
  <si>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</si>
  <si>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</si>
  <si>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</si>
  <si>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</si>
  <si>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</si>
  <si>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</si>
  <si>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</si>
  <si>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</si>
  <si>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</si>
  <si>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</si>
  <si>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</si>
  <si>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</si>
  <si>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</si>
  <si>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</si>
  <si>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</si>
  <si>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</si>
  <si>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</si>
  <si>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</si>
  <si>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</si>
  <si>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</si>
  <si>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</si>
  <si>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</si>
  <si>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</si>
  <si>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</si>
  <si>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</si>
  <si>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</si>
  <si>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</si>
  <si>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</si>
  <si>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</si>
  <si>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</si>
  <si>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</si>
  <si>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</si>
  <si>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</si>
  <si>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</si>
  <si>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</si>
  <si>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</si>
  <si>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</si>
  <si>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</si>
  <si>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</si>
  <si>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</si>
  <si>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</si>
  <si>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</si>
  <si>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</si>
  <si>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</si>
  <si>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</si>
  <si>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</si>
  <si>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</si>
  <si>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</si>
  <si>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</si>
  <si>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</si>
  <si>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</si>
  <si>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</si>
  <si>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</si>
  <si>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</si>
  <si>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</si>
  <si>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</si>
  <si>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</si>
  <si>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</si>
  <si>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</si>
  <si>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</si>
  <si>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</si>
  <si>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</si>
  <si>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</si>
  <si>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</si>
  <si>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</si>
  <si>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</si>
  <si>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</si>
  <si>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</si>
  <si>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</si>
  <si>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</si>
  <si>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</si>
  <si>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</si>
  <si>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</si>
  <si>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</si>
  <si>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</si>
  <si>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</si>
  <si>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</si>
  <si>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</si>
  <si>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</si>
  <si>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</si>
  <si>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</si>
  <si>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</si>
  <si>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</si>
  <si>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</si>
  <si>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</si>
  <si>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</si>
  <si>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</si>
  <si>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</si>
  <si>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</si>
  <si>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</si>
  <si>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</si>
  <si>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</si>
  <si>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</si>
  <si>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</si>
  <si>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</si>
  <si>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</si>
  <si>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</si>
  <si>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</si>
  <si>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</si>
  <si>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</si>
  <si>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</si>
  <si>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</si>
  <si>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</si>
  <si>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</si>
  <si>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</si>
  <si>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</si>
  <si>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</si>
  <si>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</si>
  <si>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</si>
  <si>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</si>
  <si>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</si>
  <si>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</si>
  <si>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</si>
  <si>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</si>
  <si>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</si>
  <si>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</si>
  <si>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</si>
  <si>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</si>
  <si>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</si>
  <si>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</si>
  <si>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</si>
  <si>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</si>
  <si>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</si>
  <si>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</si>
  <si>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</si>
  <si>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</si>
  <si>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</si>
  <si>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</si>
  <si>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</si>
  <si>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</si>
  <si>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</si>
  <si>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</si>
  <si>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</si>
  <si>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</si>
  <si>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</si>
  <si>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</si>
  <si>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</si>
  <si>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</si>
  <si>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</si>
  <si>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</si>
  <si>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</si>
  <si>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</si>
  <si>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</si>
  <si>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</si>
  <si>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</si>
  <si>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</si>
  <si>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</si>
  <si>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</si>
  <si>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</si>
  <si>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</si>
  <si>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</si>
  <si>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</si>
  <si>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</si>
  <si>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</si>
  <si>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</si>
  <si>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</si>
  <si>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</si>
  <si>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</si>
  <si>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</si>
  <si>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</si>
  <si>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</si>
  <si>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</si>
  <si>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</si>
  <si>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</si>
  <si>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</si>
  <si>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</si>
  <si>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</si>
  <si>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</si>
  <si>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</si>
  <si>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</si>
  <si>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</si>
  <si>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</si>
  <si>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</si>
  <si>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</si>
  <si>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</si>
  <si>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</si>
  <si>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</si>
  <si>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</si>
  <si>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</si>
  <si>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</si>
  <si>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</si>
  <si>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</si>
  <si>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</si>
  <si>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</si>
  <si>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</si>
  <si>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</si>
  <si>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</si>
  <si>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</si>
  <si>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</si>
  <si>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</si>
  <si>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</si>
  <si>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</si>
  <si>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</si>
  <si>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</si>
  <si>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</si>
  <si>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</si>
  <si>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</si>
  <si>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</si>
  <si>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</si>
  <si>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</si>
  <si>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</si>
  <si>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</si>
  <si>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</si>
  <si>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</si>
  <si>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</si>
  <si>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</si>
  <si>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</si>
  <si>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</si>
  <si>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</si>
  <si>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</si>
  <si>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</si>
  <si>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</si>
  <si>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</si>
  <si>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</si>
  <si>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</si>
  <si>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</si>
  <si>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</si>
  <si>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</si>
  <si>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</si>
  <si>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</si>
  <si>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</si>
  <si>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</si>
  <si>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</si>
  <si>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</si>
  <si>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</si>
  <si>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</si>
  <si>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</si>
  <si>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</si>
  <si>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</si>
  <si>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</si>
  <si>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</si>
  <si>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</si>
  <si>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</si>
  <si>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</si>
  <si>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</si>
  <si>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</si>
  <si>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</si>
  <si>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</si>
  <si>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</si>
  <si>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</si>
  <si>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</si>
  <si>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</si>
  <si>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</si>
  <si>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</si>
  <si>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</si>
  <si>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</si>
  <si>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</si>
  <si>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</si>
  <si>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</si>
  <si>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</si>
  <si>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</si>
  <si>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</si>
  <si>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</si>
  <si>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</si>
  <si>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</si>
  <si>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</si>
  <si>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</si>
  <si>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</si>
  <si>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</si>
  <si>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</si>
  <si>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</si>
  <si>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</si>
  <si>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</si>
  <si>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</si>
  <si>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</si>
  <si>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</si>
  <si>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</si>
  <si>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</si>
  <si>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</si>
  <si>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</si>
  <si>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</si>
  <si>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</si>
  <si>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</si>
  <si>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</si>
  <si>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</si>
  <si>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</si>
  <si>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</si>
  <si>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</si>
  <si>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</si>
  <si>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</si>
  <si>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</si>
  <si>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</si>
  <si>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</si>
  <si>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</si>
  <si>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</si>
  <si>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</si>
  <si>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</si>
  <si>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</si>
  <si>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</si>
  <si>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</si>
  <si>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</si>
  <si>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</si>
  <si>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</si>
  <si>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</si>
  <si>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</si>
  <si>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</si>
  <si>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</si>
  <si>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</si>
  <si>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</si>
  <si>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</si>
  <si>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</si>
  <si>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</si>
  <si>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</si>
  <si>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</si>
  <si>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</si>
  <si>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</si>
  <si>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</si>
  <si>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</si>
  <si>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</si>
  <si>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</si>
  <si>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</si>
  <si>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</si>
  <si>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</si>
  <si>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</si>
  <si>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</si>
  <si>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</si>
  <si>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</si>
  <si>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</si>
  <si>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</si>
  <si>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</si>
  <si>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</si>
  <si>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</si>
  <si>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</si>
  <si>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</si>
  <si>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</si>
  <si>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</si>
  <si>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</si>
  <si>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</si>
  <si>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</si>
  <si>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</si>
  <si>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</si>
  <si>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</si>
  <si>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</si>
  <si>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</si>
  <si>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</si>
  <si>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</si>
  <si>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</si>
  <si>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</si>
  <si>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</si>
  <si>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</si>
  <si>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</si>
  <si>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</si>
  <si>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</si>
  <si>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</si>
  <si>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</si>
  <si>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</si>
  <si>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</si>
  <si>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</si>
  <si>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</si>
  <si>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</si>
  <si>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</si>
  <si>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</si>
  <si>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</si>
  <si>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</si>
  <si>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</si>
  <si>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</si>
  <si>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</si>
  <si>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</si>
  <si>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</si>
  <si>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</si>
  <si>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</si>
  <si>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</si>
  <si>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</si>
  <si>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</si>
  <si>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</si>
  <si>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</si>
  <si>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</si>
  <si>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</si>
  <si>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</si>
  <si>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</si>
  <si>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</si>
  <si>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</si>
  <si>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</si>
  <si>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</si>
  <si>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</si>
  <si>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</si>
  <si>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</si>
  <si>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</si>
  <si>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</si>
  <si>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</si>
  <si>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</si>
  <si>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</si>
  <si>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</si>
  <si>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</si>
  <si>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</si>
  <si>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</si>
  <si>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</si>
  <si>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</si>
  <si>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</si>
  <si>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</si>
  <si>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</si>
  <si>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</si>
  <si>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</si>
  <si>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</si>
  <si>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</si>
  <si>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</si>
  <si>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</si>
  <si>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</si>
  <si>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</si>
  <si>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</si>
  <si>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</si>
  <si>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</si>
  <si>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</si>
  <si>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</si>
  <si>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</si>
  <si>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</si>
  <si>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</si>
  <si>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</si>
  <si>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</si>
  <si>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</si>
  <si>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</si>
  <si>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</si>
  <si>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</si>
  <si>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</si>
  <si>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</si>
  <si>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</si>
  <si>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</si>
  <si>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</si>
  <si>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</si>
  <si>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</si>
  <si>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</si>
  <si>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</si>
  <si>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</si>
  <si>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</si>
  <si>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</si>
  <si>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</si>
  <si>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</si>
  <si>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</si>
  <si>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</si>
  <si>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</si>
  <si>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</si>
  <si>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</si>
  <si>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</si>
  <si>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</si>
  <si>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</si>
  <si>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</si>
  <si>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</si>
  <si>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</si>
  <si>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</si>
  <si>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</si>
  <si>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</si>
  <si>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</si>
  <si>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</si>
  <si>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</si>
  <si>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</si>
  <si>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</si>
  <si>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</si>
  <si>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</si>
  <si>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</si>
  <si>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</si>
  <si>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</si>
  <si>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</si>
  <si>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</si>
  <si>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</si>
  <si>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</si>
  <si>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</si>
  <si>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</si>
  <si>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</si>
  <si>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</si>
  <si>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</si>
  <si>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</si>
  <si>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</si>
  <si>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</si>
  <si>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</si>
  <si>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</si>
  <si>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</si>
  <si>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</si>
  <si>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</si>
  <si>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</si>
  <si>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</si>
  <si>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</si>
  <si>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</si>
  <si>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</si>
  <si>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</si>
  <si>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</si>
  <si>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</si>
  <si>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</si>
  <si>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</si>
  <si>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</si>
  <si>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</si>
  <si>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</si>
  <si>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</si>
  <si>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</si>
  <si>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</si>
  <si>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</si>
  <si>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</si>
  <si>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</si>
  <si>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</si>
  <si>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</si>
  <si>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</si>
  <si>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</si>
  <si>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</si>
  <si>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</si>
  <si>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</si>
  <si>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</si>
  <si>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</si>
  <si>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</si>
  <si>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</si>
  <si>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</si>
  <si>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</si>
  <si>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</si>
  <si>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</si>
  <si>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</si>
  <si>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</si>
  <si>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</si>
  <si>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</si>
  <si>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</si>
  <si>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</si>
  <si>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</si>
  <si>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</si>
  <si>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</si>
  <si>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</si>
  <si>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</si>
  <si>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</si>
  <si>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</si>
  <si>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</si>
  <si>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</si>
  <si>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</si>
  <si>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</si>
  <si>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</si>
  <si>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</si>
  <si>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</si>
  <si>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</si>
  <si>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</si>
  <si>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</si>
  <si>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</si>
  <si>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</si>
  <si>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</si>
  <si>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</si>
  <si>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</si>
  <si>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</si>
  <si>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</si>
  <si>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</si>
  <si>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</si>
  <si>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</si>
  <si>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</si>
  <si>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</si>
  <si>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</si>
  <si>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</si>
  <si>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</si>
  <si>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</si>
  <si>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</si>
  <si>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</si>
  <si>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</si>
  <si>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</si>
  <si>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</si>
  <si>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</si>
  <si>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</si>
  <si>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</si>
  <si>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</si>
  <si>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</si>
  <si>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</si>
  <si>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</si>
  <si>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</si>
  <si>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</si>
  <si>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</si>
  <si>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</si>
  <si>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</si>
  <si>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</si>
  <si>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</si>
  <si>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</si>
  <si>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</si>
  <si>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</si>
  <si>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</si>
  <si>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</si>
  <si>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</si>
  <si>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</si>
  <si>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</si>
  <si>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</si>
  <si>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</si>
  <si>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</si>
  <si>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</si>
  <si>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</si>
  <si>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</si>
  <si>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</si>
  <si>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</si>
  <si>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</si>
  <si>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</si>
  <si>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</si>
  <si>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</si>
  <si>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</si>
  <si>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</si>
  <si>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</si>
  <si>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</si>
  <si>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</si>
  <si>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</si>
  <si>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</si>
  <si>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</si>
  <si>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</si>
  <si>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</si>
  <si>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</si>
  <si>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</si>
  <si>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</si>
  <si>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</si>
  <si>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</si>
  <si>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</si>
  <si>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</si>
  <si>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</si>
  <si>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</si>
  <si>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</si>
  <si>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</si>
  <si>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</si>
  <si>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</si>
  <si>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</si>
  <si>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</si>
  <si>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</si>
  <si>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</si>
  <si>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</si>
  <si>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</si>
  <si>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</si>
  <si>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</si>
  <si>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</si>
  <si>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</si>
  <si>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</si>
  <si>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</si>
  <si>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</si>
  <si>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</si>
  <si>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</si>
  <si>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</si>
  <si>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</si>
  <si>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</si>
  <si>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</si>
  <si>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</si>
  <si>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</si>
  <si>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</si>
  <si>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</si>
  <si>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</si>
  <si>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</si>
  <si>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</si>
  <si>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</si>
  <si>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</si>
  <si>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</si>
  <si>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</si>
  <si>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</si>
  <si>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</si>
  <si>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</si>
  <si>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</si>
  <si>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</si>
  <si>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</si>
  <si>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</si>
  <si>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</si>
  <si>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</si>
  <si>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</si>
  <si>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</si>
  <si>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</si>
  <si>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</si>
  <si>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</si>
  <si>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</si>
  <si>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</si>
  <si>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</si>
  <si>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</si>
  <si>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</si>
  <si>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</si>
  <si>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</si>
  <si>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</si>
  <si>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</si>
  <si>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</si>
  <si>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</si>
  <si>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</si>
  <si>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</si>
  <si>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</si>
  <si>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</si>
  <si>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</si>
  <si>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</si>
  <si>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</si>
  <si>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</si>
  <si>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</si>
  <si>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</si>
  <si>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</si>
  <si>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</si>
  <si>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</si>
  <si>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</si>
  <si>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</si>
  <si>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</si>
  <si>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</si>
  <si>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</si>
  <si>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</si>
  <si>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</si>
  <si>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</si>
  <si>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</si>
  <si>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</si>
  <si>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</si>
  <si>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</si>
  <si>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</si>
  <si>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</si>
  <si>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</si>
  <si>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</si>
  <si>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</si>
  <si>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</si>
  <si>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</si>
  <si>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</si>
  <si>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</si>
  <si>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</si>
  <si>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</si>
  <si>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</si>
  <si>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</si>
  <si>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</si>
  <si>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</si>
  <si>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</si>
  <si>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</si>
  <si>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</si>
  <si>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</si>
  <si>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</si>
  <si>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</si>
  <si>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</si>
  <si>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</si>
  <si>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</si>
  <si>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</si>
  <si>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</si>
  <si>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</si>
  <si>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</si>
  <si>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</si>
  <si>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</si>
  <si>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</si>
  <si>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</si>
  <si>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</si>
  <si>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</si>
  <si>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</si>
  <si>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</si>
  <si>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</si>
  <si>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</si>
  <si>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</si>
  <si>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</si>
  <si>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</si>
  <si>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</si>
  <si>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</si>
  <si>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</si>
  <si>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</si>
  <si>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</si>
  <si>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</si>
  <si>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</si>
  <si>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</si>
  <si>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</si>
  <si>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</si>
  <si>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</si>
  <si>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</si>
  <si>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</si>
  <si>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</si>
  <si>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</si>
  <si>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</si>
  <si>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</si>
  <si>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</si>
  <si>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</si>
  <si>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</si>
  <si>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</si>
  <si>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</si>
  <si>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</si>
  <si>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</si>
  <si>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</si>
  <si>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</si>
  <si>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</si>
  <si>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</si>
  <si>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</si>
  <si>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</si>
  <si>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</si>
  <si>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</si>
  <si>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</si>
  <si>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</si>
  <si>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</si>
  <si>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</si>
  <si>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</si>
  <si>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</si>
  <si>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</si>
  <si>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</si>
  <si>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</si>
  <si>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</si>
  <si>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</si>
  <si>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</si>
  <si>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</si>
  <si>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</si>
  <si>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</si>
  <si>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</si>
  <si>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</si>
  <si>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</si>
  <si>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</si>
  <si>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</si>
  <si>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</si>
  <si>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</si>
  <si>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</si>
  <si>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</si>
  <si>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</si>
  <si>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</si>
  <si>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</si>
  <si>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</si>
  <si>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</si>
  <si>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</si>
  <si>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</si>
  <si>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</si>
  <si>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</si>
  <si>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</si>
  <si>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</si>
  <si>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</si>
  <si>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</si>
  <si>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</si>
  <si>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</si>
  <si>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</si>
  <si>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</si>
  <si>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</si>
  <si>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</si>
  <si>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</si>
  <si>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</si>
  <si>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</si>
  <si>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</si>
  <si>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</si>
  <si>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</si>
  <si>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</si>
  <si>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</si>
  <si>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</si>
  <si>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</si>
  <si>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</si>
  <si>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</si>
  <si>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</si>
  <si>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</si>
  <si>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</si>
  <si>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</si>
  <si>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</si>
  <si>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</si>
  <si>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</si>
  <si>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</si>
  <si>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</si>
  <si>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</si>
  <si>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</si>
  <si>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</si>
  <si>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</si>
  <si>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</si>
  <si>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</si>
  <si>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</si>
  <si>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</si>
  <si>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</si>
  <si>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</si>
  <si>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</si>
  <si>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</si>
  <si>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</si>
  <si>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</si>
  <si>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</si>
  <si>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</si>
  <si>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</si>
  <si>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</si>
  <si>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</si>
  <si>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</si>
  <si>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</si>
  <si>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</si>
  <si>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</si>
  <si>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</si>
  <si>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</si>
  <si>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</si>
  <si>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</si>
  <si>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</si>
  <si>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</si>
  <si>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</si>
  <si>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</si>
  <si>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</si>
  <si>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</si>
  <si>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</si>
  <si>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</si>
  <si>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</si>
  <si>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</si>
  <si>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</si>
  <si>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</si>
  <si>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</si>
  <si>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</si>
  <si>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</si>
  <si>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</si>
  <si>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</si>
  <si>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</si>
  <si>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</si>
  <si>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</si>
  <si>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</si>
  <si>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</si>
  <si>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</si>
  <si>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</si>
  <si>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</si>
  <si>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</si>
  <si>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</si>
  <si>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</si>
  <si>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</si>
  <si>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</si>
  <si>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</si>
  <si>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</si>
  <si>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</si>
  <si>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</si>
  <si>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</si>
  <si>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</si>
  <si>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</si>
  <si>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</si>
  <si>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</si>
  <si>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</si>
  <si>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</si>
  <si>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</si>
  <si>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</si>
  <si>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</si>
  <si>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</si>
  <si>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</si>
  <si>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</si>
  <si>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</si>
  <si>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</si>
  <si>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</si>
  <si>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</si>
  <si>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</si>
  <si>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</si>
  <si>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</si>
  <si>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</si>
  <si>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</si>
  <si>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</si>
  <si>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</si>
  <si>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</si>
  <si>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</si>
  <si>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</si>
  <si>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</si>
  <si>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</si>
  <si>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</si>
  <si>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</si>
  <si>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</si>
  <si>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</si>
  <si>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</si>
  <si>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</si>
  <si>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</si>
  <si>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</si>
  <si>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</si>
  <si>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</si>
  <si>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</si>
  <si>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</si>
  <si>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</si>
  <si>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</si>
  <si>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</si>
  <si>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</si>
  <si>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</si>
  <si>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</si>
  <si>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</si>
  <si>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</si>
  <si>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</si>
  <si>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</si>
  <si>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</si>
  <si>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</si>
  <si>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</si>
  <si>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</si>
  <si>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</si>
  <si>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</si>
  <si>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</si>
  <si>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</si>
  <si>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</si>
  <si>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</si>
  <si>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</si>
  <si>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</si>
  <si>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</si>
  <si>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</si>
  <si>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</si>
  <si>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</si>
  <si>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</si>
  <si>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</si>
  <si>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</si>
  <si>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</si>
  <si>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</si>
  <si>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</si>
  <si>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</si>
  <si>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</si>
  <si>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</si>
  <si>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</si>
  <si>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</si>
  <si>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</si>
  <si>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</si>
  <si>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</si>
  <si>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</si>
  <si>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</si>
  <si>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</si>
  <si>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</si>
  <si>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</si>
  <si>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</si>
  <si>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</si>
  <si>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</si>
  <si>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</si>
  <si>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</si>
  <si>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</si>
  <si>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</si>
  <si>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</si>
  <si>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</si>
  <si>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</si>
  <si>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</si>
  <si>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</si>
  <si>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</si>
  <si>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</si>
  <si>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</si>
  <si>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</si>
  <si>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</si>
  <si>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</si>
  <si>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</si>
  <si>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</si>
  <si>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</si>
  <si>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</si>
  <si>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</si>
  <si>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</si>
  <si>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</si>
  <si>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</si>
  <si>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</si>
  <si>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</si>
  <si>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</si>
  <si>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</si>
  <si>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</si>
  <si>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</si>
  <si>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</si>
  <si>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</si>
  <si>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</si>
  <si>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</si>
  <si>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</si>
  <si>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</si>
  <si>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</si>
  <si>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</si>
  <si>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</si>
  <si>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</si>
  <si>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</si>
  <si>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</si>
  <si>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</si>
  <si>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</si>
  <si>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</si>
  <si>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</si>
  <si>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</si>
  <si>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</si>
  <si>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</si>
  <si>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</si>
  <si>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</si>
  <si>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</si>
  <si>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</si>
  <si>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</si>
  <si>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</si>
  <si>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</si>
  <si>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</si>
  <si>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</si>
  <si>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</si>
  <si>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</si>
  <si>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</si>
  <si>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</si>
  <si>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</si>
  <si>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</si>
  <si>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</si>
  <si>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</si>
  <si>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</si>
  <si>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</si>
  <si>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</si>
  <si>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</si>
  <si>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</si>
  <si>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</si>
  <si>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</si>
  <si>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</si>
  <si>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</si>
  <si>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</si>
  <si>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</si>
  <si>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</si>
  <si>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</si>
  <si>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</si>
  <si>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</si>
  <si>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</si>
  <si>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</si>
  <si>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</si>
  <si>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</si>
  <si>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</si>
  <si>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</si>
  <si>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</si>
  <si>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</si>
  <si>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</si>
  <si>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</si>
  <si>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</si>
  <si>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</si>
  <si>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</si>
  <si>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</si>
  <si>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</si>
  <si>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</si>
  <si>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</si>
  <si>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</si>
  <si>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</si>
  <si>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</si>
  <si>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</si>
  <si>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</si>
  <si>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</si>
  <si>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</si>
  <si>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</si>
  <si>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</si>
  <si>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</si>
  <si>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</si>
  <si>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</si>
  <si>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</si>
  <si>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</si>
  <si>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</si>
  <si>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</si>
  <si>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</si>
  <si>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</si>
  <si>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</si>
  <si>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</si>
  <si>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</si>
  <si>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</si>
  <si>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</si>
  <si>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</si>
  <si>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</si>
  <si>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</si>
  <si>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</si>
  <si>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</si>
  <si>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</si>
  <si>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</si>
  <si>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</si>
  <si>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</si>
  <si>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</si>
  <si>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</si>
  <si>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</si>
  <si>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</si>
  <si>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</si>
  <si>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</si>
  <si>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</si>
  <si>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</si>
  <si>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</si>
  <si>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</si>
  <si>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</si>
  <si>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</si>
  <si>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</si>
  <si>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</si>
  <si>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</si>
  <si>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</si>
  <si>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</si>
  <si>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</si>
  <si>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</si>
  <si>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</si>
  <si>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</si>
  <si>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</si>
  <si>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</si>
  <si>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</si>
  <si>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</si>
  <si>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</si>
  <si>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</si>
  <si>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</si>
  <si>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</si>
  <si>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</si>
  <si>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</si>
  <si>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</si>
  <si>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</si>
  <si>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</si>
  <si>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</si>
  <si>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</si>
  <si>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</si>
  <si>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</si>
  <si>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</si>
  <si>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</si>
  <si>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</si>
  <si>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</si>
  <si>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</si>
  <si>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</si>
  <si>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</si>
  <si>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</si>
  <si>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</si>
  <si>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</si>
  <si>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</si>
  <si>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</si>
  <si>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</si>
  <si>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</si>
  <si>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</si>
  <si>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</si>
  <si>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</si>
  <si>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</si>
  <si>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</si>
  <si>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</si>
  <si>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</si>
  <si>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</si>
  <si>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</si>
  <si>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</si>
  <si>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</si>
  <si>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</si>
  <si>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</si>
  <si>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</si>
  <si>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</si>
  <si>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</si>
  <si>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</si>
  <si>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</si>
  <si>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</si>
  <si>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</si>
  <si>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</si>
  <si>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</si>
  <si>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</si>
  <si>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</si>
  <si>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</si>
  <si>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</si>
  <si>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</si>
  <si>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</si>
  <si>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</si>
  <si>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</si>
  <si>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</si>
  <si>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</si>
  <si>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</si>
  <si>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</si>
  <si>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</si>
  <si>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</si>
  <si>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</si>
  <si>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</si>
  <si>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</si>
  <si>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</si>
  <si>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</si>
  <si>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</si>
  <si>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</si>
  <si>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</si>
  <si>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</si>
  <si>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</si>
  <si>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</si>
  <si>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</si>
  <si>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</si>
  <si>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</si>
  <si>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</si>
  <si>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</si>
  <si>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</si>
  <si>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</si>
  <si>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</si>
  <si>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</si>
  <si>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</si>
  <si>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</si>
  <si>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</si>
  <si>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</si>
  <si>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</si>
  <si>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</si>
  <si>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</si>
  <si>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</si>
  <si>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</si>
  <si>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</si>
  <si>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</si>
  <si>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</si>
  <si>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</si>
  <si>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</si>
  <si>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</si>
  <si>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</si>
  <si>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</si>
  <si>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</si>
  <si>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</si>
  <si>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</si>
  <si>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</si>
  <si>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</si>
  <si>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</si>
  <si>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</si>
  <si>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</si>
  <si>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</si>
  <si>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</si>
  <si>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</si>
  <si>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</si>
  <si>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</si>
  <si>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</si>
  <si>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</si>
  <si>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</si>
  <si>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</si>
  <si>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</si>
  <si>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</si>
  <si>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</si>
  <si>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</si>
  <si>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</si>
  <si>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</si>
  <si>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</si>
  <si>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</si>
  <si>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</si>
  <si>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</si>
  <si>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</si>
  <si>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</si>
  <si>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</si>
  <si>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</si>
  <si>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</si>
  <si>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</si>
  <si>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</si>
  <si>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</si>
  <si>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</si>
  <si>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</si>
  <si>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</si>
  <si>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</si>
  <si>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</si>
  <si>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</si>
  <si>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</si>
  <si>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</si>
  <si>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</si>
  <si>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</si>
  <si>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</si>
  <si>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</si>
  <si>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</si>
  <si>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</si>
  <si>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</si>
  <si>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</si>
  <si>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</si>
  <si>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</si>
  <si>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</si>
  <si>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</si>
  <si>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</si>
  <si>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</si>
  <si>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</si>
  <si>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</si>
  <si>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</si>
  <si>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</si>
  <si>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</si>
  <si>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</si>
  <si>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</si>
  <si>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</si>
  <si>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</si>
  <si>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</si>
  <si>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</si>
  <si>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</si>
  <si>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</si>
  <si>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</si>
  <si>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</si>
  <si>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</si>
  <si>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</si>
  <si>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</si>
  <si>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</si>
  <si>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</si>
  <si>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</si>
  <si>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</si>
  <si>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</si>
  <si>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</si>
  <si>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</si>
  <si>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</si>
  <si>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</si>
  <si>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</si>
  <si>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</si>
  <si>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</si>
  <si>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</si>
  <si>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</si>
  <si>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</si>
  <si>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</si>
  <si>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</si>
  <si>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</si>
  <si>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</si>
  <si>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</si>
  <si>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</si>
  <si>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</si>
  <si>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</si>
  <si>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</si>
  <si>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</si>
  <si>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</si>
  <si>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</si>
  <si>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</si>
  <si>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</si>
  <si>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</si>
  <si>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</si>
  <si>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</si>
  <si>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</si>
  <si>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</si>
  <si>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</si>
  <si>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</si>
  <si>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</si>
  <si>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</si>
  <si>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</si>
  <si>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</si>
  <si>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</si>
  <si>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</si>
  <si>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</si>
  <si>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</si>
  <si>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</si>
  <si>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</si>
  <si>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</si>
  <si>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</si>
  <si>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</si>
  <si>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</si>
  <si>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</si>
  <si>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</si>
  <si>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</si>
  <si>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</si>
  <si>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</si>
  <si>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</si>
  <si>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</si>
  <si>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</si>
  <si>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</si>
  <si>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</si>
  <si>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</si>
  <si>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</si>
  <si>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</si>
  <si>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</si>
  <si>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</si>
  <si>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</si>
  <si>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</si>
  <si>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</si>
  <si>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</si>
  <si>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</si>
  <si>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</si>
  <si>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</si>
  <si>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</si>
  <si>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</si>
  <si>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</si>
  <si>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</si>
  <si>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</si>
  <si>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</si>
  <si>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</si>
  <si>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</si>
  <si>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</si>
  <si>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</si>
  <si>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</si>
  <si>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</si>
  <si>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</si>
  <si>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</si>
  <si>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</si>
  <si>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</si>
  <si>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</si>
  <si>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</si>
  <si>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</si>
  <si>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</si>
  <si>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</si>
  <si>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</si>
  <si>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</si>
  <si>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</si>
  <si>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</si>
  <si>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</si>
  <si>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</si>
  <si>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</si>
  <si>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</si>
  <si>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</si>
  <si>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</si>
  <si>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</si>
  <si>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</si>
  <si>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</si>
  <si>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</si>
  <si>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</si>
  <si>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</si>
  <si>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</si>
  <si>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</si>
  <si>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</si>
  <si>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</si>
  <si>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</si>
  <si>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</si>
  <si>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</si>
  <si>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</si>
  <si>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</si>
  <si>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</si>
  <si>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</si>
  <si>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</si>
  <si>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</si>
  <si>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</si>
  <si>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</si>
  <si>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</si>
  <si>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</si>
  <si>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</si>
  <si>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</si>
  <si>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</si>
  <si>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</si>
  <si>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</si>
  <si>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</si>
  <si>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</si>
  <si>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</si>
  <si>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</si>
  <si>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</si>
  <si>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</si>
  <si>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</si>
  <si>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</si>
  <si>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</si>
  <si>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</si>
  <si>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</si>
  <si>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</si>
  <si>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</si>
  <si>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</si>
  <si>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</si>
  <si>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</si>
  <si>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</si>
  <si>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</si>
  <si>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</si>
  <si>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</si>
  <si>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</si>
  <si>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</si>
  <si>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</si>
  <si>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</si>
  <si>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</si>
  <si>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</si>
  <si>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</si>
  <si>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</si>
  <si>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</si>
  <si>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</si>
  <si>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</si>
  <si>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</si>
  <si>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</si>
  <si>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</si>
  <si>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</si>
  <si>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</si>
  <si>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</si>
  <si>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</si>
  <si>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</si>
  <si>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</si>
  <si>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</si>
  <si>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</si>
  <si>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</si>
  <si>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</si>
  <si>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</si>
  <si>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</si>
  <si>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</si>
  <si>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</si>
  <si>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</si>
  <si>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</si>
  <si>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</si>
  <si>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</si>
  <si>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</si>
  <si>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</si>
  <si>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</si>
  <si>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</si>
  <si>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</si>
  <si>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</si>
  <si>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</si>
  <si>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</si>
  <si>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</si>
  <si>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</si>
  <si>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</si>
  <si>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</si>
  <si>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</si>
  <si>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</si>
  <si>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</si>
  <si>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</si>
  <si>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</si>
  <si>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</si>
  <si>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</si>
  <si>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</si>
  <si>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</si>
  <si>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</si>
  <si>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</si>
  <si>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</si>
  <si>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</si>
  <si>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</si>
  <si>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</si>
  <si>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</si>
  <si>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</si>
  <si>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</si>
  <si>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</si>
  <si>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</si>
  <si>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</si>
  <si>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</si>
  <si>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</si>
  <si>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</si>
  <si>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</si>
  <si>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</si>
  <si>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</si>
  <si>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</si>
  <si>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</si>
  <si>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</si>
  <si>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</si>
  <si>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</si>
  <si>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</si>
  <si>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</si>
  <si>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</si>
  <si>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</si>
  <si>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</si>
  <si>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</si>
  <si>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</si>
  <si>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</si>
  <si>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</si>
  <si>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</si>
  <si>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</si>
  <si>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</si>
  <si>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</si>
  <si>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</si>
  <si>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</si>
  <si>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</si>
  <si>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</si>
  <si>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</si>
  <si>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</si>
  <si>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</si>
  <si>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</si>
  <si>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</si>
  <si>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</si>
  <si>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</si>
  <si>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</si>
  <si>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</si>
  <si>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</si>
  <si>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</si>
  <si>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</si>
  <si>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</si>
  <si>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</si>
  <si>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</si>
  <si>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</si>
  <si>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</si>
  <si>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</si>
  <si>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</si>
  <si>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</si>
  <si>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</si>
  <si>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</si>
  <si>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</si>
  <si>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</si>
  <si>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</si>
  <si>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</si>
  <si>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</si>
  <si>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</si>
  <si>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</si>
  <si>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</si>
  <si>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</si>
  <si>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</si>
  <si>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</si>
  <si>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</si>
  <si>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</si>
  <si>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</si>
  <si>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</si>
  <si>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</si>
  <si>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</si>
  <si>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</si>
  <si>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</si>
  <si>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</si>
  <si>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</si>
  <si>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</si>
  <si>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</si>
  <si>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</si>
  <si>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</si>
  <si>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</si>
  <si>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</si>
  <si>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</si>
  <si>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</si>
  <si>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</si>
  <si>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</si>
  <si>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</si>
  <si>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</si>
  <si>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</si>
  <si>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</si>
  <si>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</si>
  <si>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</si>
  <si>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</si>
  <si>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</si>
  <si>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</si>
  <si>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</si>
  <si>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</si>
  <si>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</si>
  <si>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</si>
  <si>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</si>
  <si>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</si>
  <si>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</si>
  <si>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</si>
  <si>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</si>
  <si>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</si>
  <si>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</si>
  <si>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</si>
  <si>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</si>
  <si>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</si>
  <si>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</si>
  <si>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</si>
  <si>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</si>
  <si>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</si>
  <si>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</si>
  <si>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</si>
  <si>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</si>
  <si>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</si>
  <si>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</si>
  <si>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</si>
  <si>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</si>
  <si>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</si>
  <si>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</si>
  <si>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</si>
  <si>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</si>
  <si>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</si>
  <si>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</si>
  <si>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</si>
  <si>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</si>
  <si>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</si>
  <si>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</si>
  <si>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</si>
  <si>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</si>
  <si>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</si>
  <si>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</si>
  <si>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</si>
  <si>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</si>
  <si>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</si>
  <si>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</si>
  <si>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</si>
  <si>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</si>
  <si>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</si>
  <si>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</si>
  <si>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</si>
  <si>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</si>
  <si>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</si>
  <si>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</si>
  <si>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</si>
  <si>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</si>
  <si>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</si>
  <si>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</si>
  <si>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</si>
  <si>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</si>
  <si>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</si>
  <si>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</si>
  <si>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</si>
  <si>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</si>
  <si>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</si>
  <si>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</si>
  <si>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</si>
  <si>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</si>
  <si>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</si>
  <si>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</si>
  <si>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</si>
  <si>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</si>
  <si>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</si>
  <si>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</si>
  <si>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</si>
  <si>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</si>
  <si>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</si>
  <si>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</si>
  <si>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</si>
  <si>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</si>
  <si>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</si>
  <si>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</si>
  <si>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</si>
  <si>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</si>
  <si>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</si>
  <si>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</si>
  <si>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</si>
  <si>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</si>
  <si>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</si>
  <si>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</si>
  <si>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</si>
  <si>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</si>
  <si>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</si>
  <si>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</si>
  <si>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</si>
  <si>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</si>
  <si>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</si>
  <si>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</si>
  <si>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</si>
  <si>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</si>
  <si>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</si>
  <si>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</si>
  <si>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</si>
  <si>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</si>
  <si>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</si>
  <si>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</si>
  <si>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</si>
  <si>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</si>
  <si>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</si>
  <si>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</si>
  <si>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</si>
  <si>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</si>
  <si>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</si>
  <si>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</si>
  <si>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</si>
  <si>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</si>
  <si>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</si>
  <si>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</si>
  <si>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</si>
  <si>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</si>
  <si>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</si>
  <si>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</si>
  <si>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</si>
  <si>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</si>
  <si>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</si>
  <si>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</si>
  <si>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</si>
  <si>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</si>
  <si>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</si>
  <si>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</si>
  <si>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</si>
  <si>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</si>
  <si>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</si>
  <si>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</si>
  <si>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</si>
  <si>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</si>
  <si>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</si>
  <si>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</si>
  <si>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</si>
  <si>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</si>
  <si>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</si>
  <si>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</si>
  <si>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</si>
  <si>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</si>
  <si>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</si>
  <si>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</si>
  <si>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</si>
  <si>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</si>
  <si>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</si>
  <si>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</si>
  <si>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</si>
  <si>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</si>
  <si>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</si>
  <si>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</si>
  <si>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</si>
  <si>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</si>
  <si>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</si>
  <si>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</si>
  <si>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</si>
  <si>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</si>
  <si>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</si>
  <si>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</si>
  <si>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</si>
  <si>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</si>
  <si>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</si>
  <si>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</si>
  <si>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</si>
  <si>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</si>
  <si>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</si>
  <si>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</si>
  <si>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</si>
  <si>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</si>
  <si>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</si>
  <si>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</si>
  <si>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</si>
  <si>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</si>
  <si>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</si>
  <si>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</si>
  <si>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</si>
  <si>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</si>
  <si>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</si>
  <si>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</si>
  <si>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</si>
  <si>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</si>
  <si>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</si>
  <si>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</si>
  <si>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</si>
  <si>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</si>
  <si>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</si>
  <si>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</si>
  <si>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</si>
  <si>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</si>
  <si>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</si>
  <si>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</si>
  <si>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</si>
  <si>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</si>
  <si>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</si>
  <si>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</si>
  <si>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</si>
  <si>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</si>
  <si>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</si>
  <si>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</si>
  <si>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</si>
  <si>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</si>
  <si>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</si>
  <si>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</si>
  <si>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</si>
  <si>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</si>
  <si>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</si>
  <si>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</si>
  <si>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</si>
  <si>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</si>
  <si>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</si>
  <si>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</si>
  <si>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</si>
  <si>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</si>
  <si>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</si>
  <si>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</si>
  <si>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</si>
  <si>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</si>
  <si>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</si>
  <si>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</si>
  <si>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</si>
  <si>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</si>
  <si>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</si>
  <si>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</si>
  <si>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</si>
  <si>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</si>
  <si>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</si>
  <si>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</si>
  <si>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</si>
  <si>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</si>
  <si>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</si>
  <si>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</si>
  <si>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</si>
  <si>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</si>
  <si>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</si>
  <si>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</si>
  <si>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</si>
  <si>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</si>
  <si>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</si>
  <si>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</si>
  <si>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</si>
  <si>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</si>
  <si>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</si>
  <si>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</si>
  <si>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</si>
  <si>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</si>
  <si>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</si>
  <si>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</si>
  <si>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</si>
  <si>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</si>
  <si>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</si>
  <si>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</si>
  <si>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</si>
  <si>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</si>
  <si>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</si>
  <si>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</si>
  <si>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</si>
  <si>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</si>
  <si>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</si>
  <si>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</si>
  <si>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</si>
  <si>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</si>
  <si>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</si>
  <si>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</si>
  <si>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</si>
  <si>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</si>
  <si>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</si>
  <si>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</si>
  <si>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</si>
  <si>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</si>
  <si>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</si>
  <si>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</si>
  <si>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</si>
  <si>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</si>
  <si>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</si>
  <si>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</si>
  <si>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</si>
  <si>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</si>
  <si>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</si>
  <si>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</si>
  <si>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</si>
  <si>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</si>
  <si>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</si>
  <si>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</si>
  <si>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</si>
  <si>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</si>
  <si>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</si>
  <si>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</si>
  <si>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</si>
  <si>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</si>
  <si>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</si>
  <si>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</si>
  <si>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</si>
  <si>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</si>
  <si>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</si>
  <si>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</si>
  <si>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</si>
  <si>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</si>
  <si>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</si>
  <si>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</si>
  <si>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</si>
  <si>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</si>
  <si>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</si>
  <si>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</si>
  <si>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</si>
  <si>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</si>
  <si>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</si>
  <si>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</si>
  <si>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</si>
  <si>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</si>
  <si>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</si>
  <si>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</si>
  <si>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</si>
  <si>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</si>
  <si>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</si>
  <si>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</si>
  <si>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</si>
  <si>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</si>
  <si>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</si>
  <si>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</si>
  <si>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</si>
  <si>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</si>
  <si>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</si>
  <si>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</si>
  <si>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</si>
  <si>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</si>
  <si>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</si>
  <si>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</si>
  <si>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</si>
  <si>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</si>
  <si>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</si>
  <si>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</si>
  <si>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</si>
  <si>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</si>
  <si>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</si>
  <si>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</si>
  <si>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</si>
  <si>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</si>
  <si>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</si>
  <si>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</si>
  <si>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</si>
  <si>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</si>
  <si>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</si>
  <si>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</si>
  <si>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</si>
  <si>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</si>
  <si>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</si>
  <si>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</si>
  <si>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</si>
  <si>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</si>
  <si>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</si>
  <si>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</si>
  <si>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</si>
  <si>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</si>
  <si>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</si>
  <si>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</si>
  <si>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</si>
  <si>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</si>
  <si>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</si>
  <si>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</si>
  <si>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</si>
  <si>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</si>
  <si>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</si>
  <si>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</si>
  <si>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</si>
  <si>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</si>
  <si>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</si>
  <si>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</si>
  <si>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</si>
  <si>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</si>
  <si>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</si>
  <si>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</si>
  <si>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</si>
  <si>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</si>
  <si>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</si>
  <si>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</si>
  <si>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</si>
  <si>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</si>
  <si>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</si>
  <si>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</si>
  <si>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</si>
  <si>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</si>
  <si>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</si>
  <si>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</si>
  <si>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</si>
  <si>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</si>
  <si>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</si>
  <si>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</si>
  <si>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</si>
  <si>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</si>
  <si>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</si>
  <si>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</si>
  <si>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</si>
  <si>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</si>
  <si>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</si>
  <si>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</si>
  <si>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</si>
  <si>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</si>
  <si>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</si>
  <si>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</si>
  <si>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</si>
  <si>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</si>
  <si>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</si>
  <si>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</si>
  <si>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</si>
  <si>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</si>
  <si>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</si>
  <si>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</si>
  <si>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</si>
  <si>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</si>
  <si>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</si>
  <si>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</si>
  <si>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</si>
  <si>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</si>
  <si>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</si>
  <si>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</si>
  <si>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</si>
  <si>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</si>
  <si>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</si>
  <si>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</si>
  <si>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</si>
  <si>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</si>
  <si>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</si>
  <si>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</si>
  <si>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</si>
  <si>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</si>
  <si>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</si>
  <si>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</si>
  <si>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</si>
  <si>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</si>
  <si>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</si>
  <si>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</si>
  <si>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</si>
  <si>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</si>
  <si>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</si>
  <si>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</si>
  <si>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</si>
  <si>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</si>
  <si>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</si>
  <si>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</si>
  <si>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</si>
  <si>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</si>
  <si>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</si>
  <si>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</si>
  <si>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</si>
  <si>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</si>
  <si>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</si>
  <si>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</si>
  <si>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</si>
  <si>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</si>
  <si>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</si>
  <si>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</si>
  <si>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</si>
  <si>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</si>
  <si>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</si>
  <si>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</si>
  <si>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</si>
  <si>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</si>
  <si>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</si>
  <si>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</si>
  <si>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</si>
  <si>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</si>
  <si>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</si>
  <si>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</si>
  <si>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</si>
  <si>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</si>
  <si>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</si>
  <si>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</si>
  <si>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</si>
  <si>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</si>
  <si>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</si>
  <si>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</si>
  <si>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</si>
  <si>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</si>
  <si>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</si>
  <si>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</si>
  <si>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</si>
  <si>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</si>
  <si>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</si>
  <si>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</si>
  <si>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</si>
  <si>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</si>
  <si>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</si>
  <si>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</si>
  <si>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</si>
  <si>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</si>
  <si>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</si>
  <si>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</si>
  <si>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</si>
  <si>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</si>
  <si>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</si>
  <si>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</si>
  <si>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</si>
  <si>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</si>
  <si>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</si>
  <si>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</si>
  <si>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</si>
  <si>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</si>
  <si>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</si>
  <si>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</si>
  <si>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</si>
  <si>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</si>
  <si>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</si>
  <si>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</si>
  <si>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</si>
  <si>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</si>
  <si>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</si>
  <si>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</si>
  <si>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</si>
  <si>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</si>
  <si>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</si>
  <si>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</si>
  <si>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</si>
  <si>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</si>
  <si>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</si>
  <si>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</si>
  <si>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</si>
  <si>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</si>
  <si>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</si>
  <si>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</si>
  <si>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</si>
  <si>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</si>
  <si>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</si>
  <si>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</si>
  <si>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</si>
  <si>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</si>
  <si>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</si>
  <si>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</si>
  <si>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</si>
  <si>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</si>
  <si>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</si>
  <si>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</si>
  <si>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</si>
  <si>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</si>
  <si>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</si>
  <si>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</si>
  <si>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</si>
  <si>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</si>
  <si>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</si>
  <si>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</si>
  <si>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</si>
  <si>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</si>
  <si>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</si>
  <si>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</si>
  <si>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</si>
  <si>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</si>
  <si>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</si>
  <si>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</si>
  <si>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</si>
  <si>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</si>
  <si>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</si>
  <si>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</si>
  <si>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</si>
  <si>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</si>
  <si>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</si>
  <si>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</si>
  <si>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</si>
  <si>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</si>
  <si>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</si>
  <si>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</si>
  <si>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</si>
  <si>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</si>
  <si>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</si>
  <si>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</si>
  <si>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</si>
  <si>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</si>
  <si>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</si>
  <si>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</si>
  <si>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</si>
  <si>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</si>
  <si>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</si>
  <si>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</si>
  <si>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</si>
  <si>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</si>
  <si>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</si>
  <si>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</si>
  <si>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</si>
  <si>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</si>
  <si>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</si>
  <si>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</si>
  <si>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</si>
  <si>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</si>
  <si>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</si>
  <si>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</si>
  <si>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</si>
  <si>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</si>
  <si>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</si>
  <si>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</si>
  <si>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</si>
  <si>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</si>
  <si>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</si>
  <si>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</si>
  <si>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</si>
  <si>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</si>
  <si>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</si>
  <si>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</si>
  <si>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</si>
  <si>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</si>
  <si>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</si>
  <si>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</si>
  <si>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</si>
  <si>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</si>
  <si>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</si>
  <si>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</si>
  <si>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</si>
  <si>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</si>
  <si>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</si>
  <si>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</si>
  <si>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</si>
  <si>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</si>
  <si>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</si>
  <si>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</si>
  <si>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</si>
  <si>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</si>
  <si>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</si>
  <si>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</si>
  <si>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</si>
  <si>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</si>
  <si>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</si>
  <si>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</si>
  <si>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</si>
  <si>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</si>
  <si>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</si>
  <si>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</si>
  <si>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</si>
  <si>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</si>
  <si>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</si>
  <si>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</si>
  <si>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</si>
  <si>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</si>
  <si>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</si>
  <si>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</si>
  <si>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</si>
  <si>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</si>
  <si>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</si>
  <si>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</si>
  <si>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</si>
  <si>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</si>
  <si>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</si>
  <si>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</si>
  <si>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</si>
  <si>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</si>
  <si>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</si>
  <si>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</si>
  <si>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</si>
  <si>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</si>
  <si>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</si>
  <si>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</si>
  <si>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</si>
  <si>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</si>
  <si>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</si>
  <si>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</si>
  <si>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</si>
  <si>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</si>
  <si>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</si>
  <si>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</si>
  <si>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</si>
  <si>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</si>
  <si>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</si>
  <si>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</si>
  <si>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</si>
  <si>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</si>
  <si>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</si>
  <si>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</si>
  <si>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</si>
  <si>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</si>
  <si>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</si>
  <si>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</si>
  <si>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</si>
  <si>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</si>
  <si>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</si>
  <si>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</si>
  <si>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</si>
  <si>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</si>
  <si>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</si>
  <si>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</si>
  <si>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</si>
  <si>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</si>
  <si>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</si>
  <si>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</si>
  <si>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</si>
  <si>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</si>
  <si>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</si>
  <si>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</si>
  <si>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</si>
  <si>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</si>
  <si>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</si>
  <si>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</si>
  <si>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</si>
  <si>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</si>
  <si>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</si>
  <si>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</si>
  <si>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</si>
  <si>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</si>
  <si>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</si>
  <si>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</si>
  <si>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</si>
  <si>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</si>
  <si>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</si>
  <si>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</si>
  <si>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</si>
  <si>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</si>
  <si>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</si>
  <si>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</si>
  <si>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</si>
  <si>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</si>
  <si>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</si>
  <si>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</si>
  <si>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</si>
  <si>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</si>
  <si>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</si>
  <si>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</si>
  <si>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</si>
  <si>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</si>
  <si>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</si>
  <si>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</si>
  <si>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</si>
  <si>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</si>
  <si>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</si>
  <si>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</si>
  <si>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</si>
  <si>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</si>
  <si>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</si>
  <si>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</si>
  <si>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</si>
  <si>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</si>
  <si>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</si>
  <si>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</si>
  <si>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</si>
  <si>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</si>
  <si>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</si>
  <si>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</si>
  <si>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</si>
  <si>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</si>
  <si>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</si>
  <si>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</si>
  <si>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</si>
  <si>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</si>
  <si>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</si>
  <si>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</si>
  <si>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</si>
  <si>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</si>
  <si>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</si>
  <si>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</si>
  <si>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</si>
  <si>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</si>
  <si>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</si>
  <si>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</si>
  <si>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</si>
  <si>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</si>
  <si>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</si>
  <si>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</si>
  <si>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</si>
  <si>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</si>
  <si>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</si>
  <si>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</si>
  <si>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</si>
  <si>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</si>
  <si>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</si>
  <si>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</si>
  <si>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</si>
  <si>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</si>
  <si>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</si>
  <si>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</si>
  <si>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</si>
  <si>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</si>
  <si>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</si>
  <si>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</si>
  <si>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</si>
  <si>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</si>
  <si>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</si>
  <si>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</si>
  <si>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</si>
  <si>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</si>
  <si>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</si>
  <si>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</si>
  <si>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</si>
  <si>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</si>
  <si>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</si>
  <si>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</si>
  <si>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</si>
  <si>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</si>
  <si>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</si>
  <si>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</si>
  <si>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</si>
  <si>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</si>
  <si>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</si>
  <si>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</si>
  <si>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</si>
  <si>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</si>
  <si>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</si>
  <si>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</si>
  <si>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</si>
  <si>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</si>
  <si>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</si>
  <si>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</si>
  <si>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</si>
  <si>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</si>
  <si>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</si>
  <si>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</si>
  <si>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</si>
  <si>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</si>
  <si>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</si>
  <si>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</si>
  <si>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</si>
  <si>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</si>
  <si>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</si>
  <si>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</si>
  <si>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</si>
  <si>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</si>
  <si>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</si>
  <si>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</si>
  <si>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</si>
  <si>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</si>
  <si>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</si>
  <si>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</si>
  <si>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</si>
  <si>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</si>
  <si>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</si>
  <si>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</si>
  <si>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</si>
  <si>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</si>
  <si>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</si>
  <si>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</si>
  <si>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</si>
  <si>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</si>
  <si>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</si>
  <si>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</si>
  <si>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</si>
  <si>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</si>
  <si>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</si>
  <si>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</si>
  <si>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</si>
  <si>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</si>
  <si>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</si>
  <si>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</si>
  <si>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</si>
  <si>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</si>
  <si>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</si>
  <si>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</si>
  <si>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</si>
  <si>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</si>
  <si>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</si>
  <si>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</si>
  <si>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</si>
  <si>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</si>
  <si>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</si>
  <si>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</si>
  <si>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</si>
  <si>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</si>
  <si>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</si>
  <si>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</si>
  <si>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</si>
  <si>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</si>
  <si>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</si>
  <si>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</si>
  <si>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</si>
  <si>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</si>
  <si>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</si>
  <si>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</si>
  <si>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</si>
  <si>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</si>
  <si>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</si>
  <si>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</si>
  <si>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</si>
  <si>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</si>
  <si>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</si>
  <si>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</si>
  <si>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</si>
  <si>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</si>
  <si>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</si>
  <si>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</si>
  <si>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</si>
  <si>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</si>
  <si>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</si>
  <si>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</si>
  <si>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</si>
  <si>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</si>
  <si>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</si>
  <si>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</si>
  <si>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</si>
  <si>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</si>
  <si>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</si>
  <si>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</si>
  <si>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</si>
  <si>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</si>
  <si>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</si>
  <si>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</si>
  <si>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</si>
  <si>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</si>
  <si>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</si>
  <si>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</si>
  <si>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</si>
  <si>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</si>
  <si>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</si>
  <si>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</si>
  <si>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</si>
  <si>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</si>
  <si>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</si>
  <si>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</si>
  <si>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</si>
  <si>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</si>
  <si>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</si>
  <si>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</si>
  <si>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</si>
  <si>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</si>
  <si>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</si>
  <si>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</si>
  <si>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</si>
  <si>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</si>
  <si>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</si>
  <si>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</si>
  <si>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</si>
  <si>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</si>
  <si>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</si>
  <si>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</si>
  <si>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</si>
  <si>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</si>
  <si>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</si>
  <si>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</si>
  <si>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</si>
  <si>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</si>
  <si>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</si>
  <si>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</si>
  <si>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</si>
  <si>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</si>
  <si>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</si>
  <si>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</si>
  <si>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</si>
  <si>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</si>
  <si>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</si>
  <si>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</si>
  <si>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</si>
  <si>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</si>
  <si>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</si>
  <si>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</si>
  <si>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</si>
  <si>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</si>
  <si>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</si>
  <si>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</si>
  <si>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</si>
  <si>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</si>
  <si>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</si>
  <si>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</si>
  <si>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</si>
  <si>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</si>
  <si>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</si>
  <si>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</si>
  <si>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</si>
  <si>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</si>
  <si>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</si>
  <si>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</si>
  <si>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</si>
  <si>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</si>
  <si>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</si>
  <si>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</si>
  <si>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</si>
  <si>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</si>
  <si>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</si>
  <si>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</si>
  <si>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</si>
  <si>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</si>
  <si>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</si>
  <si>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</si>
  <si>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</si>
  <si>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</si>
  <si>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</si>
  <si>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</si>
  <si>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</si>
  <si>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</si>
  <si>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</si>
  <si>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</si>
  <si>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</si>
  <si>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</si>
  <si>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</si>
  <si>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</si>
  <si>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</si>
  <si>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</si>
  <si>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</si>
  <si>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</si>
  <si>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</si>
  <si>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</si>
  <si>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</si>
  <si>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</si>
  <si>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</si>
  <si>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</si>
  <si>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</si>
  <si>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</si>
  <si>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</si>
  <si>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</si>
  <si>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</si>
  <si>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</si>
  <si>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</si>
  <si>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</si>
  <si>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</si>
  <si>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</si>
  <si>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</si>
  <si>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</si>
  <si>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</si>
  <si>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</si>
  <si>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</si>
  <si>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</si>
  <si>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</si>
  <si>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</si>
  <si>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</si>
  <si>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</si>
  <si>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</si>
  <si>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</si>
  <si>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</si>
  <si>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</si>
  <si>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</si>
  <si>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</si>
  <si>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</si>
  <si>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</si>
  <si>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</si>
  <si>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</si>
  <si>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</si>
  <si>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</si>
  <si>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</si>
  <si>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</si>
  <si>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</si>
  <si>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</si>
  <si>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</si>
  <si>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</si>
  <si>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</si>
  <si>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</si>
  <si>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</si>
  <si>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</si>
  <si>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</si>
  <si>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</si>
  <si>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</si>
  <si>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</si>
  <si>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</si>
  <si>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</si>
  <si>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</si>
  <si>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</si>
  <si>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</si>
  <si>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</si>
  <si>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</si>
  <si>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</si>
  <si>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</si>
  <si>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</si>
  <si>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</si>
  <si>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</si>
  <si>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</si>
  <si>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</si>
  <si>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</si>
  <si>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</si>
  <si>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</si>
  <si>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</si>
  <si>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</si>
  <si>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</si>
  <si>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</si>
  <si>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</si>
  <si>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</si>
  <si>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</si>
  <si>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</si>
  <si>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</si>
  <si>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</si>
  <si>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</si>
  <si>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</si>
  <si>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</si>
  <si>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</si>
  <si>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</si>
  <si>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</si>
  <si>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</si>
  <si>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</si>
  <si>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</si>
  <si>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</si>
  <si>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</si>
  <si>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</si>
  <si>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</si>
  <si>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</si>
  <si>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</si>
  <si>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</si>
  <si>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</si>
  <si>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</si>
  <si>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</si>
  <si>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</si>
  <si>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</si>
  <si>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</si>
  <si>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</si>
  <si>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</si>
  <si>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</si>
  <si>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</si>
  <si>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</si>
  <si>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</si>
  <si>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</si>
  <si>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</si>
  <si>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</si>
  <si>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</si>
  <si>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</si>
  <si>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</si>
  <si>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</si>
  <si>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</si>
  <si>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</si>
  <si>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</si>
  <si>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</si>
  <si>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</si>
  <si>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</si>
  <si>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</si>
  <si>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</si>
  <si>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</si>
  <si>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</si>
  <si>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</si>
  <si>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</si>
  <si>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</si>
  <si>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</si>
  <si>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</si>
  <si>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</si>
  <si>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</si>
  <si>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</si>
  <si>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</si>
  <si>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</si>
  <si>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</si>
  <si>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</si>
  <si>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</si>
  <si>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</si>
  <si>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</si>
  <si>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</si>
  <si>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</si>
  <si>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</si>
  <si>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</si>
  <si>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</si>
  <si>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</si>
  <si>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</si>
  <si>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</si>
  <si>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</si>
  <si>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</si>
  <si>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</si>
  <si>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</si>
  <si>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</si>
  <si>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</si>
  <si>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</si>
  <si>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</si>
  <si>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</si>
  <si>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</si>
  <si>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</si>
  <si>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</si>
  <si>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</si>
  <si>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</si>
  <si>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</si>
  <si>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</si>
  <si>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</si>
  <si>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</si>
  <si>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</si>
  <si>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</si>
  <si>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</si>
  <si>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</si>
  <si>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</si>
  <si>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</si>
  <si>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</si>
  <si>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</si>
  <si>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</si>
  <si>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</si>
  <si>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</si>
  <si>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</si>
  <si>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</si>
  <si>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</si>
  <si>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</si>
  <si>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</si>
  <si>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</si>
  <si>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</si>
  <si>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</si>
  <si>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</si>
  <si>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</si>
  <si>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</si>
  <si>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</si>
  <si>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</si>
  <si>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</si>
  <si>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</si>
  <si>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</si>
  <si>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</si>
  <si>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</si>
  <si>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</si>
  <si>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</si>
  <si>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</si>
  <si>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</si>
  <si>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</si>
  <si>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</si>
  <si>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</si>
  <si>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</si>
  <si>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</si>
  <si>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</si>
  <si>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</si>
  <si>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</si>
  <si>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</si>
  <si>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</si>
  <si>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</si>
  <si>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</si>
  <si>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</si>
  <si>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</si>
  <si>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</si>
  <si>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</si>
  <si>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</si>
  <si>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</si>
  <si>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</si>
  <si>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</si>
  <si>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</si>
  <si>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</si>
  <si>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</si>
  <si>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</si>
  <si>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</si>
  <si>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</si>
  <si>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</si>
  <si>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</si>
  <si>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</si>
  <si>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</si>
  <si>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</si>
  <si>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</si>
  <si>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</si>
  <si>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</si>
  <si>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</si>
  <si>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</si>
  <si>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</si>
  <si>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</si>
  <si>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</si>
  <si>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</si>
  <si>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</si>
  <si>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</si>
  <si>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</si>
  <si>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</si>
  <si>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</si>
  <si>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</si>
  <si>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</si>
  <si>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</si>
  <si>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</si>
  <si>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</si>
  <si>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</si>
  <si>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</si>
  <si>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</si>
  <si>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</si>
  <si>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</si>
  <si>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</si>
  <si>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</si>
  <si>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</si>
  <si>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</si>
  <si>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</si>
  <si>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</si>
  <si>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</si>
  <si>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</si>
  <si>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</si>
  <si>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</si>
  <si>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</si>
  <si>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</si>
  <si>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</si>
  <si>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</si>
  <si>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</si>
  <si>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</si>
  <si>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</si>
  <si>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</si>
  <si>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</si>
  <si>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</si>
  <si>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</si>
  <si>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</si>
  <si>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</si>
  <si>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</si>
  <si>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</si>
  <si>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</si>
  <si>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</si>
  <si>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</si>
  <si>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</si>
  <si>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</si>
  <si>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</si>
  <si>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</si>
  <si>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</si>
  <si>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</si>
  <si>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</si>
  <si>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</si>
  <si>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</si>
  <si>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</si>
  <si>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</si>
  <si>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</si>
  <si>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</si>
  <si>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</si>
  <si>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</si>
  <si>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</si>
  <si>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</si>
  <si>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</si>
  <si>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</si>
  <si>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</si>
  <si>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</si>
  <si>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</si>
  <si>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</si>
  <si>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</si>
  <si>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</si>
  <si>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</si>
  <si>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</si>
  <si>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</si>
  <si>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</si>
  <si>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</si>
  <si>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</si>
  <si>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</si>
  <si>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</si>
  <si>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</si>
  <si>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</si>
  <si>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</si>
  <si>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</si>
  <si>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</si>
  <si>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</si>
  <si>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</si>
  <si>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</si>
  <si>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</si>
  <si>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</si>
  <si>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</si>
  <si>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</si>
  <si>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</si>
  <si>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</si>
  <si>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</si>
  <si>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</si>
  <si>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</si>
  <si>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</si>
  <si>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</si>
  <si>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</si>
  <si>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</si>
  <si>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</si>
  <si>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</si>
  <si>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</si>
  <si>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</si>
  <si>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</si>
  <si>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</si>
  <si>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</si>
  <si>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</si>
  <si>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</si>
  <si>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</si>
  <si>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</si>
  <si>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</si>
  <si>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</si>
  <si>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</si>
  <si>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</si>
  <si>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</si>
  <si>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</si>
  <si>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</si>
  <si>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</si>
  <si>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</si>
  <si>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</si>
  <si>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</si>
  <si>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</si>
  <si>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</si>
  <si>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</si>
  <si>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</si>
  <si>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</si>
  <si>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</si>
  <si>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</si>
  <si>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</si>
  <si>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</si>
  <si>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</si>
  <si>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</si>
  <si>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</si>
  <si>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</si>
  <si>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</si>
  <si>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</si>
  <si>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</si>
  <si>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</si>
  <si>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</si>
  <si>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</si>
  <si>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</si>
  <si>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</si>
  <si>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</si>
  <si>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</si>
  <si>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</si>
  <si>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</si>
  <si>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</si>
  <si>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</si>
  <si>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</si>
  <si>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</si>
  <si>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</si>
  <si>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</si>
  <si>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</si>
  <si>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</si>
  <si>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</si>
  <si>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</si>
  <si>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</si>
  <si>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</si>
  <si>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</si>
  <si>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</si>
  <si>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</si>
  <si>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</si>
  <si>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</si>
  <si>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</si>
  <si>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</si>
  <si>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</si>
  <si>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</si>
  <si>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</si>
  <si>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</si>
  <si>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</si>
  <si>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</si>
  <si>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</si>
  <si>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</si>
  <si>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</si>
  <si>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</si>
  <si>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</si>
  <si>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</si>
  <si>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</si>
  <si>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</si>
  <si>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</si>
  <si>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</si>
  <si>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</si>
  <si>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</si>
  <si>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</si>
  <si>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</si>
  <si>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</si>
  <si>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</si>
  <si>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</si>
  <si>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</si>
  <si>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</si>
  <si>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</si>
  <si>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</si>
  <si>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</si>
  <si>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</si>
  <si>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</si>
  <si>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</si>
  <si>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</si>
  <si>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</si>
  <si>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</si>
  <si>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</si>
  <si>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</si>
  <si>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</si>
  <si>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</si>
  <si>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</si>
  <si>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</si>
  <si>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</si>
  <si>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</si>
  <si>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</si>
  <si>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</si>
  <si>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netcash</t>
  </si>
  <si>
    <t>cond_netcash</t>
  </si>
  <si>
    <t>ai</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</si>
  <si>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</si>
  <si>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</si>
  <si>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</si>
  <si>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</si>
  <si>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</si>
  <si>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</si>
  <si>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</si>
  <si>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</si>
  <si>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</si>
  <si>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</si>
  <si>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</si>
  <si>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</si>
  <si>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</si>
  <si>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</si>
  <si>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</si>
  <si>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</si>
  <si>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</si>
  <si>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</si>
  <si>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</si>
  <si>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</si>
  <si>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</si>
  <si>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</si>
  <si>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</si>
  <si>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</si>
  <si>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</si>
  <si>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</si>
  <si>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</si>
  <si>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</si>
  <si>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</si>
  <si>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</si>
  <si>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</si>
  <si>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</si>
  <si>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</si>
  <si>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</si>
  <si>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</si>
  <si>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</si>
  <si>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</si>
  <si>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</si>
  <si>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</si>
  <si>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</si>
  <si>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</si>
  <si>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</si>
  <si>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</si>
  <si>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</si>
  <si>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</si>
  <si>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</si>
  <si>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</si>
  <si>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</si>
  <si>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</si>
  <si>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</si>
  <si>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</si>
  <si>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</si>
  <si>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</si>
  <si>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</si>
  <si>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</si>
  <si>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</si>
  <si>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</si>
  <si>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</si>
  <si>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</si>
  <si>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</si>
  <si>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</si>
  <si>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</si>
  <si>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</si>
  <si>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</si>
  <si>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</si>
  <si>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</si>
  <si>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</si>
  <si>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</si>
  <si>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</si>
  <si>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</si>
  <si>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</si>
  <si>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</si>
  <si>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</si>
  <si>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</si>
  <si>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</si>
  <si>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</si>
  <si>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</si>
  <si>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</si>
  <si>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</si>
  <si>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</si>
  <si>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</si>
  <si>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</si>
  <si>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</si>
  <si>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</si>
  <si>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</si>
  <si>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</si>
  <si>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</si>
  <si>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</si>
  <si>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</si>
  <si>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</si>
  <si>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</si>
  <si>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</si>
  <si>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</si>
  <si>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</si>
  <si>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</si>
  <si>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</si>
  <si>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beneficiaries</t>
  </si>
  <si>
    <t>benefits</t>
  </si>
  <si>
    <t>coverage</t>
  </si>
  <si>
    <t>mean</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</si>
  <si>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</si>
  <si>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</si>
  <si>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</si>
  <si>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</si>
  <si>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</si>
  <si>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</si>
  <si>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</si>
  <si>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</si>
  <si>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</si>
  <si>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</si>
  <si>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</si>
  <si>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</si>
  <si>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</si>
  <si>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</si>
  <si>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</si>
  <si>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</si>
  <si>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</si>
  <si>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</si>
  <si>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</si>
  <si>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</si>
  <si>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</si>
  <si>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</si>
  <si>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</si>
  <si>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</si>
  <si>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</si>
  <si>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</si>
  <si>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</si>
  <si>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</si>
  <si>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</si>
  <si>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</si>
  <si>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</si>
  <si>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</si>
  <si>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</si>
  <si>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</si>
  <si>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</si>
  <si>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</si>
  <si>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</si>
  <si>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</si>
  <si>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</si>
  <si>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</si>
  <si>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</si>
  <si>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</si>
  <si>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</si>
  <si>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</si>
  <si>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</si>
  <si>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</si>
  <si>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</si>
  <si>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</si>
  <si>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</si>
  <si>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</si>
  <si>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</si>
  <si>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</si>
  <si>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</si>
  <si>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</si>
  <si>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</si>
  <si>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</si>
  <si>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</si>
  <si>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</si>
  <si>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</si>
  <si>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</si>
  <si>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</si>
  <si>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</si>
  <si>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</si>
  <si>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</si>
  <si>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</si>
  <si>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</si>
  <si>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</si>
  <si>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</si>
  <si>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</si>
  <si>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</si>
  <si>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</si>
  <si>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</si>
  <si>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</si>
  <si>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</si>
  <si>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</si>
  <si>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</si>
  <si>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</si>
  <si>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</si>
  <si>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</si>
  <si>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</si>
  <si>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</si>
  <si>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</si>
  <si>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</si>
  <si>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</si>
  <si>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</si>
  <si>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</si>
  <si>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</si>
  <si>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</si>
  <si>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</si>
  <si>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</si>
  <si>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</si>
  <si>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</si>
  <si>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</si>
  <si>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</si>
  <si>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</si>
  <si>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</si>
  <si>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</si>
  <si>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</si>
  <si>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</si>
  <si>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</si>
  <si>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</si>
  <si>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</si>
  <si>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</si>
  <si>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</si>
  <si>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</si>
  <si>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</si>
  <si>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</si>
  <si>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</si>
  <si>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</si>
  <si>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</si>
  <si>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</si>
  <si>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</si>
  <si>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</si>
  <si>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</si>
  <si>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</si>
  <si>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</si>
  <si>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</si>
  <si>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</si>
  <si>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</si>
  <si>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</si>
  <si>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</si>
  <si>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</si>
  <si>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</si>
  <si>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</si>
  <si>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</si>
  <si>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gini</t>
  </si>
  <si>
    <t>theil</t>
  </si>
  <si>
    <t>fgt0</t>
  </si>
  <si>
    <t>fgt1</t>
  </si>
  <si>
    <t>fgt2</t>
  </si>
  <si>
    <t>value</t>
  </si>
  <si>
    <t>_population</t>
  </si>
  <si>
    <t>variable</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</si>
  <si>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</si>
  <si>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</si>
  <si>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</si>
  <si>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</si>
  <si>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</si>
  <si>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</si>
  <si>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</si>
  <si>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</si>
  <si>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</si>
  <si>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</si>
  <si>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</si>
  <si>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</si>
  <si>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</si>
  <si>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</si>
  <si>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</si>
  <si>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</si>
  <si>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</si>
  <si>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</si>
  <si>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</si>
  <si>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</si>
  <si>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</si>
  <si>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</si>
  <si>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</si>
  <si>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</si>
  <si>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</si>
  <si>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</si>
  <si>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</si>
  <si>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</si>
  <si>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</si>
  <si>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</si>
  <si>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</si>
  <si>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</si>
  <si>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</si>
  <si>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</si>
  <si>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</si>
  <si>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</si>
  <si>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</si>
  <si>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</si>
  <si>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</si>
  <si>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</si>
  <si>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</si>
  <si>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</si>
  <si>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</si>
  <si>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</si>
  <si>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</si>
  <si>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</si>
  <si>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</si>
  <si>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</si>
  <si>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</si>
  <si>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</si>
  <si>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</si>
  <si>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</si>
  <si>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</si>
  <si>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</si>
  <si>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</si>
  <si>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</si>
  <si>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</si>
  <si>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</si>
  <si>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</si>
  <si>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</si>
  <si>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</si>
  <si>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</si>
  <si>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</si>
  <si>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</si>
  <si>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</si>
  <si>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</si>
  <si>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</si>
  <si>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</si>
  <si>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</si>
  <si>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</si>
  <si>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</si>
  <si>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</si>
  <si>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</si>
  <si>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</si>
  <si>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</si>
  <si>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</si>
  <si>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</si>
  <si>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</si>
  <si>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</si>
  <si>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</si>
  <si>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</si>
  <si>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</si>
  <si>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</si>
  <si>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</si>
  <si>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</si>
  <si>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</si>
  <si>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</si>
  <si>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</si>
  <si>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</si>
  <si>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</si>
  <si>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</si>
  <si>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</si>
  <si>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</si>
  <si>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</si>
  <si>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</si>
  <si>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</si>
  <si>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</si>
  <si>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</si>
  <si>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</si>
  <si>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</si>
  <si>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</si>
  <si>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</si>
  <si>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</si>
  <si>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</si>
  <si>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</si>
  <si>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</si>
  <si>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</si>
  <si>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</si>
  <si>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</si>
  <si>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</si>
  <si>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</si>
  <si>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</si>
  <si>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</si>
  <si>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</si>
  <si>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</si>
  <si>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</si>
  <si>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</si>
  <si>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</si>
  <si>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</si>
  <si>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</si>
  <si>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</si>
  <si>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</si>
  <si>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</si>
  <si>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</si>
  <si>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</si>
  <si>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</si>
  <si>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</si>
  <si>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</si>
  <si>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</si>
  <si>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</si>
  <si>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</si>
  <si>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</si>
  <si>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</si>
  <si>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</si>
  <si>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</si>
  <si>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</si>
  <si>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</si>
  <si>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</si>
  <si>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</si>
  <si>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</si>
  <si>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</si>
  <si>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</si>
  <si>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</si>
  <si>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</si>
  <si>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</si>
  <si>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</si>
  <si>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</si>
  <si>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</si>
  <si>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</si>
  <si>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</si>
  <si>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</si>
  <si>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</si>
  <si>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</si>
  <si>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</si>
  <si>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</si>
  <si>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</si>
  <si>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</si>
  <si>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</si>
  <si>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</si>
  <si>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</si>
  <si>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</si>
  <si>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</si>
  <si>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</si>
  <si>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</si>
  <si>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</si>
  <si>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</si>
  <si>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</si>
  <si>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</si>
  <si>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</si>
  <si>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</si>
  <si>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</si>
  <si>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</si>
  <si>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</si>
  <si>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</si>
  <si>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</si>
  <si>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</si>
  <si>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</si>
  <si>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</si>
  <si>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</si>
  <si>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</si>
  <si>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</si>
  <si>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</si>
  <si>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</si>
  <si>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</si>
  <si>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</si>
  <si>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</si>
  <si>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</si>
  <si>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</si>
  <si>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</si>
  <si>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</si>
  <si>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</si>
  <si>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</si>
  <si>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</si>
  <si>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</si>
  <si>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</si>
  <si>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</si>
  <si>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</si>
  <si>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</si>
  <si>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</si>
  <si>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</si>
  <si>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</si>
  <si>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</si>
  <si>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</si>
  <si>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</si>
  <si>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</si>
  <si>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</si>
  <si>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</si>
  <si>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</si>
  <si>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</si>
  <si>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</si>
  <si>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</si>
  <si>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</si>
  <si>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</si>
  <si>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</si>
  <si>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</si>
  <si>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</si>
  <si>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</si>
  <si>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</si>
  <si>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</si>
  <si>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</si>
  <si>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</si>
  <si>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</si>
  <si>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</si>
  <si>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</si>
  <si>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</si>
  <si>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</si>
  <si>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</si>
  <si>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</si>
  <si>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</si>
  <si>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</si>
  <si>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</si>
  <si>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</si>
  <si>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</si>
  <si>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</si>
  <si>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</si>
  <si>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</si>
  <si>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</si>
  <si>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</si>
  <si>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</si>
  <si>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</si>
  <si>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</si>
  <si>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</si>
  <si>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</si>
  <si>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</si>
  <si>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</si>
  <si>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</si>
  <si>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</si>
  <si>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</si>
  <si>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</si>
  <si>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</si>
  <si>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</si>
  <si>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</si>
  <si>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</si>
  <si>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</si>
  <si>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</si>
  <si>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</si>
  <si>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</si>
  <si>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</si>
  <si>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</si>
  <si>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</si>
  <si>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</si>
  <si>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</si>
  <si>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</si>
  <si>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</si>
  <si>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</si>
  <si>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</si>
  <si>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</si>
  <si>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</si>
  <si>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</si>
  <si>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</si>
  <si>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</si>
  <si>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</si>
  <si>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</si>
  <si>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</si>
  <si>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</si>
  <si>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</si>
  <si>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</si>
  <si>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</si>
  <si>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</si>
  <si>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</si>
  <si>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</si>
  <si>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</si>
  <si>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</si>
  <si>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</si>
  <si>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</si>
  <si>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</si>
  <si>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</si>
  <si>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</si>
  <si>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</si>
  <si>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</si>
  <si>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</si>
  <si>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</si>
  <si>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</si>
  <si>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</si>
  <si>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</si>
  <si>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</si>
  <si>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</si>
  <si>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</si>
  <si>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</si>
  <si>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</si>
  <si>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</si>
  <si>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</si>
  <si>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</si>
  <si>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</si>
  <si>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</si>
  <si>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</si>
  <si>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</si>
  <si>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</si>
  <si>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</si>
  <si>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</si>
  <si>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</si>
  <si>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</si>
  <si>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</si>
  <si>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</si>
  <si>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</si>
  <si>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</si>
  <si>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</si>
  <si>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</si>
  <si>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</si>
  <si>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</si>
  <si>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</si>
  <si>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</si>
  <si>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</si>
  <si>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</si>
  <si>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</si>
  <si>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</si>
  <si>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</si>
  <si>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</si>
  <si>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</si>
  <si>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</si>
  <si>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</si>
  <si>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</si>
  <si>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</si>
  <si>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</si>
  <si>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</si>
  <si>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</si>
  <si>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</si>
  <si>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</si>
  <si>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</si>
  <si>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</si>
  <si>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</si>
  <si>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</si>
  <si>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</si>
  <si>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</si>
  <si>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</si>
  <si>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</si>
  <si>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</si>
  <si>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</si>
  <si>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</si>
  <si>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</si>
  <si>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</si>
  <si>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</si>
  <si>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</si>
  <si>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</si>
  <si>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</si>
  <si>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</si>
  <si>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</si>
  <si>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</si>
  <si>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</si>
  <si>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</si>
  <si>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</si>
  <si>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</si>
  <si>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</si>
  <si>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</si>
  <si>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</si>
  <si>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</si>
  <si>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</si>
  <si>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</si>
  <si>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</si>
  <si>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</si>
  <si>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</si>
  <si>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</si>
  <si>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</si>
  <si>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</si>
  <si>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</si>
  <si>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</si>
  <si>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</si>
  <si>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</si>
  <si>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</si>
  <si>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</si>
  <si>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</si>
  <si>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</si>
  <si>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</si>
  <si>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</si>
  <si>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</si>
  <si>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</si>
  <si>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</si>
  <si>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</si>
  <si>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</si>
  <si>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</si>
  <si>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</si>
  <si>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</si>
  <si>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</si>
  <si>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</si>
  <si>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</si>
  <si>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</si>
  <si>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</si>
  <si>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</si>
  <si>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</si>
  <si>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</si>
  <si>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</si>
  <si>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</si>
  <si>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</si>
  <si>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</si>
  <si>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</si>
  <si>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</si>
  <si>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</si>
  <si>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</si>
  <si>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</si>
  <si>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</si>
  <si>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</si>
  <si>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</si>
  <si>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</si>
  <si>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</si>
  <si>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</si>
  <si>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</si>
  <si>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</si>
  <si>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</si>
  <si>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</si>
  <si>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</si>
  <si>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</si>
  <si>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</si>
  <si>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</si>
  <si>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</si>
  <si>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</si>
  <si>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</si>
  <si>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</si>
  <si>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</si>
  <si>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</si>
  <si>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</si>
  <si>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</si>
  <si>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</si>
  <si>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</si>
  <si>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</si>
  <si>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</si>
  <si>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</si>
  <si>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</si>
  <si>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</si>
  <si>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</si>
  <si>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</si>
  <si>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</si>
  <si>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</si>
  <si>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</si>
  <si>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</si>
  <si>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</si>
  <si>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</si>
  <si>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</si>
  <si>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</si>
  <si>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</si>
  <si>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</si>
  <si>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</si>
  <si>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</si>
  <si>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</si>
  <si>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</si>
  <si>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</si>
  <si>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</si>
  <si>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</si>
  <si>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</si>
  <si>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</si>
  <si>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</si>
  <si>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</si>
  <si>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</si>
  <si>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</si>
  <si>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</si>
  <si>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</si>
  <si>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</si>
  <si>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</si>
  <si>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</si>
  <si>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</si>
  <si>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</si>
  <si>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</si>
  <si>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</si>
  <si>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</si>
  <si>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</si>
  <si>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</si>
  <si>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</si>
  <si>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</si>
  <si>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</si>
  <si>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</si>
  <si>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</si>
  <si>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</si>
  <si>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</si>
  <si>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</si>
  <si>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</si>
  <si>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</si>
  <si>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</si>
  <si>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</si>
  <si>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</si>
  <si>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</si>
  <si>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</si>
  <si>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</si>
  <si>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</si>
  <si>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</si>
  <si>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</si>
  <si>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</si>
  <si>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</si>
  <si>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</si>
  <si>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</si>
  <si>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</si>
  <si>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</si>
  <si>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</si>
  <si>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</si>
  <si>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</si>
  <si>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</si>
  <si>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</si>
  <si>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</si>
  <si>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</si>
  <si>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</si>
  <si>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</si>
  <si>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</si>
  <si>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</si>
  <si>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</si>
  <si>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</si>
  <si>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</si>
  <si>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</si>
  <si>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</si>
  <si>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</si>
  <si>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</si>
  <si>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</si>
  <si>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</si>
  <si>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</si>
  <si>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</si>
  <si>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</si>
  <si>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</si>
  <si>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</si>
  <si>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</si>
  <si>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</si>
  <si>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</si>
  <si>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</si>
  <si>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</si>
  <si>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</si>
  <si>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</si>
  <si>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</si>
  <si>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</si>
  <si>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</si>
  <si>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</si>
  <si>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</si>
  <si>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</si>
  <si>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</si>
  <si>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</si>
  <si>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</si>
  <si>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</si>
  <si>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</si>
  <si>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</si>
  <si>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</si>
  <si>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</si>
  <si>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</si>
  <si>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</si>
  <si>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</si>
  <si>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</si>
  <si>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</si>
  <si>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</si>
  <si>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</si>
  <si>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</si>
  <si>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</si>
  <si>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</si>
  <si>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</si>
  <si>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</si>
  <si>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</si>
  <si>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</si>
  <si>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</si>
  <si>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</si>
  <si>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</si>
  <si>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</si>
  <si>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</si>
  <si>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</si>
  <si>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</si>
  <si>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</si>
  <si>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</si>
  <si>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</si>
  <si>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</si>
  <si>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</si>
  <si>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</si>
  <si>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</si>
  <si>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</si>
  <si>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</si>
  <si>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</si>
  <si>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</si>
  <si>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</si>
  <si>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</si>
  <si>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</si>
  <si>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</si>
  <si>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</si>
  <si>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</si>
  <si>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</si>
  <si>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</si>
  <si>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</si>
  <si>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</si>
  <si>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</si>
  <si>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</si>
  <si>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</si>
  <si>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</si>
  <si>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</si>
  <si>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</si>
  <si>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</si>
  <si>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</si>
  <si>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</si>
  <si>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</si>
  <si>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</si>
  <si>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</si>
  <si>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</si>
  <si>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</si>
  <si>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</si>
  <si>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</si>
  <si>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</si>
  <si>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</si>
  <si>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</si>
  <si>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</si>
  <si>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</si>
  <si>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</si>
  <si>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</si>
  <si>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</si>
  <si>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</si>
  <si>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</si>
  <si>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</si>
  <si>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</si>
  <si>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</si>
  <si>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</si>
  <si>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</si>
  <si>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</si>
  <si>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</si>
  <si>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</si>
  <si>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</si>
  <si>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</si>
  <si>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</si>
  <si>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</si>
  <si>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</si>
  <si>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</si>
  <si>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</si>
  <si>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</si>
  <si>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</si>
  <si>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</si>
  <si>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</si>
  <si>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</si>
  <si>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</si>
  <si>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</si>
  <si>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</si>
  <si>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</si>
  <si>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</si>
  <si>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</si>
  <si>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</si>
  <si>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</si>
  <si>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</si>
  <si>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</si>
  <si>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</si>
  <si>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</si>
  <si>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</si>
  <si>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</si>
  <si>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</si>
  <si>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</si>
  <si>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</si>
  <si>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</si>
  <si>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</si>
  <si>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</si>
  <si>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</si>
  <si>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</si>
  <si>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</si>
  <si>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</si>
  <si>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</si>
  <si>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</si>
  <si>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</si>
  <si>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</si>
  <si>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</si>
  <si>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</si>
  <si>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</si>
  <si>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</si>
  <si>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</si>
  <si>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</si>
  <si>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</si>
  <si>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</si>
  <si>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</si>
  <si>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</si>
  <si>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</si>
  <si>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</si>
  <si>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</si>
  <si>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</si>
  <si>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</si>
  <si>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</si>
  <si>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</si>
  <si>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</si>
  <si>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</si>
  <si>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</si>
  <si>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</si>
  <si>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</si>
  <si>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</si>
  <si>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</si>
  <si>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</si>
  <si>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</si>
  <si>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</si>
  <si>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</si>
  <si>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</si>
  <si>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</si>
  <si>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</si>
  <si>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</si>
  <si>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</si>
  <si>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</si>
  <si>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</si>
  <si>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</si>
  <si>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</si>
  <si>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</si>
  <si>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</si>
  <si>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</si>
  <si>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</si>
  <si>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</si>
  <si>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</si>
  <si>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</si>
  <si>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</si>
  <si>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</si>
  <si>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</si>
  <si>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</si>
  <si>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</si>
  <si>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</si>
  <si>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</si>
  <si>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</si>
  <si>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</si>
  <si>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</si>
  <si>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</si>
  <si>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</si>
  <si>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</si>
  <si>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</si>
  <si>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</si>
  <si>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</si>
  <si>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</si>
  <si>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</si>
  <si>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</si>
  <si>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</si>
  <si>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</si>
  <si>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</si>
  <si>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</si>
  <si>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</si>
  <si>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</si>
  <si>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</si>
  <si>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</si>
  <si>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</si>
  <si>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</si>
  <si>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</si>
  <si>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</si>
  <si>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</si>
  <si>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</si>
  <si>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</si>
  <si>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</si>
  <si>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</si>
  <si>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</si>
  <si>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</si>
  <si>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</si>
  <si>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</si>
  <si>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</si>
  <si>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</si>
  <si>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</si>
  <si>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</si>
  <si>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</si>
  <si>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vat_elec_pc</t>
  </si>
  <si>
    <t>all_elec_pc</t>
  </si>
  <si>
    <t>social_tranche_pc</t>
  </si>
  <si>
    <t>all_miti_pc</t>
  </si>
  <si>
    <t>am_new_pnbsf_pc</t>
  </si>
  <si>
    <t>all_miti_noST_pc</t>
  </si>
  <si>
    <t>vat_fuel_pc</t>
  </si>
  <si>
    <t>am_pnbsf_newbenefs_pc</t>
  </si>
  <si>
    <t>subsidy_fuel_pc</t>
  </si>
  <si>
    <t>subs_public_transport_pc</t>
  </si>
  <si>
    <t>subsidy_elec_pc</t>
  </si>
  <si>
    <t>subsidy_fuel_direct_pc</t>
  </si>
  <si>
    <t>all_subs_noST_pc</t>
  </si>
  <si>
    <t>am_delayed_pnbsf_pc</t>
  </si>
  <si>
    <t>am_pnbsf_transferinc_pc</t>
  </si>
  <si>
    <t>subsidy_elec_direct_pc</t>
  </si>
  <si>
    <t>all_policies_miti_pc</t>
  </si>
  <si>
    <t>all_policies_pc</t>
  </si>
  <si>
    <t>all_fuel_pc</t>
  </si>
  <si>
    <t>subsidy_elec_indirect_pc</t>
  </si>
  <si>
    <t>all_subs_pc</t>
  </si>
  <si>
    <t>subsidy_fuel_indirect_pc</t>
  </si>
  <si>
    <t>all_policies_noST_pc</t>
  </si>
  <si>
    <t>all_tax_pc</t>
  </si>
  <si>
    <t>all_miti_pc</t>
  </si>
  <si>
    <t>all_policies_pc</t>
  </si>
  <si>
    <t>all_fuel_pc</t>
  </si>
  <si>
    <t>subsidy_fuel_direct_pc</t>
  </si>
  <si>
    <t>subsidy_elec_pc</t>
  </si>
  <si>
    <t>vat_elec_pc</t>
  </si>
  <si>
    <t>subsidy_elec_indirect_pc</t>
  </si>
  <si>
    <t>subsidy_fuel_pc</t>
  </si>
  <si>
    <t>all_policies_noST_pc</t>
  </si>
  <si>
    <t>all_tax_pc</t>
  </si>
  <si>
    <t>am_pnbsf_transferinc_pc</t>
  </si>
  <si>
    <t>all_subs_pc</t>
  </si>
  <si>
    <t>social_tranche_pc</t>
  </si>
  <si>
    <t>all_elec_noST_pc</t>
  </si>
  <si>
    <t>all_policies_miti_pc</t>
  </si>
  <si>
    <t>am_pnbsf_newbenefs_pc</t>
  </si>
  <si>
    <t>all_miti_noST_pc</t>
  </si>
  <si>
    <t>all_elec_pc</t>
  </si>
  <si>
    <t>am_new_pnbsf_pc</t>
  </si>
  <si>
    <t>all_subs_noST_pc</t>
  </si>
  <si>
    <t>subsidy_fuel_indirect_pc</t>
  </si>
  <si>
    <t>vat_fuel_pc</t>
  </si>
  <si>
    <t>am_delayed_pnbsf_pc</t>
  </si>
  <si>
    <t>subsidy_elec_direct_pc</t>
  </si>
  <si>
    <t>subs_public_transport_pc</t>
  </si>
  <si>
    <t>am_delayed_pnbsf_pc</t>
  </si>
  <si>
    <t>all_subs_noST_pc</t>
  </si>
  <si>
    <t>subsidy_elec_pc</t>
  </si>
  <si>
    <t>subsidy_fuel_indirect_pc</t>
  </si>
  <si>
    <t>all_elec_noST_pc</t>
  </si>
  <si>
    <t>vat_elec_pc</t>
  </si>
  <si>
    <t>all_elec_pc</t>
  </si>
  <si>
    <t>all_policies_noST_pc</t>
  </si>
  <si>
    <t>subsidy_elec_indirect_pc</t>
  </si>
  <si>
    <t>all_miti_noST_pc</t>
  </si>
  <si>
    <t>am_pnbsf_transferinc_pc</t>
  </si>
  <si>
    <t>subsidy_fuel_pc</t>
  </si>
  <si>
    <t>am_new_pnbsf_pc</t>
  </si>
  <si>
    <t>all_miti_pc</t>
  </si>
  <si>
    <t>all_policies_miti_pc</t>
  </si>
  <si>
    <t>subs_public_transport_pc</t>
  </si>
  <si>
    <t>vat_fuel_pc</t>
  </si>
  <si>
    <t>all_policies_pc</t>
  </si>
  <si>
    <t>all_subs_pc</t>
  </si>
  <si>
    <t>am_pnbsf_newbenefs_pc</t>
  </si>
  <si>
    <t>all_fuel_pc</t>
  </si>
  <si>
    <t>all_tax_pc</t>
  </si>
  <si>
    <t>subsidy_fuel_direct_pc</t>
  </si>
  <si>
    <t>subsidy_elec_direct_pc</t>
  </si>
  <si>
    <t>social_tranche_pc</t>
  </si>
  <si>
    <t>all_policies_pc</t>
  </si>
  <si>
    <t>vat_elec_pc</t>
  </si>
  <si>
    <t>am_pnbsf_newbenefs_pc</t>
  </si>
  <si>
    <t>all_subs_noST_pc</t>
  </si>
  <si>
    <t>subsidy_elec_pc</t>
  </si>
  <si>
    <t>subs_public_transport_pc</t>
  </si>
  <si>
    <t>am_new_pnbsf_pc</t>
  </si>
  <si>
    <t>all_elec_pc</t>
  </si>
  <si>
    <t>all_subs_pc</t>
  </si>
  <si>
    <t>subsidy_fuel_pc</t>
  </si>
  <si>
    <t>subsidy_fuel_direct_pc</t>
  </si>
  <si>
    <t>all_fuel_pc</t>
  </si>
  <si>
    <t>social_tranche_pc</t>
  </si>
  <si>
    <t>subsidy_fuel_indirect_pc</t>
  </si>
  <si>
    <t>all_policies_miti_pc</t>
  </si>
  <si>
    <t>all_policies_noST_pc</t>
  </si>
  <si>
    <t>all_tax_pc</t>
  </si>
  <si>
    <t>all_miti_pc</t>
  </si>
  <si>
    <t>subsidy_elec_indirect_pc</t>
  </si>
  <si>
    <t>am_delayed_pnbsf_pc</t>
  </si>
  <si>
    <t>subsidy_elec_direct_pc</t>
  </si>
  <si>
    <t>am_pnbsf_transferinc_pc</t>
  </si>
  <si>
    <t>all_miti_noST_pc</t>
  </si>
  <si>
    <t>vat_fuel_pc</t>
  </si>
  <si>
    <t>all_elec_noST_pc</t>
  </si>
  <si>
    <t>all_policies_noST_pc</t>
  </si>
  <si>
    <t>all_fuel_pc</t>
  </si>
  <si>
    <t>vat_elec_pc</t>
  </si>
  <si>
    <t>subsidy_fuel_indirect_pc</t>
  </si>
  <si>
    <t>subsidy_elec_direct_pc</t>
  </si>
  <si>
    <t>all_miti_pc</t>
  </si>
  <si>
    <t>all_miti_noST_pc</t>
  </si>
  <si>
    <t>all_elec_pc</t>
  </si>
  <si>
    <t>all_subs_pc</t>
  </si>
  <si>
    <t>all_subs_noST_pc</t>
  </si>
  <si>
    <t>subsidy_elec_pc</t>
  </si>
  <si>
    <t>am_pnbsf_newbenefs_pc</t>
  </si>
  <si>
    <t>all_policies_pc</t>
  </si>
  <si>
    <t>all_elec_noST_pc</t>
  </si>
  <si>
    <t>vat_fuel_pc</t>
  </si>
  <si>
    <t>subsidy_fuel_pc</t>
  </si>
  <si>
    <t>subsidy_elec_indirect_pc</t>
  </si>
  <si>
    <t>subs_public_transport_pc</t>
  </si>
  <si>
    <t>am_new_pnbsf_pc</t>
  </si>
  <si>
    <t>all_policies_miti_pc</t>
  </si>
  <si>
    <t>social_tranche_pc</t>
  </si>
  <si>
    <t>all_tax_pc</t>
  </si>
  <si>
    <t>subsidy_fuel_direct_pc</t>
  </si>
  <si>
    <t>am_pnbsf_transferinc_pc</t>
  </si>
  <si>
    <t>am_delayed_pnbsf_pc</t>
  </si>
  <si>
    <t>subsidy_fuel_direct_pc</t>
  </si>
  <si>
    <t>all_fuel_pc</t>
  </si>
  <si>
    <t>all_policies_pc</t>
  </si>
  <si>
    <t>all_miti_noST_pc</t>
  </si>
  <si>
    <t>am_delayed_pnbsf_pc</t>
  </si>
  <si>
    <t>social_tranche_pc</t>
  </si>
  <si>
    <t>vat_elec_pc</t>
  </si>
  <si>
    <t>subsidy_elec_direct_pc</t>
  </si>
  <si>
    <t>all_elec_pc</t>
  </si>
  <si>
    <t>subsidy_elec_pc</t>
  </si>
  <si>
    <t>am_pnbsf_newbenefs_pc</t>
  </si>
  <si>
    <t>am_pnbsf_transferinc_pc</t>
  </si>
  <si>
    <t>vat_fuel_pc</t>
  </si>
  <si>
    <t>subsidy_fuel_indirect_pc</t>
  </si>
  <si>
    <t>subs_public_transport_pc</t>
  </si>
  <si>
    <t>all_subs_noST_pc</t>
  </si>
  <si>
    <t>all_policies_noST_pc</t>
  </si>
  <si>
    <t>all_miti_pc</t>
  </si>
  <si>
    <t>all_tax_pc</t>
  </si>
  <si>
    <t>am_new_pnbsf_pc</t>
  </si>
  <si>
    <t>subsidy_fuel_pc</t>
  </si>
  <si>
    <t>all_subs_pc</t>
  </si>
  <si>
    <t>all_elec_noST_pc</t>
  </si>
  <si>
    <t>all_policies_miti_pc</t>
  </si>
  <si>
    <t>subsidy_elec_indirect_pc</t>
  </si>
  <si>
    <t>subsidy_elec_direct_pc</t>
  </si>
  <si>
    <t>vat_elec_pc</t>
  </si>
  <si>
    <t>am_pnbsf_newbenefs_pc</t>
  </si>
  <si>
    <t>all_subs_noST_pc</t>
  </si>
  <si>
    <t>all_policies_miti_pc</t>
  </si>
  <si>
    <t>social_tranche_pc</t>
  </si>
  <si>
    <t>subsidy_fuel_indirect_pc</t>
  </si>
  <si>
    <t>all_subs_pc</t>
  </si>
  <si>
    <t>all_elec_noST_pc</t>
  </si>
  <si>
    <t>all_tax_pc</t>
  </si>
  <si>
    <t>subsidy_fuel_direct_pc</t>
  </si>
  <si>
    <t>vat_fuel_pc</t>
  </si>
  <si>
    <t>subsidy_fuel_pc</t>
  </si>
  <si>
    <t>subs_public_transport_pc</t>
  </si>
  <si>
    <t>all_fuel_pc</t>
  </si>
  <si>
    <t>all_policies_noST_pc</t>
  </si>
  <si>
    <t>all_miti_pc</t>
  </si>
  <si>
    <t>all_policies_pc</t>
  </si>
  <si>
    <t>am_pnbsf_transferinc_pc</t>
  </si>
  <si>
    <t>am_new_pnbsf_pc</t>
  </si>
  <si>
    <t>all_miti_noST_pc</t>
  </si>
  <si>
    <t>all_elec_pc</t>
  </si>
  <si>
    <t>subsidy_elec_pc</t>
  </si>
  <si>
    <t>subsidy_elec_indirect_pc</t>
  </si>
  <si>
    <t>am_delayed_pnbsf_pc</t>
  </si>
  <si>
    <t>subsidy_elec_pc</t>
  </si>
  <si>
    <t>am_pnbsf_newbenefs_pc</t>
  </si>
  <si>
    <t>all_tax_pc</t>
  </si>
  <si>
    <t>all_elec_noST_pc</t>
  </si>
  <si>
    <t>am_new_pnbsf_pc</t>
  </si>
  <si>
    <t>subsidy_elec_direct_pc</t>
  </si>
  <si>
    <t>subs_public_transport_pc</t>
  </si>
  <si>
    <t>all_miti_pc</t>
  </si>
  <si>
    <t>subsidy_elec_indirect_pc</t>
  </si>
  <si>
    <t>am_pnbsf_transferinc_pc</t>
  </si>
  <si>
    <t>all_policies_miti_pc</t>
  </si>
  <si>
    <t>subsidy_fuel_direct_pc</t>
  </si>
  <si>
    <t>vat_elec_pc</t>
  </si>
  <si>
    <t>am_delayed_pnbsf_pc</t>
  </si>
  <si>
    <t>subsidy_fuel_indirect_pc</t>
  </si>
  <si>
    <t>social_tranche_pc</t>
  </si>
  <si>
    <t>all_elec_pc</t>
  </si>
  <si>
    <t>all_fuel_pc</t>
  </si>
  <si>
    <t>all_subs_noST_pc</t>
  </si>
  <si>
    <t>all_policies_pc</t>
  </si>
  <si>
    <t>all_policies_noST_pc</t>
  </si>
  <si>
    <t>subsidy_fuel_pc</t>
  </si>
  <si>
    <t>vat_fuel_pc</t>
  </si>
  <si>
    <t>all_subs_pc</t>
  </si>
  <si>
    <t>all_miti_noST_pc</t>
  </si>
  <si>
    <t>subsidy_elec_pc</t>
  </si>
  <si>
    <t>vat_fuel_pc</t>
  </si>
  <si>
    <t>all_subs_noST_pc</t>
  </si>
  <si>
    <t>am_delayed_pnbsf_pc</t>
  </si>
  <si>
    <t>all_policies_pc</t>
  </si>
  <si>
    <t>all_elec_pc</t>
  </si>
  <si>
    <t>vat_elec_pc</t>
  </si>
  <si>
    <t>am_new_pnbsf_pc</t>
  </si>
  <si>
    <t>subs_public_transport_pc</t>
  </si>
  <si>
    <t>subsidy_elec_direct_pc</t>
  </si>
  <si>
    <t>all_tax_pc</t>
  </si>
  <si>
    <t>all_elec_noST_pc</t>
  </si>
  <si>
    <t>social_tranche_pc</t>
  </si>
  <si>
    <t>all_policies_miti_pc</t>
  </si>
  <si>
    <t>all_policies_noST_pc</t>
  </si>
  <si>
    <t>subsidy_fuel_pc</t>
  </si>
  <si>
    <t>am_pnbsf_newbenefs_pc</t>
  </si>
  <si>
    <t>subsidy_elec_indirect_pc</t>
  </si>
  <si>
    <t>subsidy_fuel_direct_pc</t>
  </si>
  <si>
    <t>subsidy_fuel_indirect_pc</t>
  </si>
  <si>
    <t>all_subs_pc</t>
  </si>
  <si>
    <t>all_miti_noST_pc</t>
  </si>
  <si>
    <t>am_pnbsf_transferinc_pc</t>
  </si>
  <si>
    <t>all_miti_pc</t>
  </si>
  <si>
    <t>all_fuel_pc</t>
  </si>
  <si>
    <t>am_new_pnbsf_pc</t>
  </si>
  <si>
    <t>am_pnbsf_transferinc_pc</t>
  </si>
  <si>
    <t>all_elec_pc</t>
  </si>
  <si>
    <t>all_subs_noST_pc</t>
  </si>
  <si>
    <t>all_subs_pc</t>
  </si>
  <si>
    <t>am_pnbsf_newbenefs_pc</t>
  </si>
  <si>
    <t>social_tranche_pc</t>
  </si>
  <si>
    <t>am_delayed_pnbsf_pc</t>
  </si>
  <si>
    <t>vat_fuel_pc</t>
  </si>
  <si>
    <t>all_policies_noST_pc</t>
  </si>
  <si>
    <t>all_policies_miti_pc</t>
  </si>
  <si>
    <t>subsidy_fuel_pc</t>
  </si>
  <si>
    <t>subsidy_elec_pc</t>
  </si>
  <si>
    <t>all_elec_noST_pc</t>
  </si>
  <si>
    <t>all_tax_pc</t>
  </si>
  <si>
    <t>all_miti_noST_pc</t>
  </si>
  <si>
    <t>all_policies_pc</t>
  </si>
  <si>
    <t>subsidy_fuel_indirect_pc</t>
  </si>
  <si>
    <t>subsidy_elec_indirect_pc</t>
  </si>
  <si>
    <t>subs_public_transport_pc</t>
  </si>
  <si>
    <t>all_miti_pc</t>
  </si>
  <si>
    <t>subsidy_fuel_direct_pc</t>
  </si>
  <si>
    <t>vat_elec_pc</t>
  </si>
  <si>
    <t>subsidy_elec_direct_pc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</si>
  <si>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</si>
  <si>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</si>
  <si>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</si>
  <si>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</si>
  <si>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</si>
  <si>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</si>
  <si>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</si>
  <si>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</si>
  <si>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</si>
  <si>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</si>
  <si>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</si>
  <si>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</si>
  <si>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</si>
  <si>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</si>
  <si>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</si>
  <si>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</si>
  <si>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</si>
  <si>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</si>
  <si>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</si>
  <si>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</si>
  <si>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</si>
  <si>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</si>
  <si>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</si>
  <si>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</si>
  <si>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</si>
  <si>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</si>
  <si>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</si>
  <si>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</si>
  <si>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</si>
  <si>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</si>
  <si>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</si>
  <si>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</si>
  <si>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</si>
  <si>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</si>
  <si>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</si>
  <si>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</si>
  <si>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</si>
  <si>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</si>
  <si>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</si>
  <si>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</si>
  <si>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</si>
  <si>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</si>
  <si>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</si>
  <si>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</si>
  <si>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</si>
  <si>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</si>
  <si>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</si>
  <si>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</si>
  <si>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</si>
  <si>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</si>
  <si>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</si>
  <si>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</si>
  <si>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</si>
  <si>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</si>
  <si>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</si>
  <si>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</si>
  <si>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</si>
  <si>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</si>
  <si>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</si>
  <si>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</si>
  <si>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</si>
  <si>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</si>
  <si>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</si>
  <si>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</si>
  <si>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</si>
  <si>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</si>
  <si>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</si>
  <si>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</si>
  <si>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</si>
  <si>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</si>
  <si>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</si>
  <si>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</si>
  <si>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</si>
  <si>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</si>
  <si>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</si>
  <si>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</si>
  <si>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</si>
  <si>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</si>
  <si>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</si>
  <si>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</si>
  <si>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</si>
  <si>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</si>
  <si>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</si>
  <si>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</si>
  <si>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</si>
  <si>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</si>
  <si>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</si>
  <si>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</si>
  <si>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</si>
  <si>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</si>
  <si>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</si>
  <si>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</si>
  <si>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</si>
  <si>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</si>
  <si>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</si>
  <si>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</si>
  <si>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</si>
  <si>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</si>
  <si>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</si>
  <si>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</si>
  <si>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</si>
  <si>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</si>
  <si>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</si>
  <si>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</si>
  <si>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</si>
  <si>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</si>
  <si>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</si>
  <si>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</si>
  <si>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</si>
  <si>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</si>
  <si>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</si>
  <si>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</si>
  <si>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</si>
  <si>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</si>
  <si>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</si>
  <si>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</si>
  <si>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</si>
  <si>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</si>
  <si>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</si>
  <si>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</si>
  <si>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</si>
  <si>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</si>
  <si>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</si>
  <si>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</si>
  <si>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</si>
  <si>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</si>
  <si>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</si>
  <si>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</si>
  <si>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</si>
  <si>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</si>
  <si>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</si>
  <si>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</si>
  <si>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</si>
  <si>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</si>
  <si>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</si>
  <si>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</si>
  <si>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</si>
  <si>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</si>
  <si>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</si>
  <si>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</si>
  <si>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</si>
  <si>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</si>
  <si>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</si>
  <si>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</si>
  <si>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</si>
  <si>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</si>
  <si>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</si>
  <si>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</si>
  <si>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</si>
  <si>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</si>
  <si>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</si>
  <si>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</si>
  <si>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</si>
  <si>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</si>
  <si>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</si>
  <si>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</si>
  <si>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</si>
  <si>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</si>
  <si>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</si>
  <si>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</si>
  <si>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</si>
  <si>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</si>
  <si>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</si>
  <si>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</si>
  <si>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</si>
  <si>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</si>
  <si>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</si>
  <si>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</si>
  <si>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</si>
  <si>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</si>
  <si>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</si>
  <si>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</si>
  <si>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</si>
  <si>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</si>
  <si>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</si>
  <si>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</si>
  <si>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</si>
  <si>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</si>
  <si>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</si>
  <si>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</si>
  <si>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</si>
  <si>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</si>
  <si>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</si>
  <si>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</si>
  <si>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</si>
  <si>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</si>
  <si>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</si>
  <si>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</si>
  <si>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</si>
  <si>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</si>
  <si>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</si>
  <si>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</si>
  <si>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</si>
  <si>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</si>
  <si>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</si>
  <si>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</si>
  <si>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</si>
  <si>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</si>
  <si>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</si>
  <si>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</si>
  <si>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</si>
  <si>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</si>
  <si>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</si>
  <si>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</si>
  <si>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</si>
  <si>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</si>
  <si>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</si>
  <si>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</si>
  <si>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</si>
  <si>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</si>
  <si>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</si>
  <si>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</si>
  <si>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</si>
  <si>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</si>
  <si>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</si>
  <si>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</si>
  <si>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</si>
  <si>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</si>
  <si>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</si>
  <si>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</si>
  <si>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</si>
  <si>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</si>
  <si>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</si>
  <si>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</si>
  <si>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</si>
  <si>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</si>
  <si>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</si>
  <si>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</si>
  <si>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</si>
  <si>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</si>
  <si>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</si>
  <si>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</si>
  <si>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</si>
  <si>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</si>
  <si>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</si>
  <si>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</si>
  <si>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</si>
  <si>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</si>
  <si>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</si>
  <si>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</si>
  <si>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</si>
  <si>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</si>
  <si>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</si>
  <si>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</si>
  <si>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</si>
  <si>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</si>
  <si>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</si>
  <si>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</si>
  <si>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</si>
  <si>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</si>
  <si>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</si>
  <si>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</si>
  <si>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</si>
  <si>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</si>
  <si>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</si>
  <si>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</si>
  <si>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</si>
  <si>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</si>
  <si>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</si>
  <si>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</si>
  <si>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</si>
  <si>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</si>
  <si>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</si>
  <si>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</si>
  <si>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</si>
  <si>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</si>
  <si>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</si>
  <si>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</si>
  <si>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</si>
  <si>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</si>
  <si>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</si>
  <si>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</si>
  <si>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</si>
  <si>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</si>
  <si>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</si>
  <si>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</si>
  <si>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</si>
  <si>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</si>
  <si>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</si>
  <si>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</si>
  <si>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</si>
  <si>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</si>
  <si>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</si>
  <si>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</si>
  <si>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</si>
  <si>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</si>
  <si>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</si>
  <si>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</si>
  <si>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</si>
  <si>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</si>
  <si>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</si>
  <si>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</si>
  <si>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</si>
  <si>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</si>
  <si>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</si>
  <si>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</si>
  <si>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</si>
  <si>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</si>
  <si>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</si>
  <si>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</si>
  <si>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</si>
  <si>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</si>
  <si>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</si>
  <si>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</si>
  <si>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</si>
  <si>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</si>
  <si>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</si>
  <si>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</si>
  <si>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</si>
  <si>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</si>
  <si>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</si>
  <si>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</si>
  <si>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</si>
  <si>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</si>
  <si>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</si>
  <si>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</si>
  <si>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</si>
  <si>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</si>
  <si>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</si>
  <si>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</si>
  <si>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</si>
  <si>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</si>
  <si>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</si>
  <si>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</si>
  <si>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</si>
  <si>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</si>
  <si>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</si>
  <si>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</si>
  <si>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</si>
  <si>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</si>
  <si>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</si>
  <si>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</si>
  <si>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</si>
  <si>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</si>
  <si>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</si>
  <si>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</si>
  <si>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</si>
  <si>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</si>
  <si>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</si>
  <si>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</si>
  <si>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</si>
  <si>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</si>
  <si>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</si>
  <si>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</si>
  <si>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</si>
  <si>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</si>
  <si>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</si>
  <si>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</si>
  <si>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</si>
  <si>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</si>
  <si>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</si>
  <si>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</si>
  <si>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</si>
  <si>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</si>
  <si>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</si>
  <si>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</si>
  <si>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</si>
  <si>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</si>
  <si>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</si>
  <si>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</si>
  <si>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</si>
  <si>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</si>
  <si>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</si>
  <si>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</si>
  <si>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</si>
  <si>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</si>
  <si>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</si>
  <si>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</si>
  <si>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</si>
  <si>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</si>
  <si>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</si>
  <si>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</si>
  <si>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</si>
  <si>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</si>
  <si>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</si>
  <si>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</si>
  <si>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</si>
  <si>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</si>
  <si>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</si>
  <si>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</si>
  <si>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</si>
  <si>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</si>
  <si>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</si>
  <si>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</si>
  <si>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</si>
  <si>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</si>
  <si>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</si>
  <si>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</si>
  <si>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</si>
  <si>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</si>
  <si>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</si>
  <si>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</si>
  <si>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</si>
  <si>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</si>
  <si>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</si>
  <si>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</si>
  <si>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</si>
  <si>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</si>
  <si>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</si>
  <si>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</si>
  <si>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</si>
  <si>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</si>
  <si>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</si>
  <si>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</si>
  <si>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</si>
  <si>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</si>
  <si>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</si>
  <si>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</si>
  <si>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</si>
  <si>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</si>
  <si>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</si>
  <si>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</si>
  <si>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</si>
  <si>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</si>
  <si>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</si>
  <si>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</si>
  <si>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</si>
  <si>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</si>
  <si>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</si>
  <si>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</si>
  <si>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</si>
  <si>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</si>
  <si>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</si>
  <si>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</si>
  <si>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</si>
  <si>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</si>
  <si>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</si>
  <si>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</si>
  <si>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</si>
  <si>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</si>
  <si>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</si>
  <si>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</si>
  <si>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</si>
  <si>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</si>
  <si>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</si>
  <si>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</si>
  <si>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</si>
  <si>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</si>
  <si>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</si>
  <si>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</si>
  <si>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</si>
  <si>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</si>
  <si>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</si>
  <si>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</si>
  <si>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</si>
  <si>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</si>
  <si>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</si>
  <si>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</si>
  <si>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</si>
  <si>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</si>
  <si>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</si>
  <si>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</si>
  <si>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</si>
  <si>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</si>
  <si>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</si>
  <si>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</si>
  <si>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</si>
  <si>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</si>
  <si>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</si>
  <si>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</si>
  <si>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</si>
  <si>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</si>
  <si>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</si>
  <si>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</si>
  <si>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</si>
  <si>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</si>
  <si>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</si>
  <si>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</si>
  <si>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</si>
  <si>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</si>
  <si>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</si>
  <si>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</si>
  <si>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</si>
  <si>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</si>
  <si>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</si>
  <si>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</si>
  <si>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</si>
  <si>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</si>
  <si>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</si>
  <si>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</si>
  <si>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</si>
  <si>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</si>
  <si>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</si>
  <si>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</si>
  <si>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</si>
  <si>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</si>
  <si>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</si>
  <si>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</si>
  <si>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</si>
  <si>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</si>
  <si>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</si>
  <si>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</si>
  <si>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</si>
  <si>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</si>
  <si>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</si>
  <si>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</si>
  <si>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</si>
  <si>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</si>
  <si>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</si>
  <si>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</si>
  <si>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</si>
  <si>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</si>
  <si>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</si>
  <si>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</si>
  <si>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</si>
  <si>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</si>
  <si>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</si>
  <si>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</si>
  <si>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</si>
  <si>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</si>
  <si>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</si>
  <si>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</si>
  <si>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</si>
  <si>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</si>
  <si>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</si>
  <si>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</si>
  <si>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</si>
  <si>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</si>
  <si>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</si>
  <si>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</si>
  <si>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</si>
  <si>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</si>
  <si>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</si>
  <si>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</si>
  <si>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</si>
  <si>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</si>
  <si>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</si>
  <si>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</si>
  <si>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</si>
  <si>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</si>
  <si>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</si>
  <si>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</si>
  <si>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</si>
  <si>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</si>
  <si>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</si>
  <si>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</si>
  <si>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</si>
  <si>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</si>
  <si>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</si>
  <si>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</si>
  <si>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</si>
  <si>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</si>
  <si>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</si>
  <si>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</si>
  <si>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</si>
  <si>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</si>
  <si>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</si>
  <si>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</si>
  <si>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</si>
  <si>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</si>
  <si>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</si>
  <si>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</si>
  <si>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</si>
  <si>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</si>
  <si>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</si>
  <si>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</si>
  <si>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</si>
  <si>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</si>
  <si>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</si>
  <si>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</si>
  <si>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</si>
  <si>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</si>
  <si>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</si>
  <si>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</si>
  <si>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</si>
  <si>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</si>
  <si>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</si>
  <si>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</si>
  <si>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</si>
  <si>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</si>
  <si>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</si>
  <si>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</si>
  <si>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</si>
  <si>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</si>
  <si>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</si>
  <si>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</si>
  <si>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</si>
  <si>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</si>
  <si>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</si>
  <si>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</si>
  <si>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</si>
  <si>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</si>
  <si>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</si>
  <si>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</si>
  <si>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</si>
  <si>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</si>
  <si>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</si>
  <si>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</si>
  <si>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</si>
  <si>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</si>
  <si>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</si>
  <si>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</si>
  <si>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</si>
  <si>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</si>
  <si>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</si>
  <si>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</si>
  <si>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</si>
  <si>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</si>
  <si>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</si>
  <si>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</si>
  <si>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</si>
  <si>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</si>
  <si>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</si>
  <si>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</si>
  <si>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</si>
  <si>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</si>
  <si>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</si>
  <si>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</si>
  <si>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</si>
  <si>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</si>
  <si>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</si>
  <si>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</si>
  <si>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</si>
  <si>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</si>
  <si>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</si>
  <si>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</si>
  <si>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</si>
  <si>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</si>
  <si>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</si>
  <si>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</si>
  <si>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</si>
  <si>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</si>
  <si>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</si>
  <si>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</si>
  <si>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</si>
  <si>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</si>
  <si>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</si>
  <si>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</si>
  <si>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</si>
  <si>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</si>
  <si>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</si>
  <si>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</si>
  <si>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</si>
  <si>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</si>
  <si>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</si>
  <si>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</si>
  <si>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</si>
  <si>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</si>
  <si>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</si>
  <si>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</si>
  <si>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</si>
  <si>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</si>
  <si>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</si>
  <si>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</si>
  <si>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</si>
  <si>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</si>
  <si>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</si>
  <si>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</si>
  <si>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</si>
  <si>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</si>
  <si>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</si>
  <si>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</si>
  <si>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</si>
  <si>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</si>
  <si>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</si>
  <si>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</si>
  <si>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</si>
  <si>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</si>
  <si>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</si>
  <si>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</si>
  <si>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</si>
  <si>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</si>
  <si>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</si>
  <si>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</si>
  <si>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</si>
  <si>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</si>
  <si>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</si>
  <si>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</si>
  <si>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</si>
  <si>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</si>
  <si>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</si>
  <si>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</si>
  <si>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</si>
  <si>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</si>
  <si>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</si>
  <si>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</si>
  <si>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</si>
  <si>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</si>
  <si>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</si>
  <si>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</si>
  <si>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</si>
  <si>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</si>
  <si>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</si>
  <si>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</si>
  <si>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</si>
  <si>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</si>
  <si>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</si>
  <si>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</si>
  <si>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</si>
  <si>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</si>
  <si>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</si>
  <si>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</si>
  <si>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</si>
  <si>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</si>
  <si>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</si>
  <si>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</si>
  <si>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</si>
  <si>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</si>
  <si>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</si>
  <si>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</si>
  <si>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</si>
  <si>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</si>
  <si>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</si>
  <si>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</si>
  <si>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</si>
  <si>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</si>
  <si>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</si>
  <si>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</si>
  <si>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</si>
  <si>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</si>
  <si>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</si>
  <si>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</si>
  <si>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</si>
  <si>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</si>
  <si>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</si>
  <si>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</si>
  <si>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</si>
  <si>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</si>
  <si>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</si>
  <si>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</si>
  <si>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</si>
  <si>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</si>
  <si>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</si>
  <si>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</si>
  <si>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</si>
  <si>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</si>
  <si>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</si>
  <si>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</si>
  <si>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</si>
  <si>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</si>
  <si>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</si>
  <si>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</si>
  <si>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</si>
  <si>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</si>
  <si>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</si>
  <si>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</si>
  <si>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</si>
  <si>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</si>
  <si>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</si>
  <si>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</si>
  <si>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</si>
  <si>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</si>
  <si>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</si>
  <si>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</si>
  <si>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</si>
  <si>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</si>
  <si>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</si>
  <si>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</si>
  <si>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</si>
  <si>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</si>
  <si>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</si>
  <si>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</si>
  <si>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</si>
  <si>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</si>
  <si>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</si>
  <si>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</si>
  <si>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</si>
  <si>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</si>
  <si>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</si>
  <si>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</si>
  <si>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</si>
  <si>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</si>
  <si>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</si>
  <si>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</si>
  <si>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</si>
  <si>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</si>
  <si>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</si>
  <si>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</si>
  <si>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</si>
  <si>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</si>
  <si>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</si>
  <si>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</si>
  <si>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</si>
  <si>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</si>
  <si>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</si>
  <si>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</si>
  <si>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</si>
  <si>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</si>
  <si>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</si>
  <si>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</si>
  <si>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</si>
  <si>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</si>
  <si>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</si>
  <si>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</si>
  <si>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</si>
  <si>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</si>
  <si>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</si>
  <si>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</si>
  <si>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</si>
  <si>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</si>
  <si>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</si>
  <si>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</si>
  <si>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</si>
  <si>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</si>
  <si>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</si>
  <si>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</si>
  <si>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</si>
  <si>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</si>
  <si>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</si>
  <si>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</si>
  <si>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</si>
  <si>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</si>
  <si>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</si>
  <si>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subsidy_fuel_direct_pc</t>
  </si>
  <si>
    <t>subsidy_fuel_pc</t>
  </si>
  <si>
    <t>all_fuel_pc</t>
  </si>
  <si>
    <t>subsidy_elec_pc</t>
  </si>
  <si>
    <t>am_pnbsf_transferinc_pc</t>
  </si>
  <si>
    <t>subsidy_elec_direct_pc</t>
  </si>
  <si>
    <t>vat_elec_pc</t>
  </si>
  <si>
    <t>all_tax_pc</t>
  </si>
  <si>
    <t>social_tranche_pc</t>
  </si>
  <si>
    <t>am_delayed_pnbsf_pc</t>
  </si>
  <si>
    <t>subs_public_transport_pc</t>
  </si>
  <si>
    <t>vat_fuel_pc</t>
  </si>
  <si>
    <t>all_elec_noST_pc</t>
  </si>
  <si>
    <t>subsidy_elec_indirect_pc</t>
  </si>
  <si>
    <t>all_policies_noST_pc</t>
  </si>
  <si>
    <t>all_subs_pc</t>
  </si>
  <si>
    <t>all_policies_miti_pc</t>
  </si>
  <si>
    <t>am_new_pnbsf_pc</t>
  </si>
  <si>
    <t>all_miti_noST_pc</t>
  </si>
  <si>
    <t>all_subs_noST_pc</t>
  </si>
  <si>
    <t>subsidy_fuel_indirect_pc</t>
  </si>
  <si>
    <t>all_miti_pc</t>
  </si>
  <si>
    <t>am_pnbsf_newbenefs_pc</t>
  </si>
  <si>
    <t>all_elec_pc</t>
  </si>
  <si>
    <t>all_policies_pc</t>
  </si>
  <si>
    <t>subsidy_elec_pc</t>
  </si>
  <si>
    <t>am_new_pnbsf_pc</t>
  </si>
  <si>
    <t>am_pnbsf_newbenefs_pc</t>
  </si>
  <si>
    <t>vat_fuel_pc</t>
  </si>
  <si>
    <t>social_tranche_pc</t>
  </si>
  <si>
    <t>subs_public_transport_pc</t>
  </si>
  <si>
    <t>vat_elec_pc</t>
  </si>
  <si>
    <t>all_elec_pc</t>
  </si>
  <si>
    <t>all_fuel_pc</t>
  </si>
  <si>
    <t>subsidy_elec_direct_pc</t>
  </si>
  <si>
    <t>subsidy_fuel_indirect_pc</t>
  </si>
  <si>
    <t>all_subs_noST_pc</t>
  </si>
  <si>
    <t>subsidy_fuel_direct_pc</t>
  </si>
  <si>
    <t>all_policies_pc</t>
  </si>
  <si>
    <t>all_miti_pc</t>
  </si>
  <si>
    <t>subsidy_fuel_pc</t>
  </si>
  <si>
    <t>am_pnbsf_transferinc_pc</t>
  </si>
  <si>
    <t>all_policies_noST_pc</t>
  </si>
  <si>
    <t>all_subs_pc</t>
  </si>
  <si>
    <t>subsidy_elec_indirect_pc</t>
  </si>
  <si>
    <t>am_delayed_pnbsf_pc</t>
  </si>
  <si>
    <t>all_tax_pc</t>
  </si>
  <si>
    <t>all_elec_noST_pc</t>
  </si>
  <si>
    <t>all_miti_noST_pc</t>
  </si>
  <si>
    <t>all_policies_miti_pc</t>
  </si>
  <si>
    <t>all_elec_noST_pc</t>
  </si>
  <si>
    <t>all_elec_pc</t>
  </si>
  <si>
    <t>subsidy_elec_pc</t>
  </si>
  <si>
    <t>all_subs_noST_pc</t>
  </si>
  <si>
    <t>vat_fuel_pc</t>
  </si>
  <si>
    <t>vat_elec_pc</t>
  </si>
  <si>
    <t>subsidy_elec_direct_pc</t>
  </si>
  <si>
    <t>all_policies_pc</t>
  </si>
  <si>
    <t>subsidy_fuel_indirect_pc</t>
  </si>
  <si>
    <t>am_pnbsf_newbenefs_pc</t>
  </si>
  <si>
    <t>am_pnbsf_transferinc_pc</t>
  </si>
  <si>
    <t>all_policies_miti_pc</t>
  </si>
  <si>
    <t>subsidy_fuel_direct_pc</t>
  </si>
  <si>
    <t>subsidy_elec_indirect_pc</t>
  </si>
  <si>
    <t>all_subs_pc</t>
  </si>
  <si>
    <t>subs_public_transport_pc</t>
  </si>
  <si>
    <t>am_delayed_pnbsf_pc</t>
  </si>
  <si>
    <t>all_miti_noST_pc</t>
  </si>
  <si>
    <t>am_new_pnbsf_pc</t>
  </si>
  <si>
    <t>all_fuel_pc</t>
  </si>
  <si>
    <t>subsidy_fuel_pc</t>
  </si>
  <si>
    <t>all_policies_noST_pc</t>
  </si>
  <si>
    <t>all_tax_pc</t>
  </si>
  <si>
    <t>social_tranche_pc</t>
  </si>
  <si>
    <t>all_miti_pc</t>
  </si>
  <si>
    <t>all_elec_pc</t>
  </si>
  <si>
    <t>all_miti_noST_pc</t>
  </si>
  <si>
    <t>all_policies_noST_pc</t>
  </si>
  <si>
    <t>am_delayed_pnbsf_pc</t>
  </si>
  <si>
    <t>all_tax_pc</t>
  </si>
  <si>
    <t>subsidy_elec_indirect_pc</t>
  </si>
  <si>
    <t>vat_fuel_pc</t>
  </si>
  <si>
    <t>subsidy_elec_direct_pc</t>
  </si>
  <si>
    <t>social_tranche_pc</t>
  </si>
  <si>
    <t>subsidy_fuel_direct_pc</t>
  </si>
  <si>
    <t>vat_elec_pc</t>
  </si>
  <si>
    <t>subsidy_elec_pc</t>
  </si>
  <si>
    <t>am_new_pnbsf_pc</t>
  </si>
  <si>
    <t>all_elec_noST_pc</t>
  </si>
  <si>
    <t>am_pnbsf_newbenefs_pc</t>
  </si>
  <si>
    <t>all_subs_noST_pc</t>
  </si>
  <si>
    <t>subsidy_fuel_pc</t>
  </si>
  <si>
    <t>am_pnbsf_transferinc_pc</t>
  </si>
  <si>
    <t>all_subs_pc</t>
  </si>
  <si>
    <t>all_policies_miti_pc</t>
  </si>
  <si>
    <t>subs_public_transport_pc</t>
  </si>
  <si>
    <t>subsidy_fuel_indirect_pc</t>
  </si>
  <si>
    <t>all_miti_pc</t>
  </si>
  <si>
    <t>all_fuel_pc</t>
  </si>
  <si>
    <t>all_policies_pc</t>
  </si>
  <si>
    <t>vat_fuel_pc</t>
  </si>
  <si>
    <t>subsidy_fuel_pc</t>
  </si>
  <si>
    <t>vat_elec_pc</t>
  </si>
  <si>
    <t>social_tranche_pc</t>
  </si>
  <si>
    <t>subsidy_elec_direct_pc</t>
  </si>
  <si>
    <t>subs_public_transport_pc</t>
  </si>
  <si>
    <t>am_pnbsf_newbenefs_pc</t>
  </si>
  <si>
    <t>subsidy_elec_indirect_pc</t>
  </si>
  <si>
    <t>all_policies_noST_pc</t>
  </si>
  <si>
    <t>all_fuel_pc</t>
  </si>
  <si>
    <t>subsidy_fuel_direct_pc</t>
  </si>
  <si>
    <t>all_tax_pc</t>
  </si>
  <si>
    <t>all_subs_pc</t>
  </si>
  <si>
    <t>subsidy_fuel_indirect_pc</t>
  </si>
  <si>
    <t>all_subs_noST_pc</t>
  </si>
  <si>
    <t>all_miti_noST_pc</t>
  </si>
  <si>
    <t>am_new_pnbsf_pc</t>
  </si>
  <si>
    <t>subsidy_elec_pc</t>
  </si>
  <si>
    <t>all_elec_pc</t>
  </si>
  <si>
    <t>all_policies_miti_pc</t>
  </si>
  <si>
    <t>am_pnbsf_transferinc_pc</t>
  </si>
  <si>
    <t>all_policies_pc</t>
  </si>
  <si>
    <t>all_miti_pc</t>
  </si>
  <si>
    <t>all_elec_noST_pc</t>
  </si>
  <si>
    <t>am_delayed_pnbsf_pc</t>
  </si>
  <si>
    <t>subsidy_fuel_direct_pc</t>
  </si>
  <si>
    <t>all_miti_noST_pc</t>
  </si>
  <si>
    <t>subsidy_fuel_indirect_pc</t>
  </si>
  <si>
    <t>am_pnbsf_transferinc_pc</t>
  </si>
  <si>
    <t>subsidy_elec_indirect_pc</t>
  </si>
  <si>
    <t>subsidy_elec_direct_pc</t>
  </si>
  <si>
    <t>social_tranche_pc</t>
  </si>
  <si>
    <t>all_policies_pc</t>
  </si>
  <si>
    <t>all_tax_pc</t>
  </si>
  <si>
    <t>am_new_pnbsf_pc</t>
  </si>
  <si>
    <t>all_elec_pc</t>
  </si>
  <si>
    <t>vat_elec_pc</t>
  </si>
  <si>
    <t>subsidy_fuel_pc</t>
  </si>
  <si>
    <t>all_subs_noST_pc</t>
  </si>
  <si>
    <t>all_miti_pc</t>
  </si>
  <si>
    <t>all_elec_noST_pc</t>
  </si>
  <si>
    <t>all_fuel_pc</t>
  </si>
  <si>
    <t>subs_public_transport_pc</t>
  </si>
  <si>
    <t>am_pnbsf_newbenefs_pc</t>
  </si>
  <si>
    <t>all_subs_pc</t>
  </si>
  <si>
    <t>all_policies_miti_pc</t>
  </si>
  <si>
    <t>all_policies_noST_pc</t>
  </si>
  <si>
    <t>vat_fuel_pc</t>
  </si>
  <si>
    <t>am_delayed_pnbsf_pc</t>
  </si>
  <si>
    <t>subsidy_elec_pc</t>
  </si>
  <si>
    <t>all_elec_pc</t>
  </si>
  <si>
    <t>subs_public_transport_pc</t>
  </si>
  <si>
    <t>all_subs_pc</t>
  </si>
  <si>
    <t>all_subs_noST_pc</t>
  </si>
  <si>
    <t>all_miti_noST_pc</t>
  </si>
  <si>
    <t>all_fuel_pc</t>
  </si>
  <si>
    <t>subsidy_fuel_indirect_pc</t>
  </si>
  <si>
    <t>am_pnbsf_newbenefs_pc</t>
  </si>
  <si>
    <t>subsidy_fuel_direct_pc</t>
  </si>
  <si>
    <t>am_pnbsf_transferinc_pc</t>
  </si>
  <si>
    <t>all_elec_noST_pc</t>
  </si>
  <si>
    <t>subsidy_elec_indirect_pc</t>
  </si>
  <si>
    <t>all_policies_noST_pc</t>
  </si>
  <si>
    <t>all_tax_pc</t>
  </si>
  <si>
    <t>subsidy_elec_direct_pc</t>
  </si>
  <si>
    <t>social_tranche_pc</t>
  </si>
  <si>
    <t>am_delayed_pnbsf_pc</t>
  </si>
  <si>
    <t>subsidy_elec_pc</t>
  </si>
  <si>
    <t>vat_elec_pc</t>
  </si>
  <si>
    <t>vat_fuel_pc</t>
  </si>
  <si>
    <t>all_miti_pc</t>
  </si>
  <si>
    <t>all_policies_miti_pc</t>
  </si>
  <si>
    <t>all_policies_pc</t>
  </si>
  <si>
    <t>subsidy_fuel_pc</t>
  </si>
  <si>
    <t>am_new_pnbsf_pc</t>
  </si>
  <si>
    <t>all_elec_noST_pc</t>
  </si>
  <si>
    <t>subsidy_fuel_indirect_pc</t>
  </si>
  <si>
    <t>subsidy_fuel_direct_pc</t>
  </si>
  <si>
    <t>all_policies_noST_pc</t>
  </si>
  <si>
    <t>subsidy_elec_pc</t>
  </si>
  <si>
    <t>social_tranche_pc</t>
  </si>
  <si>
    <t>subsidy_elec_indirect_pc</t>
  </si>
  <si>
    <t>am_pnbsf_transferinc_pc</t>
  </si>
  <si>
    <t>all_policies_miti_pc</t>
  </si>
  <si>
    <t>all_subs_noST_pc</t>
  </si>
  <si>
    <t>all_elec_pc</t>
  </si>
  <si>
    <t>all_tax_pc</t>
  </si>
  <si>
    <t>subsidy_fuel_pc</t>
  </si>
  <si>
    <t>subsidy_elec_direct_pc</t>
  </si>
  <si>
    <t>all_miti_noST_pc</t>
  </si>
  <si>
    <t>all_miti_pc</t>
  </si>
  <si>
    <t>vat_elec_pc</t>
  </si>
  <si>
    <t>am_pnbsf_newbenefs_pc</t>
  </si>
  <si>
    <t>all_subs_pc</t>
  </si>
  <si>
    <t>subs_public_transport_pc</t>
  </si>
  <si>
    <t>am_delayed_pnbsf_pc</t>
  </si>
  <si>
    <t>all_policies_pc</t>
  </si>
  <si>
    <t>all_fuel_pc</t>
  </si>
  <si>
    <t>am_new_pnbsf_pc</t>
  </si>
  <si>
    <t>vat_fuel_pc</t>
  </si>
  <si>
    <t>social_tranche_pc</t>
  </si>
  <si>
    <t>am_new_pnbsf_pc</t>
  </si>
  <si>
    <t>all_miti_pc</t>
  </si>
  <si>
    <t>vat_fuel_pc</t>
  </si>
  <si>
    <t>subsidy_fuel_pc</t>
  </si>
  <si>
    <t>subsidy_elec_direct_pc</t>
  </si>
  <si>
    <t>am_pnbsf_newbenefs_pc</t>
  </si>
  <si>
    <t>all_policies_noST_pc</t>
  </si>
  <si>
    <t>all_subs_pc</t>
  </si>
  <si>
    <t>all_fuel_pc</t>
  </si>
  <si>
    <t>all_subs_noST_pc</t>
  </si>
  <si>
    <t>subsidy_fuel_direct_pc</t>
  </si>
  <si>
    <t>am_delayed_pnbsf_pc</t>
  </si>
  <si>
    <t>subsidy_elec_pc</t>
  </si>
  <si>
    <t>am_pnbsf_transferinc_pc</t>
  </si>
  <si>
    <t>all_elec_noST_pc</t>
  </si>
  <si>
    <t>all_tax_pc</t>
  </si>
  <si>
    <t>all_elec_pc</t>
  </si>
  <si>
    <t>all_policies_miti_pc</t>
  </si>
  <si>
    <t>vat_elec_pc</t>
  </si>
  <si>
    <t>subsidy_elec_indirect_pc</t>
  </si>
  <si>
    <t>subsidy_fuel_indirect_pc</t>
  </si>
  <si>
    <t>all_policies_pc</t>
  </si>
  <si>
    <t>subs_public_transport_pc</t>
  </si>
  <si>
    <t>all_miti_noST_pc</t>
  </si>
  <si>
    <t>subsidy_fuel_indirect_pc</t>
  </si>
  <si>
    <t>am_new_pnbsf_pc</t>
  </si>
  <si>
    <t>am_delayed_pnbsf_pc</t>
  </si>
  <si>
    <t>social_tranche_pc</t>
  </si>
  <si>
    <t>all_policies_pc</t>
  </si>
  <si>
    <t>subsidy_fuel_pc</t>
  </si>
  <si>
    <t>subsidy_fuel_direct_pc</t>
  </si>
  <si>
    <t>all_miti_noST_pc</t>
  </si>
  <si>
    <t>vat_fuel_pc</t>
  </si>
  <si>
    <t>all_subs_noST_pc</t>
  </si>
  <si>
    <t>all_miti_pc</t>
  </si>
  <si>
    <t>all_elec_noST_pc</t>
  </si>
  <si>
    <t>all_fuel_pc</t>
  </si>
  <si>
    <t>subs_public_transport_pc</t>
  </si>
  <si>
    <t>subsidy_elec_indirect_pc</t>
  </si>
  <si>
    <t>all_policies_noST_pc</t>
  </si>
  <si>
    <t>subsidy_elec_direct_pc</t>
  </si>
  <si>
    <t>all_subs_pc</t>
  </si>
  <si>
    <t>all_tax_pc</t>
  </si>
  <si>
    <t>am_pnbsf_transferinc_pc</t>
  </si>
  <si>
    <t>subsidy_elec_pc</t>
  </si>
  <si>
    <t>am_pnbsf_newbenefs_pc</t>
  </si>
  <si>
    <t>all_policies_miti_pc</t>
  </si>
  <si>
    <t>all_elec_pc</t>
  </si>
  <si>
    <t>vat_elec_pc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</si>
  <si>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</si>
  <si>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</si>
  <si>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</si>
  <si>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</si>
  <si>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</si>
  <si>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</si>
  <si>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</si>
  <si>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</si>
  <si>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</si>
  <si>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</si>
  <si>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</si>
  <si>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</si>
  <si>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</si>
  <si>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</si>
  <si>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</si>
  <si>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</si>
  <si>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</si>
  <si>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</si>
  <si>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</si>
  <si>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</si>
  <si>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</si>
  <si>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</si>
  <si>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</si>
  <si>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</si>
  <si>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</si>
  <si>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</si>
  <si>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</si>
  <si>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</si>
  <si>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</si>
  <si>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</si>
  <si>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</si>
  <si>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</si>
  <si>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</si>
  <si>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</si>
  <si>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</si>
  <si>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</si>
  <si>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</si>
  <si>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</si>
  <si>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</si>
  <si>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</si>
  <si>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</si>
  <si>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</si>
  <si>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</si>
  <si>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</si>
  <si>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</si>
  <si>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</si>
  <si>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</si>
  <si>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</si>
  <si>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</si>
  <si>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</si>
  <si>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</si>
  <si>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</si>
  <si>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</si>
  <si>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</si>
  <si>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</si>
  <si>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</si>
  <si>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</si>
  <si>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</si>
  <si>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</si>
  <si>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</si>
  <si>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</si>
  <si>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</si>
  <si>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</si>
  <si>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</si>
  <si>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</si>
  <si>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</si>
  <si>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</si>
  <si>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</si>
  <si>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</si>
  <si>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</si>
  <si>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</si>
  <si>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</si>
  <si>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</si>
  <si>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</si>
  <si>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</si>
  <si>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</si>
  <si>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</si>
  <si>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</si>
  <si>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</si>
  <si>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</si>
  <si>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</si>
  <si>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</si>
  <si>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</si>
  <si>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</si>
  <si>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</si>
  <si>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</si>
  <si>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</si>
  <si>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</si>
  <si>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</si>
  <si>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</si>
  <si>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</si>
  <si>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</si>
  <si>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</si>
  <si>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</si>
  <si>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</si>
  <si>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</si>
  <si>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</si>
  <si>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</si>
  <si>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</si>
  <si>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</si>
  <si>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</si>
  <si>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</si>
  <si>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</si>
  <si>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</si>
  <si>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</si>
  <si>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</si>
  <si>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</si>
  <si>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</si>
  <si>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</si>
  <si>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</si>
  <si>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</si>
  <si>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</si>
  <si>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</si>
  <si>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</si>
  <si>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</si>
  <si>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</si>
  <si>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</si>
  <si>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</si>
  <si>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</si>
  <si>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</si>
  <si>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</si>
  <si>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</si>
  <si>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</si>
  <si>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</si>
  <si>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</si>
  <si>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</si>
  <si>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</si>
  <si>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</si>
  <si>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</si>
  <si>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</si>
  <si>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</si>
  <si>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</si>
  <si>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</si>
  <si>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</si>
  <si>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</si>
  <si>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</si>
  <si>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</si>
  <si>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</si>
  <si>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</si>
  <si>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</si>
  <si>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</si>
  <si>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</si>
  <si>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</si>
  <si>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</si>
  <si>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</si>
  <si>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</si>
  <si>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</si>
  <si>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</si>
  <si>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</si>
  <si>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</si>
  <si>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</si>
  <si>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</si>
  <si>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</si>
  <si>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</si>
  <si>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</si>
  <si>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</si>
  <si>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</si>
  <si>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</si>
  <si>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</si>
  <si>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</si>
  <si>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</si>
  <si>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</si>
  <si>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</si>
  <si>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</si>
  <si>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</si>
  <si>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</si>
  <si>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</si>
  <si>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</si>
  <si>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</si>
  <si>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</si>
  <si>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</si>
  <si>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</si>
  <si>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</si>
  <si>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</si>
  <si>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</si>
  <si>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</si>
  <si>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</si>
  <si>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</si>
  <si>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</si>
  <si>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</si>
  <si>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</si>
  <si>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</si>
  <si>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</si>
  <si>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</si>
  <si>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</si>
  <si>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</si>
  <si>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</si>
  <si>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</si>
  <si>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</si>
  <si>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</si>
  <si>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</si>
  <si>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</si>
  <si>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</si>
  <si>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</si>
  <si>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</si>
  <si>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</si>
  <si>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</si>
  <si>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</si>
  <si>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</si>
  <si>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</si>
  <si>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</si>
  <si>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</si>
  <si>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</si>
  <si>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</si>
  <si>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</si>
  <si>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</si>
  <si>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</si>
  <si>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</si>
  <si>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</si>
  <si>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</si>
  <si>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</si>
  <si>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</si>
  <si>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</si>
  <si>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</si>
  <si>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</si>
  <si>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</si>
  <si>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</si>
  <si>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</si>
  <si>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</si>
  <si>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</si>
  <si>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</si>
  <si>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</si>
  <si>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</si>
  <si>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</si>
  <si>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</si>
  <si>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</si>
  <si>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</si>
  <si>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</si>
  <si>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</si>
  <si>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</si>
  <si>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</si>
  <si>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</si>
  <si>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</si>
  <si>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</si>
  <si>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</si>
  <si>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</si>
  <si>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</si>
  <si>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</si>
  <si>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</si>
  <si>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</si>
  <si>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</si>
  <si>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</si>
  <si>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</si>
  <si>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</si>
  <si>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</si>
  <si>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</si>
  <si>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</si>
  <si>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</si>
  <si>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</si>
  <si>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</si>
  <si>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</si>
  <si>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</si>
  <si>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</si>
  <si>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</si>
  <si>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</si>
  <si>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</si>
  <si>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</si>
  <si>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</si>
  <si>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</si>
  <si>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</si>
  <si>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</si>
  <si>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</si>
  <si>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</si>
  <si>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</si>
  <si>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</si>
  <si>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</si>
  <si>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</si>
  <si>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</si>
  <si>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</si>
  <si>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</si>
  <si>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</si>
  <si>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</si>
  <si>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</si>
  <si>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</si>
  <si>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</si>
  <si>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</si>
  <si>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</si>
  <si>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</si>
  <si>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</si>
  <si>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</si>
  <si>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</si>
  <si>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</si>
  <si>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</si>
  <si>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</si>
  <si>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</si>
  <si>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</si>
  <si>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</si>
  <si>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</si>
  <si>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</si>
  <si>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</si>
  <si>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</si>
  <si>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</si>
  <si>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</si>
  <si>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</si>
  <si>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</si>
  <si>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</si>
  <si>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</si>
  <si>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</si>
  <si>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</si>
  <si>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</si>
  <si>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</si>
  <si>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</si>
  <si>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</si>
  <si>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</si>
  <si>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</si>
  <si>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</si>
  <si>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</si>
  <si>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</si>
  <si>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</si>
  <si>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</si>
  <si>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</si>
  <si>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</si>
  <si>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</si>
  <si>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</si>
  <si>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</si>
  <si>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</si>
  <si>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</si>
  <si>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</si>
  <si>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</si>
  <si>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</si>
  <si>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</si>
  <si>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</si>
  <si>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</si>
  <si>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</si>
  <si>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</si>
  <si>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</si>
  <si>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</si>
  <si>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</si>
  <si>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</si>
  <si>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</si>
  <si>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</si>
  <si>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</si>
  <si>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</si>
  <si>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</si>
  <si>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</si>
  <si>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</si>
  <si>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</si>
  <si>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</si>
  <si>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</si>
  <si>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</si>
  <si>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</si>
  <si>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</si>
  <si>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</si>
  <si>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</si>
  <si>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</si>
  <si>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</si>
  <si>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</si>
  <si>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</si>
  <si>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</si>
  <si>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</si>
  <si>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</si>
  <si>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</si>
  <si>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</si>
  <si>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</si>
  <si>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</si>
  <si>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</si>
  <si>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</si>
  <si>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</si>
  <si>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</si>
  <si>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</si>
  <si>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</si>
  <si>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</si>
  <si>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</si>
  <si>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</si>
  <si>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</si>
  <si>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</si>
  <si>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</si>
  <si>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</si>
  <si>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</si>
  <si>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</si>
  <si>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</si>
  <si>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</si>
  <si>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</si>
  <si>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</si>
  <si>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</si>
  <si>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</si>
  <si>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</si>
  <si>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</si>
  <si>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</si>
  <si>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</si>
  <si>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</si>
  <si>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</si>
  <si>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</si>
  <si>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</si>
  <si>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</si>
  <si>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</si>
  <si>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</si>
  <si>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</si>
  <si>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</si>
  <si>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</si>
  <si>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</si>
  <si>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</si>
  <si>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</si>
  <si>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</si>
  <si>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</si>
  <si>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</si>
  <si>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</si>
  <si>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</si>
  <si>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</si>
  <si>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</si>
  <si>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</si>
  <si>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</si>
  <si>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</si>
  <si>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</si>
  <si>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</si>
  <si>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</si>
  <si>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</si>
  <si>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</si>
  <si>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</si>
  <si>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</si>
  <si>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</si>
  <si>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</si>
  <si>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</si>
  <si>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</si>
  <si>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</si>
  <si>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</si>
  <si>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</si>
  <si>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</si>
  <si>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</si>
  <si>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</si>
  <si>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</si>
  <si>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</si>
  <si>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</si>
  <si>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</si>
  <si>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</si>
  <si>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</si>
  <si>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</si>
  <si>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</si>
  <si>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</si>
  <si>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</si>
  <si>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</si>
  <si>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</si>
  <si>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</si>
  <si>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</si>
  <si>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</si>
  <si>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</si>
  <si>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</si>
  <si>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</si>
  <si>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</si>
  <si>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</si>
  <si>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</si>
  <si>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</si>
  <si>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</si>
  <si>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</si>
  <si>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</si>
  <si>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</si>
  <si>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</si>
  <si>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</si>
  <si>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</si>
  <si>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</si>
  <si>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</si>
  <si>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</si>
  <si>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</si>
  <si>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</si>
  <si>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</si>
  <si>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</si>
  <si>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</si>
  <si>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</si>
  <si>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</si>
  <si>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</si>
  <si>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</si>
  <si>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</si>
  <si>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</si>
  <si>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</si>
  <si>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</si>
  <si>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</si>
  <si>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</si>
  <si>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</si>
  <si>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</si>
  <si>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</si>
  <si>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</si>
  <si>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</si>
  <si>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</si>
  <si>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</si>
  <si>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</si>
  <si>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</si>
  <si>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</si>
  <si>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</si>
  <si>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</si>
  <si>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</si>
  <si>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</si>
  <si>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</si>
  <si>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</si>
  <si>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</si>
  <si>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</si>
  <si>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</si>
  <si>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</si>
  <si>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</si>
  <si>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</si>
  <si>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</si>
  <si>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</si>
  <si>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</si>
  <si>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</si>
  <si>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</si>
  <si>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</si>
  <si>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</si>
  <si>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</si>
  <si>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</si>
  <si>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</si>
  <si>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</si>
  <si>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</si>
  <si>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</si>
  <si>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</si>
  <si>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</si>
  <si>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</si>
  <si>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</si>
  <si>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</si>
  <si>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</si>
  <si>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</si>
  <si>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</si>
  <si>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</si>
  <si>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</si>
  <si>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</si>
  <si>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</si>
  <si>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</si>
  <si>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</si>
  <si>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</si>
  <si>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</si>
  <si>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</si>
  <si>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</si>
  <si>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</si>
  <si>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</si>
  <si>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</si>
  <si>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</si>
  <si>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</si>
  <si>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</si>
  <si>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</si>
  <si>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</si>
  <si>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</si>
  <si>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</si>
  <si>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</si>
  <si>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</si>
  <si>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</si>
  <si>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</si>
  <si>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</si>
  <si>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</si>
  <si>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</si>
  <si>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</si>
  <si>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</si>
  <si>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</si>
  <si>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</si>
  <si>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</si>
  <si>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</si>
  <si>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</si>
  <si>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</si>
  <si>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</si>
  <si>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</si>
  <si>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</si>
  <si>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</si>
  <si>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</si>
  <si>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</si>
  <si>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</si>
  <si>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</si>
  <si>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</si>
  <si>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</si>
  <si>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</si>
  <si>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</si>
  <si>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</si>
  <si>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</si>
  <si>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</si>
  <si>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</si>
  <si>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</si>
  <si>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</si>
  <si>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</si>
  <si>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</si>
  <si>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</si>
  <si>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</si>
  <si>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</si>
  <si>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</si>
  <si>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</si>
  <si>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</si>
  <si>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</si>
  <si>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</si>
  <si>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</si>
  <si>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</si>
  <si>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</si>
  <si>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</si>
  <si>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</si>
  <si>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</si>
  <si>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</si>
  <si>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</si>
  <si>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</si>
  <si>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</si>
  <si>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</si>
  <si>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</si>
  <si>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</si>
  <si>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</si>
  <si>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</si>
  <si>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</si>
  <si>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</si>
  <si>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</si>
  <si>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</si>
  <si>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</si>
  <si>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</si>
  <si>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</si>
  <si>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</si>
  <si>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</si>
  <si>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</si>
  <si>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</si>
  <si>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</si>
  <si>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</si>
  <si>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</si>
  <si>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</si>
  <si>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</si>
  <si>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</si>
  <si>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</si>
  <si>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</si>
  <si>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</si>
  <si>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</si>
  <si>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</si>
  <si>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</si>
  <si>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</si>
  <si>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</si>
  <si>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</si>
  <si>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</si>
  <si>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</si>
  <si>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</si>
  <si>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</si>
  <si>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</si>
  <si>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</si>
  <si>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</si>
  <si>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</si>
  <si>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</si>
  <si>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</si>
  <si>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</si>
  <si>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</si>
  <si>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</si>
  <si>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</si>
  <si>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</si>
  <si>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</si>
  <si>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</si>
  <si>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</si>
  <si>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</si>
  <si>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</si>
  <si>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</si>
  <si>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</si>
  <si>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</si>
  <si>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</si>
  <si>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</si>
  <si>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</si>
  <si>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</si>
  <si>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</si>
  <si>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</si>
  <si>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</si>
  <si>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</si>
  <si>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</si>
  <si>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</si>
  <si>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</si>
  <si>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</si>
  <si>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</si>
  <si>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</si>
  <si>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</si>
  <si>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</si>
  <si>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</si>
  <si>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</si>
  <si>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</si>
  <si>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</si>
  <si>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</si>
  <si>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</si>
  <si>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</si>
  <si>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</si>
  <si>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</si>
  <si>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</si>
  <si>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</si>
  <si>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</si>
  <si>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</si>
  <si>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</si>
  <si>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</si>
  <si>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</si>
  <si>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</si>
  <si>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</si>
  <si>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</si>
  <si>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</si>
  <si>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</si>
  <si>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</si>
  <si>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</si>
  <si>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</si>
  <si>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</si>
  <si>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</si>
  <si>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</si>
  <si>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</si>
  <si>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</si>
  <si>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</si>
  <si>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</si>
  <si>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</si>
  <si>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</si>
  <si>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</si>
  <si>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</si>
  <si>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</si>
  <si>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</si>
  <si>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</si>
  <si>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</si>
  <si>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</si>
  <si>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</si>
  <si>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</si>
  <si>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</si>
  <si>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</si>
  <si>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</si>
  <si>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</si>
  <si>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</si>
  <si>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</si>
  <si>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</si>
  <si>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</si>
  <si>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</si>
  <si>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</si>
  <si>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</si>
  <si>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</si>
  <si>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</si>
  <si>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</si>
  <si>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</si>
  <si>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</si>
  <si>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</si>
  <si>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</si>
  <si>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</si>
  <si>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</si>
  <si>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</si>
  <si>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</si>
  <si>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</si>
  <si>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</si>
  <si>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</si>
  <si>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</si>
  <si>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</si>
  <si>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</si>
  <si>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</si>
  <si>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</si>
  <si>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</si>
  <si>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</si>
  <si>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</si>
  <si>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</si>
  <si>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</si>
  <si>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</si>
  <si>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</si>
  <si>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</si>
  <si>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</si>
  <si>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</si>
  <si>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</si>
  <si>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</si>
  <si>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</si>
  <si>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</si>
  <si>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</si>
  <si>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</si>
  <si>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</si>
  <si>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</si>
  <si>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</si>
  <si>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</si>
  <si>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</si>
  <si>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</si>
  <si>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</si>
  <si>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</si>
  <si>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</si>
  <si>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</si>
  <si>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</si>
  <si>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</si>
  <si>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</si>
  <si>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</si>
  <si>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</si>
  <si>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</si>
  <si>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</si>
  <si>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</si>
  <si>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</si>
  <si>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</si>
  <si>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</si>
  <si>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</si>
  <si>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</si>
  <si>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</si>
  <si>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</si>
  <si>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</si>
  <si>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</si>
  <si>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</si>
  <si>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</si>
  <si>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</si>
  <si>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</si>
  <si>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</si>
  <si>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</si>
  <si>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</si>
  <si>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</si>
  <si>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</si>
  <si>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</si>
  <si>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</si>
  <si>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</si>
  <si>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</si>
  <si>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</si>
  <si>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</si>
  <si>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</si>
  <si>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</si>
  <si>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</si>
  <si>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</si>
  <si>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</si>
  <si>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</si>
  <si>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</si>
  <si>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</si>
  <si>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</si>
  <si>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</si>
  <si>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</si>
  <si>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</si>
  <si>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</si>
  <si>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</si>
  <si>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</si>
  <si>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</si>
  <si>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</si>
  <si>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</si>
  <si>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</si>
  <si>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</si>
  <si>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all_policies_miti_pc</t>
  </si>
  <si>
    <t>vat_elec_pc</t>
  </si>
  <si>
    <t>subsidy_elec_pc</t>
  </si>
  <si>
    <t>subsidy_elec_indirect_pc</t>
  </si>
  <si>
    <t>all_subs_pc</t>
  </si>
  <si>
    <t>am_delayed_pnbsf_pc</t>
  </si>
  <si>
    <t>all_policies_noST_pc</t>
  </si>
  <si>
    <t>all_elec_pc</t>
  </si>
  <si>
    <t>subsidy_elec_direct_pc</t>
  </si>
  <si>
    <t>subsidy_fuel_pc</t>
  </si>
  <si>
    <t>am_pnbsf_newbenefs_pc</t>
  </si>
  <si>
    <t>subsidy_fuel_indirect_pc</t>
  </si>
  <si>
    <t>all_miti_pc</t>
  </si>
  <si>
    <t>all_fuel_pc</t>
  </si>
  <si>
    <t>social_tranche_pc</t>
  </si>
  <si>
    <t>subs_public_transport_pc</t>
  </si>
  <si>
    <t>am_new_pnbsf_pc</t>
  </si>
  <si>
    <t>all_subs_noST_pc</t>
  </si>
  <si>
    <t>all_miti_noST_pc</t>
  </si>
  <si>
    <t>all_tax_pc</t>
  </si>
  <si>
    <t>vat_fuel_pc</t>
  </si>
  <si>
    <t>am_pnbsf_transferinc_pc</t>
  </si>
  <si>
    <t>all_elec_noST_pc</t>
  </si>
  <si>
    <t>all_policies_pc</t>
  </si>
  <si>
    <t>subsidy_fuel_direct_pc</t>
  </si>
  <si>
    <t>all_fuel_pc</t>
  </si>
  <si>
    <t>all_subs_noST_pc</t>
  </si>
  <si>
    <t>am_delayed_pnbsf_pc</t>
  </si>
  <si>
    <t>subsidy_fuel_pc</t>
  </si>
  <si>
    <t>am_pnbsf_newbenefs_pc</t>
  </si>
  <si>
    <t>social_tranche_pc</t>
  </si>
  <si>
    <t>all_miti_noST_pc</t>
  </si>
  <si>
    <t>all_miti_pc</t>
  </si>
  <si>
    <t>all_policies_noST_pc</t>
  </si>
  <si>
    <t>all_tax_pc</t>
  </si>
  <si>
    <t>all_elec_pc</t>
  </si>
  <si>
    <t>subsidy_fuel_indirect_pc</t>
  </si>
  <si>
    <t>all_policies_pc</t>
  </si>
  <si>
    <t>all_policies_miti_pc</t>
  </si>
  <si>
    <t>all_subs_pc</t>
  </si>
  <si>
    <t>subsidy_elec_pc</t>
  </si>
  <si>
    <t>subsidy_elec_direct_pc</t>
  </si>
  <si>
    <t>subsidy_elec_indirect_pc</t>
  </si>
  <si>
    <t>am_pnbsf_transferinc_pc</t>
  </si>
  <si>
    <t>vat_elec_pc</t>
  </si>
  <si>
    <t>subsidy_fuel_direct_pc</t>
  </si>
  <si>
    <t>vat_fuel_pc</t>
  </si>
  <si>
    <t>am_new_pnbsf_pc</t>
  </si>
  <si>
    <t>all_elec_noST_pc</t>
  </si>
  <si>
    <t>subs_public_transport_pc</t>
  </si>
  <si>
    <t>subsidy_elec_direct_pc</t>
  </si>
  <si>
    <t>am_pnbsf_transferinc_pc</t>
  </si>
  <si>
    <t>subsidy_fuel_direct_pc</t>
  </si>
  <si>
    <t>am_delayed_pnbsf_pc</t>
  </si>
  <si>
    <t>social_tranche_pc</t>
  </si>
  <si>
    <t>all_elec_pc</t>
  </si>
  <si>
    <t>subsidy_elec_pc</t>
  </si>
  <si>
    <t>am_new_pnbsf_pc</t>
  </si>
  <si>
    <t>all_subs_pc</t>
  </si>
  <si>
    <t>subsidy_fuel_pc</t>
  </si>
  <si>
    <t>all_tax_pc</t>
  </si>
  <si>
    <t>all_subs_noST_pc</t>
  </si>
  <si>
    <t>all_miti_noST_pc</t>
  </si>
  <si>
    <t>subsidy_elec_indirect_pc</t>
  </si>
  <si>
    <t>subsidy_fuel_indirect_pc</t>
  </si>
  <si>
    <t>subs_public_transport_pc</t>
  </si>
  <si>
    <t>all_fuel_pc</t>
  </si>
  <si>
    <t>all_policies_pc</t>
  </si>
  <si>
    <t>am_pnbsf_newbenefs_pc</t>
  </si>
  <si>
    <t>all_elec_noST_pc</t>
  </si>
  <si>
    <t>all_policies_miti_pc</t>
  </si>
  <si>
    <t>vat_elec_pc</t>
  </si>
  <si>
    <t>all_miti_pc</t>
  </si>
  <si>
    <t>vat_fuel_pc</t>
  </si>
  <si>
    <t>all_policies_noST_pc</t>
  </si>
  <si>
    <t>subsidy_elec_indirect_pc</t>
  </si>
  <si>
    <t>all_policies_noST_pc</t>
  </si>
  <si>
    <t>all_elec_pc</t>
  </si>
  <si>
    <t>subsidy_fuel_direct_pc</t>
  </si>
  <si>
    <t>all_tax_pc</t>
  </si>
  <si>
    <t>all_subs_noST_pc</t>
  </si>
  <si>
    <t>vat_fuel_pc</t>
  </si>
  <si>
    <t>all_policies_pc</t>
  </si>
  <si>
    <t>am_pnbsf_transferinc_pc</t>
  </si>
  <si>
    <t>all_policies_miti_pc</t>
  </si>
  <si>
    <t>all_subs_pc</t>
  </si>
  <si>
    <t>subsidy_fuel_pc</t>
  </si>
  <si>
    <t>am_pnbsf_newbenefs_pc</t>
  </si>
  <si>
    <t>vat_elec_pc</t>
  </si>
  <si>
    <t>all_elec_noST_pc</t>
  </si>
  <si>
    <t>am_new_pnbsf_pc</t>
  </si>
  <si>
    <t>subsidy_elec_pc</t>
  </si>
  <si>
    <t>subsidy_fuel_indirect_pc</t>
  </si>
  <si>
    <t>subsidy_elec_direct_pc</t>
  </si>
  <si>
    <t>all_miti_noST_pc</t>
  </si>
  <si>
    <t>am_delayed_pnbsf_pc</t>
  </si>
  <si>
    <t>all_fuel_pc</t>
  </si>
  <si>
    <t>all_miti_pc</t>
  </si>
  <si>
    <t>subs_public_transport_pc</t>
  </si>
  <si>
    <t>social_tranche_pc</t>
  </si>
  <si>
    <t>all_elec_noST_pc</t>
  </si>
  <si>
    <t>am_new_pnbsf_pc</t>
  </si>
  <si>
    <t>all_miti_pc</t>
  </si>
  <si>
    <t>all_fuel_pc</t>
  </si>
  <si>
    <t>am_delayed_pnbsf_pc</t>
  </si>
  <si>
    <t>all_subs_pc</t>
  </si>
  <si>
    <t>subsidy_fuel_indirect_pc</t>
  </si>
  <si>
    <t>subsidy_elec_indirect_pc</t>
  </si>
  <si>
    <t>all_elec_pc</t>
  </si>
  <si>
    <t>all_miti_noST_pc</t>
  </si>
  <si>
    <t>all_policies_noST_pc</t>
  </si>
  <si>
    <t>all_subs_noST_pc</t>
  </si>
  <si>
    <t>am_pnbsf_transferinc_pc</t>
  </si>
  <si>
    <t>am_pnbsf_newbenefs_pc</t>
  </si>
  <si>
    <t>subsidy_fuel_pc</t>
  </si>
  <si>
    <t>subs_public_transport_pc</t>
  </si>
  <si>
    <t>subsidy_fuel_direct_pc</t>
  </si>
  <si>
    <t>all_policies_miti_pc</t>
  </si>
  <si>
    <t>vat_elec_pc</t>
  </si>
  <si>
    <t>social_tranche_pc</t>
  </si>
  <si>
    <t>all_policies_pc</t>
  </si>
  <si>
    <t>subsidy_elec_direct_pc</t>
  </si>
  <si>
    <t>all_tax_pc</t>
  </si>
  <si>
    <t>vat_fuel_pc</t>
  </si>
  <si>
    <t>subsidy_elec_pc</t>
  </si>
  <si>
    <t>all_elec_pc</t>
  </si>
  <si>
    <t>all_tax_pc</t>
  </si>
  <si>
    <t>all_fuel_pc</t>
  </si>
  <si>
    <t>subsidy_fuel_indirect_pc</t>
  </si>
  <si>
    <t>am_delayed_pnbsf_pc</t>
  </si>
  <si>
    <t>am_pnbsf_transferinc_pc</t>
  </si>
  <si>
    <t>all_miti_pc</t>
  </si>
  <si>
    <t>vat_fuel_pc</t>
  </si>
  <si>
    <t>all_policies_pc</t>
  </si>
  <si>
    <t>am_pnbsf_newbenefs_pc</t>
  </si>
  <si>
    <t>subsidy_elec_indirect_pc</t>
  </si>
  <si>
    <t>all_miti_noST_pc</t>
  </si>
  <si>
    <t>subsidy_fuel_direct_pc</t>
  </si>
  <si>
    <t>am_new_pnbsf_pc</t>
  </si>
  <si>
    <t>all_subs_pc</t>
  </si>
  <si>
    <t>all_elec_noST_pc</t>
  </si>
  <si>
    <t>all_subs_noST_pc</t>
  </si>
  <si>
    <t>all_policies_miti_pc</t>
  </si>
  <si>
    <t>vat_elec_pc</t>
  </si>
  <si>
    <t>subs_public_transport_pc</t>
  </si>
  <si>
    <t>all_policies_noST_pc</t>
  </si>
  <si>
    <t>subsidy_elec_pc</t>
  </si>
  <si>
    <t>subsidy_fuel_pc</t>
  </si>
  <si>
    <t>subsidy_elec_direct_pc</t>
  </si>
  <si>
    <t>social_tranche_pc</t>
  </si>
  <si>
    <t>all_fuel_pc</t>
  </si>
  <si>
    <t>subsidy_fuel_direct_pc</t>
  </si>
  <si>
    <t>subsidy_elec_pc</t>
  </si>
  <si>
    <t>vat_fuel_pc</t>
  </si>
  <si>
    <t>subsidy_fuel_pc</t>
  </si>
  <si>
    <t>subsidy_elec_indirect_pc</t>
  </si>
  <si>
    <t>social_tranche_pc</t>
  </si>
  <si>
    <t>all_miti_noST_pc</t>
  </si>
  <si>
    <t>vat_elec_pc</t>
  </si>
  <si>
    <t>subsidy_fuel_indirect_pc</t>
  </si>
  <si>
    <t>am_pnbsf_transferinc_pc</t>
  </si>
  <si>
    <t>all_miti_pc</t>
  </si>
  <si>
    <t>subsidy_elec_direct_pc</t>
  </si>
  <si>
    <t>all_subs_pc</t>
  </si>
  <si>
    <t>am_pnbsf_newbenefs_pc</t>
  </si>
  <si>
    <t>all_elec_noST_pc</t>
  </si>
  <si>
    <t>all_subs_noST_pc</t>
  </si>
  <si>
    <t>all_policies_noST_pc</t>
  </si>
  <si>
    <t>am_new_pnbsf_pc</t>
  </si>
  <si>
    <t>subs_public_transport_pc</t>
  </si>
  <si>
    <t>all_tax_pc</t>
  </si>
  <si>
    <t>all_elec_pc</t>
  </si>
  <si>
    <t>all_policies_miti_pc</t>
  </si>
  <si>
    <t>am_delayed_pnbsf_pc</t>
  </si>
  <si>
    <t>all_policies_pc</t>
  </si>
  <si>
    <t>am_delayed_pnbsf_pc</t>
  </si>
  <si>
    <t>all_elec_pc</t>
  </si>
  <si>
    <t>all_policies_noST_pc</t>
  </si>
  <si>
    <t>all_policies_miti_pc</t>
  </si>
  <si>
    <t>all_subs_pc</t>
  </si>
  <si>
    <t>am_pnbsf_newbenefs_pc</t>
  </si>
  <si>
    <t>subsidy_elec_indirect_pc</t>
  </si>
  <si>
    <t>social_tranche_pc</t>
  </si>
  <si>
    <t>all_elec_noST_pc</t>
  </si>
  <si>
    <t>all_fuel_pc</t>
  </si>
  <si>
    <t>all_miti_pc</t>
  </si>
  <si>
    <t>all_tax_pc</t>
  </si>
  <si>
    <t>subsidy_fuel_direct_pc</t>
  </si>
  <si>
    <t>subsidy_elec_pc</t>
  </si>
  <si>
    <t>vat_fuel_pc</t>
  </si>
  <si>
    <t>subs_public_transport_pc</t>
  </si>
  <si>
    <t>am_new_pnbsf_pc</t>
  </si>
  <si>
    <t>subsidy_fuel_pc</t>
  </si>
  <si>
    <t>subsidy_fuel_indirect_pc</t>
  </si>
  <si>
    <t>all_subs_noST_pc</t>
  </si>
  <si>
    <t>vat_elec_pc</t>
  </si>
  <si>
    <t>am_pnbsf_transferinc_pc</t>
  </si>
  <si>
    <t>all_miti_noST_pc</t>
  </si>
  <si>
    <t>subsidy_elec_direct_pc</t>
  </si>
  <si>
    <t>am_new_pnbsf_pc</t>
  </si>
  <si>
    <t>all_tax_pc</t>
  </si>
  <si>
    <t>subsidy_fuel_direct_pc</t>
  </si>
  <si>
    <t>all_policies_miti_pc</t>
  </si>
  <si>
    <t>all_miti_pc</t>
  </si>
  <si>
    <t>all_policies_pc</t>
  </si>
  <si>
    <t>subs_public_transport_pc</t>
  </si>
  <si>
    <t>all_policies_noST_pc</t>
  </si>
  <si>
    <t>all_elec_noST_pc</t>
  </si>
  <si>
    <t>all_elec_pc</t>
  </si>
  <si>
    <t>vat_fuel_pc</t>
  </si>
  <si>
    <t>subsidy_elec_pc</t>
  </si>
  <si>
    <t>subsidy_fuel_indirect_pc</t>
  </si>
  <si>
    <t>vat_elec_pc</t>
  </si>
  <si>
    <t>am_delayed_pnbsf_pc</t>
  </si>
  <si>
    <t>am_pnbsf_newbenefs_pc</t>
  </si>
  <si>
    <t>all_miti_noST_pc</t>
  </si>
  <si>
    <t>all_fuel_pc</t>
  </si>
  <si>
    <t>subsidy_fuel_pc</t>
  </si>
  <si>
    <t>social_tranche_pc</t>
  </si>
  <si>
    <t>subsidy_elec_direct_pc</t>
  </si>
  <si>
    <t>all_subs_noST_pc</t>
  </si>
  <si>
    <t>am_pnbsf_transferinc_pc</t>
  </si>
  <si>
    <t>subsidy_elec_indirect_pc</t>
  </si>
  <si>
    <t>all_subs_pc</t>
  </si>
  <si>
    <t>all_elec_noST_pc</t>
  </si>
  <si>
    <t>am_pnbsf_newbenefs_pc</t>
  </si>
  <si>
    <t>vat_elec_pc</t>
  </si>
  <si>
    <t>subsidy_elec_indirect_pc</t>
  </si>
  <si>
    <t>all_policies_pc</t>
  </si>
  <si>
    <t>am_delayed_pnbsf_pc</t>
  </si>
  <si>
    <t>subsidy_fuel_direct_pc</t>
  </si>
  <si>
    <t>all_subs_noST_pc</t>
  </si>
  <si>
    <t>all_elec_pc</t>
  </si>
  <si>
    <t>all_policies_miti_pc</t>
  </si>
  <si>
    <t>all_policies_noST_pc</t>
  </si>
  <si>
    <t>subsidy_elec_direct_pc</t>
  </si>
  <si>
    <t>all_subs_pc</t>
  </si>
  <si>
    <t>subs_public_transport_pc</t>
  </si>
  <si>
    <t>social_tranche_pc</t>
  </si>
  <si>
    <t>subsidy_fuel_indirect_pc</t>
  </si>
  <si>
    <t>vat_fuel_pc</t>
  </si>
  <si>
    <t>subsidy_fuel_pc</t>
  </si>
  <si>
    <t>all_miti_pc</t>
  </si>
  <si>
    <t>am_pnbsf_transferinc_pc</t>
  </si>
  <si>
    <t>all_miti_noST_pc</t>
  </si>
  <si>
    <t>all_tax_pc</t>
  </si>
  <si>
    <t>all_fuel_pc</t>
  </si>
  <si>
    <t>subsidy_elec_pc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</si>
  <si>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</si>
  <si>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</si>
  <si>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</si>
  <si>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</si>
  <si>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</si>
  <si>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</si>
  <si>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</si>
  <si>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</si>
  <si>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</si>
  <si>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</si>
  <si>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</si>
  <si>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</si>
  <si>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</si>
  <si>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</si>
  <si>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</si>
  <si>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</si>
  <si>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</si>
  <si>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</si>
  <si>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</si>
  <si>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</si>
  <si>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</si>
  <si>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</si>
  <si>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</si>
  <si>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</si>
  <si>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</si>
  <si>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</si>
  <si>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</si>
  <si>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</si>
  <si>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</si>
  <si>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</si>
  <si>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</si>
  <si>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</si>
  <si>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</si>
  <si>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</si>
  <si>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</si>
  <si>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</si>
  <si>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</si>
  <si>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</si>
  <si>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</si>
  <si>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</si>
  <si>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</si>
  <si>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</si>
  <si>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</si>
  <si>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</si>
  <si>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</si>
  <si>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</si>
  <si>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</si>
  <si>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</si>
  <si>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</si>
  <si>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</si>
  <si>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</si>
  <si>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</si>
  <si>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</si>
  <si>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</si>
  <si>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</si>
  <si>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</si>
  <si>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</si>
  <si>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</si>
  <si>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</si>
  <si>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</si>
  <si>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</si>
  <si>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</si>
  <si>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</si>
  <si>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</si>
  <si>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</si>
  <si>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</si>
  <si>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</si>
  <si>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</si>
  <si>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</si>
  <si>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</si>
  <si>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</si>
  <si>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</si>
  <si>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</si>
  <si>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</si>
  <si>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</si>
  <si>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</si>
  <si>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</si>
  <si>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</si>
  <si>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</si>
  <si>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</si>
  <si>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</si>
  <si>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</si>
  <si>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</si>
  <si>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</si>
  <si>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</si>
  <si>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</si>
  <si>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</si>
  <si>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</si>
  <si>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</si>
  <si>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</si>
  <si>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</si>
  <si>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</si>
  <si>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</si>
  <si>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</si>
  <si>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</si>
  <si>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</si>
  <si>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</si>
  <si>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</si>
  <si>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</si>
  <si>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</si>
  <si>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</si>
  <si>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</si>
  <si>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</si>
  <si>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</si>
  <si>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</si>
  <si>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</si>
  <si>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</si>
  <si>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</si>
  <si>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</si>
  <si>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</si>
  <si>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</si>
  <si>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</si>
  <si>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</si>
  <si>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</si>
  <si>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</si>
  <si>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</si>
  <si>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</si>
  <si>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</si>
  <si>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</si>
  <si>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</si>
  <si>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</si>
  <si>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</si>
  <si>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</si>
  <si>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</si>
  <si>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</si>
  <si>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</si>
  <si>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</si>
  <si>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</si>
  <si>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</si>
  <si>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</si>
  <si>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</si>
  <si>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</si>
  <si>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</si>
  <si>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</si>
  <si>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</si>
  <si>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</si>
  <si>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</si>
  <si>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</si>
  <si>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</si>
  <si>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</si>
  <si>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</si>
  <si>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</si>
  <si>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</si>
  <si>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</si>
  <si>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</si>
  <si>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</si>
  <si>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</si>
  <si>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</si>
  <si>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</si>
  <si>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</si>
  <si>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</si>
  <si>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</si>
  <si>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</si>
  <si>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</si>
  <si>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</si>
  <si>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</si>
  <si>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</si>
  <si>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</si>
  <si>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</si>
  <si>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</si>
  <si>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</si>
  <si>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</si>
  <si>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</si>
  <si>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</si>
  <si>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</si>
  <si>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</si>
  <si>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</si>
  <si>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</si>
  <si>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</si>
  <si>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</si>
  <si>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</si>
  <si>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</si>
  <si>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</si>
  <si>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</si>
  <si>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</si>
  <si>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</si>
  <si>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</si>
  <si>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</si>
  <si>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</si>
  <si>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</si>
  <si>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</si>
  <si>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</si>
  <si>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</si>
  <si>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</si>
  <si>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</si>
  <si>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</si>
  <si>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</si>
  <si>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</si>
  <si>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</si>
  <si>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</si>
  <si>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</si>
  <si>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</si>
  <si>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</si>
  <si>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</si>
  <si>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</si>
  <si>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</si>
  <si>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</si>
  <si>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</si>
  <si>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</si>
  <si>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</si>
  <si>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</si>
  <si>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</si>
  <si>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</si>
  <si>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</si>
  <si>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</si>
  <si>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</si>
  <si>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</si>
  <si>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</si>
  <si>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</si>
  <si>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</si>
  <si>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</si>
  <si>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</si>
  <si>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</si>
  <si>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</si>
  <si>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</si>
  <si>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</si>
  <si>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</si>
  <si>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</si>
  <si>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</si>
  <si>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</si>
  <si>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</si>
  <si>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</si>
  <si>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</si>
  <si>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</si>
  <si>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</si>
  <si>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</si>
  <si>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</si>
  <si>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</si>
  <si>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</si>
  <si>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</si>
  <si>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</si>
  <si>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</si>
  <si>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</si>
  <si>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</si>
  <si>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</si>
  <si>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</si>
  <si>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</si>
  <si>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</si>
  <si>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</si>
  <si>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</si>
  <si>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</si>
  <si>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</si>
  <si>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</si>
  <si>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</si>
  <si>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</si>
  <si>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</si>
  <si>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</si>
  <si>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</si>
  <si>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</si>
  <si>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</si>
  <si>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</si>
  <si>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</si>
  <si>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</si>
  <si>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</si>
  <si>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</si>
  <si>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</si>
  <si>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</si>
  <si>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</si>
  <si>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</si>
  <si>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</si>
  <si>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</si>
  <si>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</si>
  <si>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</si>
  <si>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</si>
  <si>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</si>
  <si>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</si>
  <si>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</si>
  <si>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</si>
  <si>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</si>
  <si>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</si>
  <si>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</si>
  <si>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</si>
  <si>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</si>
  <si>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</si>
  <si>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</si>
  <si>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</si>
  <si>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</si>
  <si>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</si>
  <si>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</si>
  <si>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</si>
  <si>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</si>
  <si>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</si>
  <si>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</si>
  <si>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</si>
  <si>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</si>
  <si>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</si>
  <si>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</si>
  <si>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</si>
  <si>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</si>
  <si>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</si>
  <si>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</si>
  <si>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</si>
  <si>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</si>
  <si>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</si>
  <si>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</si>
  <si>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</si>
  <si>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</si>
  <si>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</si>
  <si>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</si>
  <si>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</si>
  <si>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</si>
  <si>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</si>
  <si>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</si>
  <si>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</si>
  <si>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</si>
  <si>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</si>
  <si>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</si>
  <si>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</si>
  <si>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</si>
  <si>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</si>
  <si>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</si>
  <si>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</si>
  <si>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</si>
  <si>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</si>
  <si>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</si>
  <si>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</si>
  <si>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</si>
  <si>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</si>
  <si>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</si>
  <si>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</si>
  <si>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</si>
  <si>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</si>
  <si>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</si>
  <si>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</si>
  <si>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</si>
  <si>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</si>
  <si>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</si>
  <si>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</si>
  <si>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</si>
  <si>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</si>
  <si>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</si>
  <si>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</si>
  <si>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</si>
  <si>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</si>
  <si>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</si>
  <si>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</si>
  <si>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</si>
  <si>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</si>
  <si>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</si>
  <si>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</si>
  <si>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</si>
  <si>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</si>
  <si>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</si>
  <si>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</si>
  <si>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</si>
  <si>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</si>
  <si>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</si>
  <si>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</si>
  <si>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</si>
  <si>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</si>
  <si>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</si>
  <si>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</si>
  <si>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</si>
  <si>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</si>
  <si>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</si>
  <si>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</si>
  <si>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</si>
  <si>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</si>
  <si>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</si>
  <si>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</si>
  <si>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</si>
  <si>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</si>
  <si>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</si>
  <si>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</si>
  <si>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</si>
  <si>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</si>
  <si>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</si>
  <si>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</si>
  <si>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</si>
  <si>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</si>
  <si>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</si>
  <si>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</si>
  <si>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</si>
  <si>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</si>
  <si>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</si>
  <si>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</si>
  <si>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</si>
  <si>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</si>
  <si>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</si>
  <si>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</si>
  <si>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</si>
  <si>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</si>
  <si>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</si>
  <si>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</si>
  <si>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</si>
  <si>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</si>
  <si>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</si>
  <si>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</si>
  <si>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</si>
  <si>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</si>
  <si>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</si>
  <si>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</si>
  <si>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</si>
  <si>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</si>
  <si>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</si>
  <si>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</si>
  <si>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</si>
  <si>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</si>
  <si>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</si>
  <si>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</si>
  <si>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</si>
  <si>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</si>
  <si>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</si>
  <si>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</si>
  <si>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</si>
  <si>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</si>
  <si>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</si>
  <si>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</si>
  <si>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</si>
  <si>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</si>
  <si>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</si>
  <si>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</si>
  <si>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</si>
  <si>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</si>
  <si>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</si>
  <si>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</si>
  <si>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</si>
  <si>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</si>
  <si>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</si>
  <si>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</si>
  <si>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</si>
  <si>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</si>
  <si>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</si>
  <si>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</si>
  <si>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</si>
  <si>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</si>
  <si>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</si>
  <si>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</si>
  <si>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</si>
  <si>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</si>
  <si>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</si>
  <si>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</si>
  <si>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</si>
  <si>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</si>
  <si>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</si>
  <si>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</si>
  <si>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</si>
  <si>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</si>
  <si>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</si>
  <si>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</si>
  <si>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</si>
  <si>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</si>
  <si>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</si>
  <si>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</si>
  <si>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</si>
  <si>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</si>
  <si>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</si>
  <si>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</si>
  <si>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</si>
  <si>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</si>
  <si>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</si>
  <si>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</si>
  <si>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</si>
  <si>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</si>
  <si>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</si>
  <si>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</si>
  <si>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</si>
  <si>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</si>
  <si>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</si>
  <si>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</si>
  <si>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</si>
  <si>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</si>
  <si>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</si>
  <si>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</si>
  <si>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</si>
  <si>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</si>
  <si>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</si>
  <si>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</si>
  <si>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</si>
  <si>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</si>
  <si>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</si>
  <si>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</si>
  <si>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</si>
  <si>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</si>
  <si>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</si>
  <si>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</si>
  <si>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</si>
  <si>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</si>
  <si>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</si>
  <si>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</si>
  <si>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</si>
  <si>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</si>
  <si>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</si>
  <si>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</si>
  <si>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</si>
  <si>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</si>
  <si>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</si>
  <si>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</si>
  <si>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</si>
  <si>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</si>
  <si>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</si>
  <si>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</si>
  <si>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</si>
  <si>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</si>
  <si>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</si>
  <si>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</si>
  <si>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</si>
  <si>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</si>
  <si>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</si>
  <si>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</si>
  <si>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</si>
  <si>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</si>
  <si>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</si>
  <si>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</si>
  <si>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</si>
  <si>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</si>
  <si>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</si>
  <si>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</si>
  <si>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</si>
  <si>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</si>
  <si>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</si>
  <si>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</si>
  <si>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</si>
  <si>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</si>
  <si>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</si>
  <si>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</si>
  <si>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</si>
  <si>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</si>
  <si>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</si>
  <si>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</si>
  <si>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</si>
  <si>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</si>
  <si>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</si>
  <si>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</si>
  <si>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</si>
  <si>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</si>
  <si>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</si>
  <si>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</si>
  <si>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</si>
  <si>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</si>
  <si>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</si>
  <si>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</si>
  <si>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</si>
  <si>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</si>
  <si>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</si>
  <si>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</si>
  <si>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</si>
  <si>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</si>
  <si>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</si>
  <si>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</si>
  <si>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</si>
  <si>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</si>
  <si>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</si>
  <si>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</si>
  <si>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</si>
  <si>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</si>
  <si>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</si>
  <si>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</si>
  <si>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</si>
  <si>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</si>
  <si>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</si>
  <si>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</si>
  <si>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</si>
  <si>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</si>
  <si>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</si>
  <si>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</si>
  <si>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</si>
  <si>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</si>
  <si>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</si>
  <si>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</si>
  <si>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</si>
  <si>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</si>
  <si>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</si>
  <si>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</si>
  <si>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</si>
  <si>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</si>
  <si>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</si>
  <si>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</si>
  <si>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</si>
  <si>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</si>
  <si>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</si>
  <si>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</si>
  <si>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</si>
  <si>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</si>
  <si>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</si>
  <si>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</si>
  <si>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</si>
  <si>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</si>
  <si>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</si>
  <si>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</si>
  <si>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</si>
  <si>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</si>
  <si>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</si>
  <si>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</si>
  <si>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</si>
  <si>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</si>
  <si>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</si>
  <si>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</si>
  <si>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</si>
  <si>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</si>
  <si>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</si>
  <si>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</si>
  <si>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</si>
  <si>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</si>
  <si>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</si>
  <si>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</si>
  <si>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</si>
  <si>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</si>
  <si>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</si>
  <si>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</si>
  <si>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</si>
  <si>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</si>
  <si>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</si>
  <si>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</si>
  <si>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</si>
  <si>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</si>
  <si>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</si>
  <si>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</si>
  <si>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</si>
  <si>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</si>
  <si>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</si>
  <si>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</si>
  <si>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</si>
  <si>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</si>
  <si>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</si>
  <si>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</si>
  <si>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</si>
  <si>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</si>
  <si>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</si>
  <si>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</si>
  <si>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</si>
  <si>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</si>
  <si>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</si>
  <si>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</si>
  <si>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</si>
  <si>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</si>
  <si>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</si>
  <si>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</si>
  <si>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</si>
  <si>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</si>
  <si>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</si>
  <si>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</si>
  <si>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</si>
  <si>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</si>
  <si>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</si>
  <si>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</si>
  <si>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</si>
  <si>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</si>
  <si>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</si>
  <si>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</si>
  <si>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</si>
  <si>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</si>
  <si>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</si>
  <si>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</si>
  <si>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</si>
  <si>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</si>
  <si>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</si>
  <si>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</si>
  <si>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</si>
  <si>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</si>
  <si>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</si>
  <si>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</si>
  <si>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</si>
  <si>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</si>
  <si>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</si>
  <si>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</si>
  <si>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</si>
  <si>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</si>
  <si>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</si>
  <si>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</si>
  <si>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</si>
  <si>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</si>
  <si>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</si>
  <si>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</si>
  <si>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</si>
  <si>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</si>
  <si>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</si>
  <si>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</si>
  <si>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</si>
  <si>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</si>
  <si>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</si>
  <si>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</si>
  <si>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</si>
  <si>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</si>
  <si>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</si>
  <si>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</si>
  <si>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</si>
  <si>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</si>
  <si>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</si>
  <si>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</si>
  <si>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</si>
  <si>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</si>
  <si>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</si>
  <si>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</si>
  <si>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</si>
  <si>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</si>
  <si>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</si>
  <si>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</si>
  <si>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</si>
  <si>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</si>
  <si>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</si>
  <si>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</si>
  <si>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</si>
  <si>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</si>
  <si>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</si>
  <si>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</si>
  <si>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</si>
  <si>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</si>
  <si>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</si>
  <si>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</si>
  <si>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</si>
  <si>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</si>
  <si>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</si>
  <si>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</si>
  <si>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</si>
  <si>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</si>
  <si>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</si>
  <si>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</si>
  <si>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</si>
  <si>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</si>
  <si>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</si>
  <si>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</si>
  <si>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</si>
  <si>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</si>
  <si>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</si>
  <si>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</si>
  <si>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</si>
  <si>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</si>
  <si>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</si>
  <si>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</si>
  <si>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</si>
  <si>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</si>
  <si>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</si>
  <si>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</si>
  <si>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</si>
  <si>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</si>
  <si>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</si>
  <si>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</si>
  <si>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</si>
  <si>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</si>
  <si>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</si>
  <si>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</si>
  <si>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</si>
  <si>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</si>
  <si>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</si>
  <si>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</si>
  <si>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</si>
  <si>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</si>
  <si>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</si>
  <si>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</si>
  <si>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</si>
  <si>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</si>
  <si>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</si>
  <si>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</si>
  <si>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</si>
  <si>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</si>
  <si>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</si>
  <si>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</si>
  <si>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</si>
  <si>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</si>
  <si>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</si>
  <si>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</si>
  <si>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</si>
  <si>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</si>
  <si>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</si>
  <si>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</si>
  <si>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</si>
  <si>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</si>
  <si>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</si>
  <si>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</si>
  <si>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</si>
  <si>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</si>
  <si>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</si>
  <si>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</si>
  <si>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</si>
  <si>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</si>
  <si>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</si>
  <si>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</si>
  <si>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</si>
  <si>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</si>
  <si>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</si>
  <si>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</si>
  <si>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</si>
  <si>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</si>
  <si>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</si>
  <si>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</si>
  <si>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</si>
  <si>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</si>
  <si>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</si>
  <si>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all_elec_noST_pc</t>
  </si>
  <si>
    <t>all_elec_pc</t>
  </si>
  <si>
    <t>all_fuel_pc</t>
  </si>
  <si>
    <t>all_miti_noST_pc</t>
  </si>
  <si>
    <t>all_miti_pc</t>
  </si>
  <si>
    <t>all_policies_miti_pc</t>
  </si>
  <si>
    <t>all_policies_noST_pc</t>
  </si>
  <si>
    <t>all_policies_pc</t>
  </si>
  <si>
    <t>all_subs_noST_pc</t>
  </si>
  <si>
    <t>all_subs_pc</t>
  </si>
  <si>
    <t>all_tax_pc</t>
  </si>
  <si>
    <t>am_delayed_pnbsf_pc</t>
  </si>
  <si>
    <t>am_new_pnbsf_pc</t>
  </si>
  <si>
    <t>am_pnbsf_newbenefs_pc</t>
  </si>
  <si>
    <t>am_pnbsf_transferinc_pc</t>
  </si>
  <si>
    <t>social_tranche_pc</t>
  </si>
  <si>
    <t>subs_public_transport_pc</t>
  </si>
  <si>
    <t>subsidy_elec_direct_pc</t>
  </si>
  <si>
    <t>subsidy_elec_indirect_pc</t>
  </si>
  <si>
    <t>subsidy_elec_pc</t>
  </si>
  <si>
    <t>subsidy_fuel_direct_pc</t>
  </si>
  <si>
    <t>subsidy_fuel_indirect_pc</t>
  </si>
  <si>
    <t>subsidy_fuel_pc</t>
  </si>
  <si>
    <t>vat_elec_pc</t>
  </si>
  <si>
    <t>vat_fuel_pc</t>
  </si>
  <si>
    <t>subsidy_fuel_pc</t>
  </si>
  <si>
    <t>all_miti_noST_pc</t>
  </si>
  <si>
    <t>subs_public_transport_pc</t>
  </si>
  <si>
    <t>am_new_pnbsf_pc</t>
  </si>
  <si>
    <t>subsidy_elec_pc</t>
  </si>
  <si>
    <t>all_subs_noST_pc</t>
  </si>
  <si>
    <t>subsidy_elec_direct_pc</t>
  </si>
  <si>
    <t>subsidy_fuel_indirect_pc</t>
  </si>
  <si>
    <t>all_elec_pc</t>
  </si>
  <si>
    <t>am_pnbsf_transferinc_pc</t>
  </si>
  <si>
    <t>subsidy_fuel_direct_pc</t>
  </si>
  <si>
    <t>am_delayed_pnbsf_pc</t>
  </si>
  <si>
    <t>subsidy_elec_indirect_pc</t>
  </si>
  <si>
    <t>vat_fuel_pc</t>
  </si>
  <si>
    <t>social_tranche_pc</t>
  </si>
  <si>
    <t>all_tax_pc</t>
  </si>
  <si>
    <t>all_elec_noST_pc</t>
  </si>
  <si>
    <t>all_fuel_pc</t>
  </si>
  <si>
    <t>all_policies_pc</t>
  </si>
  <si>
    <t>vat_elec_pc</t>
  </si>
  <si>
    <t>all_policies_noST_pc</t>
  </si>
  <si>
    <t>all_policies_miti_pc</t>
  </si>
  <si>
    <t>am_pnbsf_newbenefs_pc</t>
  </si>
  <si>
    <t>all_miti_pc</t>
  </si>
  <si>
    <t>all_subs_pc</t>
  </si>
  <si>
    <t>subsidy_fuel_direct_pc</t>
  </si>
  <si>
    <t>all_miti_noST_pc</t>
  </si>
  <si>
    <t>all_policies_pc</t>
  </si>
  <si>
    <t>am_new_pnbsf_pc</t>
  </si>
  <si>
    <t>vat_elec_pc</t>
  </si>
  <si>
    <t>social_tranche_pc</t>
  </si>
  <si>
    <t>all_elec_pc</t>
  </si>
  <si>
    <t>subsidy_elec_direct_pc</t>
  </si>
  <si>
    <t>subs_public_transport_pc</t>
  </si>
  <si>
    <t>all_subs_pc</t>
  </si>
  <si>
    <t>subsidy_elec_pc</t>
  </si>
  <si>
    <t>all_elec_noST_pc</t>
  </si>
  <si>
    <t>all_tax_pc</t>
  </si>
  <si>
    <t>all_policies_miti_pc</t>
  </si>
  <si>
    <t>all_miti_pc</t>
  </si>
  <si>
    <t>vat_fuel_pc</t>
  </si>
  <si>
    <t>am_pnbsf_newbenefs_pc</t>
  </si>
  <si>
    <t>subsidy_fuel_pc</t>
  </si>
  <si>
    <t>am_pnbsf_transferinc_pc</t>
  </si>
  <si>
    <t>all_fuel_pc</t>
  </si>
  <si>
    <t>subsidy_fuel_indirect_pc</t>
  </si>
  <si>
    <t>all_subs_noST_pc</t>
  </si>
  <si>
    <t>am_delayed_pnbsf_pc</t>
  </si>
  <si>
    <t>all_policies_noST_pc</t>
  </si>
  <si>
    <t>subsidy_elec_indirect_pc</t>
  </si>
  <si>
    <t>all_policies_miti_pc</t>
  </si>
  <si>
    <t>all_miti_pc</t>
  </si>
  <si>
    <t>all_fuel_pc</t>
  </si>
  <si>
    <t>subs_public_transport_pc</t>
  </si>
  <si>
    <t>vat_elec_pc</t>
  </si>
  <si>
    <t>subsidy_fuel_direct_pc</t>
  </si>
  <si>
    <t>am_pnbsf_newbenefs_pc</t>
  </si>
  <si>
    <t>all_policies_pc</t>
  </si>
  <si>
    <t>subsidy_fuel_indirect_pc</t>
  </si>
  <si>
    <t>subsidy_elec_pc</t>
  </si>
  <si>
    <t>am_new_pnbsf_pc</t>
  </si>
  <si>
    <t>all_tax_pc</t>
  </si>
  <si>
    <t>all_subs_pc</t>
  </si>
  <si>
    <t>all_elec_noST_pc</t>
  </si>
  <si>
    <t>vat_fuel_pc</t>
  </si>
  <si>
    <t>all_elec_pc</t>
  </si>
  <si>
    <t>subsidy_elec_indirect_pc</t>
  </si>
  <si>
    <t>all_miti_noST_pc</t>
  </si>
  <si>
    <t>all_subs_noST_pc</t>
  </si>
  <si>
    <t>am_delayed_pnbsf_pc</t>
  </si>
  <si>
    <t>am_pnbsf_transferinc_pc</t>
  </si>
  <si>
    <t>social_tranche_pc</t>
  </si>
  <si>
    <t>all_policies_noST_pc</t>
  </si>
  <si>
    <t>subsidy_elec_direct_pc</t>
  </si>
  <si>
    <t>subsidy_fuel_pc</t>
  </si>
  <si>
    <t>subsidy_fuel_indirect_pc</t>
  </si>
  <si>
    <t>all_policies_noST_pc</t>
  </si>
  <si>
    <t>all_subs_noST_pc</t>
  </si>
  <si>
    <t>am_delayed_pnbsf_pc</t>
  </si>
  <si>
    <t>subsidy_elec_direct_pc</t>
  </si>
  <si>
    <t>all_fuel_pc</t>
  </si>
  <si>
    <t>all_policies_pc</t>
  </si>
  <si>
    <t>social_tranche_pc</t>
  </si>
  <si>
    <t>all_miti_pc</t>
  </si>
  <si>
    <t>subsidy_elec_indirect_pc</t>
  </si>
  <si>
    <t>vat_fuel_pc</t>
  </si>
  <si>
    <t>all_elec_pc</t>
  </si>
  <si>
    <t>subsidy_fuel_direct_pc</t>
  </si>
  <si>
    <t>subsidy_elec_pc</t>
  </si>
  <si>
    <t>subs_public_transport_pc</t>
  </si>
  <si>
    <t>all_subs_pc</t>
  </si>
  <si>
    <t>subsidy_fuel_pc</t>
  </si>
  <si>
    <t>am_pnbsf_newbenefs_pc</t>
  </si>
  <si>
    <t>all_policies_miti_pc</t>
  </si>
  <si>
    <t>am_pnbsf_transferinc_pc</t>
  </si>
  <si>
    <t>all_miti_noST_pc</t>
  </si>
  <si>
    <t>all_tax_pc</t>
  </si>
  <si>
    <t>am_new_pnbsf_pc</t>
  </si>
  <si>
    <t>vat_elec_pc</t>
  </si>
  <si>
    <t>all_elec_noST_pc</t>
  </si>
  <si>
    <t>all_miti_pc</t>
  </si>
  <si>
    <t>subsidy_elec_direct_pc</t>
  </si>
  <si>
    <t>subs_public_transport_pc</t>
  </si>
  <si>
    <t>am_new_pnbsf_pc</t>
  </si>
  <si>
    <t>am_delayed_pnbsf_pc</t>
  </si>
  <si>
    <t>all_subs_noST_pc</t>
  </si>
  <si>
    <t>am_pnbsf_transferinc_pc</t>
  </si>
  <si>
    <t>all_fuel_pc</t>
  </si>
  <si>
    <t>all_elec_pc</t>
  </si>
  <si>
    <t>all_miti_noST_pc</t>
  </si>
  <si>
    <t>all_subs_pc</t>
  </si>
  <si>
    <t>all_policies_miti_pc</t>
  </si>
  <si>
    <t>subsidy_elec_indirect_pc</t>
  </si>
  <si>
    <t>social_tranche_pc</t>
  </si>
  <si>
    <t>all_policies_pc</t>
  </si>
  <si>
    <t>all_elec_noST_pc</t>
  </si>
  <si>
    <t>all_tax_pc</t>
  </si>
  <si>
    <t>subsidy_fuel_indirect_pc</t>
  </si>
  <si>
    <t>subsidy_elec_pc</t>
  </si>
  <si>
    <t>all_policies_noST_pc</t>
  </si>
  <si>
    <t>am_pnbsf_newbenefs_pc</t>
  </si>
  <si>
    <t>subsidy_fuel_direct_pc</t>
  </si>
  <si>
    <t>vat_elec_pc</t>
  </si>
  <si>
    <t>vat_fuel_pc</t>
  </si>
  <si>
    <t>subsidy_fuel_pc</t>
  </si>
  <si>
    <t>am_new_pnbsf_pc</t>
  </si>
  <si>
    <t>subsidy_fuel_direct_pc</t>
  </si>
  <si>
    <t>all_tax_pc</t>
  </si>
  <si>
    <t>am_pnbsf_transferinc_pc</t>
  </si>
  <si>
    <t>am_pnbsf_newbenefs_pc</t>
  </si>
  <si>
    <t>vat_fuel_pc</t>
  </si>
  <si>
    <t>all_fuel_pc</t>
  </si>
  <si>
    <t>subsidy_elec_indirect_pc</t>
  </si>
  <si>
    <t>vat_elec_pc</t>
  </si>
  <si>
    <t>subsidy_fuel_pc</t>
  </si>
  <si>
    <t>subs_public_transport_pc</t>
  </si>
  <si>
    <t>all_miti_noST_pc</t>
  </si>
  <si>
    <t>all_subs_noST_pc</t>
  </si>
  <si>
    <t>all_policies_noST_pc</t>
  </si>
  <si>
    <t>all_policies_miti_pc</t>
  </si>
  <si>
    <t>subsidy_elec_direct_pc</t>
  </si>
  <si>
    <t>all_policies_pc</t>
  </si>
  <si>
    <t>all_elec_pc</t>
  </si>
  <si>
    <t>all_elec_noST_pc</t>
  </si>
  <si>
    <t>subsidy_elec_pc</t>
  </si>
  <si>
    <t>all_subs_pc</t>
  </si>
  <si>
    <t>subsidy_fuel_indirect_pc</t>
  </si>
  <si>
    <t>am_delayed_pnbsf_pc</t>
  </si>
  <si>
    <t>all_miti_pc</t>
  </si>
  <si>
    <t>social_tranche_pc</t>
  </si>
  <si>
    <t>subsidy_elec_indirect_pc</t>
  </si>
  <si>
    <t>all_policies_pc</t>
  </si>
  <si>
    <t>all_fuel_pc</t>
  </si>
  <si>
    <t>all_miti_noST_pc</t>
  </si>
  <si>
    <t>am_delayed_pnbsf_pc</t>
  </si>
  <si>
    <t>all_subs_noST_pc</t>
  </si>
  <si>
    <t>vat_fuel_pc</t>
  </si>
  <si>
    <t>subs_public_transport_pc</t>
  </si>
  <si>
    <t>social_tranche_pc</t>
  </si>
  <si>
    <t>subsidy_elec_pc</t>
  </si>
  <si>
    <t>subsidy_fuel_direct_pc</t>
  </si>
  <si>
    <t>am_pnbsf_newbenefs_pc</t>
  </si>
  <si>
    <t>all_elec_pc</t>
  </si>
  <si>
    <t>all_policies_miti_pc</t>
  </si>
  <si>
    <t>all_policies_noST_pc</t>
  </si>
  <si>
    <t>vat_elec_pc</t>
  </si>
  <si>
    <t>subsidy_fuel_pc</t>
  </si>
  <si>
    <t>all_miti_pc</t>
  </si>
  <si>
    <t>am_pnbsf_transferinc_pc</t>
  </si>
  <si>
    <t>subsidy_fuel_indirect_pc</t>
  </si>
  <si>
    <t>all_elec_noST_pc</t>
  </si>
  <si>
    <t>am_new_pnbsf_pc</t>
  </si>
  <si>
    <t>all_tax_pc</t>
  </si>
  <si>
    <t>all_subs_pc</t>
  </si>
  <si>
    <t>subsidy_elec_direct_pc</t>
  </si>
  <si>
    <t>am_pnbsf_newbenefs_pc</t>
  </si>
  <si>
    <t>subsidy_fuel_pc</t>
  </si>
  <si>
    <t>all_policies_noST_pc</t>
  </si>
  <si>
    <t>vat_fuel_pc</t>
  </si>
  <si>
    <t>subsidy_fuel_indirect_pc</t>
  </si>
  <si>
    <t>all_policies_pc</t>
  </si>
  <si>
    <t>social_tranche_pc</t>
  </si>
  <si>
    <t>all_miti_noST_pc</t>
  </si>
  <si>
    <t>all_miti_pc</t>
  </si>
  <si>
    <t>all_subs_pc</t>
  </si>
  <si>
    <t>all_elec_pc</t>
  </si>
  <si>
    <t>am_pnbsf_transferinc_pc</t>
  </si>
  <si>
    <t>all_subs_noST_pc</t>
  </si>
  <si>
    <t>all_elec_noST_pc</t>
  </si>
  <si>
    <t>subs_public_transport_pc</t>
  </si>
  <si>
    <t>am_delayed_pnbsf_pc</t>
  </si>
  <si>
    <t>subsidy_elec_pc</t>
  </si>
  <si>
    <t>subsidy_elec_indirect_pc</t>
  </si>
  <si>
    <t>subsidy_fuel_direct_pc</t>
  </si>
  <si>
    <t>all_tax_pc</t>
  </si>
  <si>
    <t>vat_elec_pc</t>
  </si>
  <si>
    <t>all_fuel_pc</t>
  </si>
  <si>
    <t>am_new_pnbsf_pc</t>
  </si>
  <si>
    <t>all_policies_miti_pc</t>
  </si>
  <si>
    <t>social_tranche_pc</t>
  </si>
  <si>
    <t>all_policies_pc</t>
  </si>
  <si>
    <t>all_elec_pc</t>
  </si>
  <si>
    <t>all_miti_noST_pc</t>
  </si>
  <si>
    <t>subsidy_elec_direct_pc</t>
  </si>
  <si>
    <t>subsidy_fuel_indirect_pc</t>
  </si>
  <si>
    <t>all_subs_noST_pc</t>
  </si>
  <si>
    <t>all_elec_noST_pc</t>
  </si>
  <si>
    <t>subsidy_fuel_direct_pc</t>
  </si>
  <si>
    <t>am_new_pnbsf_pc</t>
  </si>
  <si>
    <t>subsidy_elec_pc</t>
  </si>
  <si>
    <t>all_tax_pc</t>
  </si>
  <si>
    <t>am_pnbsf_transferinc_pc</t>
  </si>
  <si>
    <t>all_policies_miti_pc</t>
  </si>
  <si>
    <t>subs_public_transport_pc</t>
  </si>
  <si>
    <t>vat_elec_pc</t>
  </si>
  <si>
    <t>am_delayed_pnbsf_pc</t>
  </si>
  <si>
    <t>all_subs_pc</t>
  </si>
  <si>
    <t>am_pnbsf_newbenefs_pc</t>
  </si>
  <si>
    <t>subsidy_fuel_pc</t>
  </si>
  <si>
    <t>subsidy_elec_indirect_pc</t>
  </si>
  <si>
    <t>all_policies_noST_pc</t>
  </si>
  <si>
    <t>vat_fuel_pc</t>
  </si>
  <si>
    <t>all_fuel_pc</t>
  </si>
  <si>
    <t>all_miti_pc</t>
  </si>
  <si>
    <t>vat_elec_pc</t>
  </si>
  <si>
    <t>all_policies_miti_pc</t>
  </si>
  <si>
    <t>subs_public_transport_pc</t>
  </si>
  <si>
    <t>all_miti_noST_pc</t>
  </si>
  <si>
    <t>am_pnbsf_newbenefs_pc</t>
  </si>
  <si>
    <t>all_policies_noST_pc</t>
  </si>
  <si>
    <t>subsidy_elec_direct_pc</t>
  </si>
  <si>
    <t>all_elec_pc</t>
  </si>
  <si>
    <t>subsidy_elec_pc</t>
  </si>
  <si>
    <t>subsidy_fuel_pc</t>
  </si>
  <si>
    <t>all_fuel_pc</t>
  </si>
  <si>
    <t>all_subs_pc</t>
  </si>
  <si>
    <t>all_elec_noST_pc</t>
  </si>
  <si>
    <t>am_new_pnbsf_pc</t>
  </si>
  <si>
    <t>all_miti_pc</t>
  </si>
  <si>
    <t>subsidy_fuel_indirect_pc</t>
  </si>
  <si>
    <t>social_tranche_pc</t>
  </si>
  <si>
    <t>all_policies_pc</t>
  </si>
  <si>
    <t>all_subs_noST_pc</t>
  </si>
  <si>
    <t>am_pnbsf_transferinc_pc</t>
  </si>
  <si>
    <t>all_tax_pc</t>
  </si>
  <si>
    <t>am_delayed_pnbsf_pc</t>
  </si>
  <si>
    <t>subsidy_fuel_direct_pc</t>
  </si>
  <si>
    <t>subsidy_elec_indirect_pc</t>
  </si>
  <si>
    <t>vat_fuel_pc</t>
  </si>
  <si>
    <t>subsidy_fuel_direct_pc</t>
  </si>
  <si>
    <t>am_delayed_pnbsf_pc</t>
  </si>
  <si>
    <t>social_tranche_pc</t>
  </si>
  <si>
    <t>subs_public_transport_pc</t>
  </si>
  <si>
    <t>am_pnbsf_transferinc_pc</t>
  </si>
  <si>
    <t>am_pnbsf_newbenefs_pc</t>
  </si>
  <si>
    <t>all_miti_pc</t>
  </si>
  <si>
    <t>all_miti_noST_pc</t>
  </si>
  <si>
    <t>all_policies_miti_pc</t>
  </si>
  <si>
    <t>all_policies_noST_pc</t>
  </si>
  <si>
    <t>all_policies_pc</t>
  </si>
  <si>
    <t>subsidy_fuel_indirect_pc</t>
  </si>
  <si>
    <t>all_tax_pc</t>
  </si>
  <si>
    <t>all_subs_noST_pc</t>
  </si>
  <si>
    <t>all_subs_pc</t>
  </si>
  <si>
    <t>all_elec_noST_pc</t>
  </si>
  <si>
    <t>all_elec_pc</t>
  </si>
  <si>
    <t>all_fuel_pc</t>
  </si>
  <si>
    <t>subsidy_fuel_pc</t>
  </si>
  <si>
    <t>subsidy_elec_direct_pc</t>
  </si>
  <si>
    <t>subsidy_elec_indirect_pc</t>
  </si>
  <si>
    <t>subsidy_elec_pc</t>
  </si>
  <si>
    <t>vat_elec_pc</t>
  </si>
  <si>
    <t>vat_fuel_pc</t>
  </si>
  <si>
    <t>am_new_pnbsf_pc</t>
  </si>
  <si>
    <t>yd_pc</t>
  </si>
  <si>
    <t>inc_am_new_pnbsf</t>
  </si>
  <si>
    <t>inc_am_delayed_pnbsf</t>
  </si>
  <si>
    <t>inc_social_tranche</t>
  </si>
  <si>
    <t>inc_subs_public_transport</t>
  </si>
  <si>
    <t>inc_am_pnbsf_transferinc</t>
  </si>
  <si>
    <t>inc_am_pnbsf_newbenefs</t>
  </si>
  <si>
    <t>inc_all_miti</t>
  </si>
  <si>
    <t>inc_all_miti_noST</t>
  </si>
  <si>
    <t>inc_all_policies_miti</t>
  </si>
  <si>
    <t>inc_all_policies_noST</t>
  </si>
  <si>
    <t>yd_pc</t>
  </si>
  <si>
    <t>inc_vat_elec</t>
  </si>
  <si>
    <t>inc_all_policies</t>
  </si>
  <si>
    <t>inc_all_tax</t>
  </si>
  <si>
    <t>inc_all_subs_noST</t>
  </si>
  <si>
    <t>inc_all_subs</t>
  </si>
  <si>
    <t>inc_all_elec_noST</t>
  </si>
  <si>
    <t>inc_all_elec</t>
  </si>
  <si>
    <t>inc_all_fuel</t>
  </si>
  <si>
    <t>inc_vat_elec</t>
  </si>
  <si>
    <t>inc_vat_fuel</t>
  </si>
  <si>
    <t>inc_subsidy_fuel_direct</t>
  </si>
  <si>
    <t>inc_subsidy_fuel_indirect</t>
  </si>
  <si>
    <t>inc_subsidy_fuel</t>
  </si>
  <si>
    <t>inc_subsidy_elec_direct</t>
  </si>
  <si>
    <t>inc_subsidy_elec_indirect</t>
  </si>
  <si>
    <t>inc_subsidy_elec</t>
  </si>
  <si>
    <t>all</t>
  </si>
  <si>
    <t>reference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</si>
  <si>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</si>
  <si>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</si>
  <si>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</si>
  <si>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</si>
  <si>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</si>
  <si>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</si>
  <si>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</si>
  <si>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</si>
  <si>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</si>
  <si>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</si>
  <si>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</si>
  <si>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</si>
  <si>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</si>
  <si>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</si>
  <si>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</si>
  <si>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</si>
  <si>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</si>
  <si>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</si>
  <si>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</si>
  <si>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</si>
  <si>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</si>
  <si>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</si>
  <si>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</si>
  <si>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</si>
  <si>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</si>
  <si>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</si>
  <si>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</si>
  <si>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</si>
  <si>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</si>
  <si>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</si>
  <si>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</si>
  <si>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</si>
  <si>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</si>
  <si>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</si>
  <si>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</si>
  <si>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</si>
  <si>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</si>
  <si>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</si>
  <si>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</si>
  <si>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</si>
  <si>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</si>
  <si>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</si>
  <si>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</si>
  <si>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</si>
  <si>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</si>
  <si>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</si>
  <si>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</si>
  <si>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</si>
  <si>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</si>
  <si>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</si>
  <si>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</si>
  <si>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</si>
  <si>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</si>
  <si>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</si>
  <si>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</si>
  <si>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</si>
  <si>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</si>
  <si>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</si>
  <si>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</si>
  <si>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</si>
  <si>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</si>
  <si>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</si>
  <si>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</si>
  <si>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</si>
  <si>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</si>
  <si>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</si>
  <si>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</si>
  <si>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</si>
  <si>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</si>
  <si>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</si>
  <si>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</si>
  <si>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</si>
  <si>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</si>
  <si>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</si>
  <si>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</si>
  <si>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</si>
  <si>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</si>
  <si>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</si>
  <si>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</si>
  <si>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</si>
  <si>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</si>
  <si>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</si>
  <si>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</si>
  <si>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</si>
  <si>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</si>
  <si>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</si>
  <si>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</si>
  <si>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</si>
  <si>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</si>
  <si>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</si>
  <si>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</si>
  <si>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</si>
  <si>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</si>
  <si>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</si>
  <si>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</si>
  <si>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</si>
  <si>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</si>
  <si>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</si>
  <si>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</si>
  <si>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</si>
  <si>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</si>
  <si>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</si>
  <si>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</si>
  <si>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</si>
  <si>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</si>
  <si>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</si>
  <si>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</si>
  <si>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</si>
  <si>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</si>
  <si>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</si>
  <si>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</si>
  <si>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</si>
  <si>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</si>
  <si>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</si>
  <si>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</si>
  <si>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</si>
  <si>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</si>
  <si>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</si>
  <si>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</si>
  <si>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</si>
  <si>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</si>
  <si>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</si>
  <si>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</si>
  <si>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</si>
  <si>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</si>
  <si>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</si>
  <si>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</si>
  <si>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</si>
  <si>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</si>
  <si>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</si>
  <si>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</si>
  <si>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</si>
  <si>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</si>
  <si>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</si>
  <si>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</si>
  <si>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</si>
  <si>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</si>
  <si>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</si>
  <si>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</si>
  <si>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</si>
  <si>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</si>
  <si>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</si>
  <si>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</si>
  <si>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</si>
  <si>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</si>
  <si>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</si>
  <si>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</si>
  <si>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</si>
  <si>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</si>
  <si>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</si>
  <si>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</si>
  <si>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</si>
  <si>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</si>
  <si>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</si>
  <si>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</si>
  <si>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</si>
  <si>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</si>
  <si>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</si>
  <si>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</si>
  <si>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</si>
  <si>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</si>
  <si>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</si>
  <si>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</si>
  <si>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</si>
  <si>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</si>
  <si>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</si>
  <si>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</si>
  <si>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</si>
  <si>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</si>
  <si>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</si>
  <si>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</si>
  <si>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</si>
  <si>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</si>
  <si>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</si>
  <si>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</si>
  <si>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</si>
  <si>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</si>
  <si>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</si>
  <si>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</si>
  <si>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</si>
  <si>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</si>
  <si>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</si>
  <si>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</si>
  <si>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</si>
  <si>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</si>
  <si>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</si>
  <si>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</si>
  <si>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</si>
  <si>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</si>
  <si>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</si>
  <si>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</si>
  <si>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</si>
  <si>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</si>
  <si>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</si>
  <si>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</si>
  <si>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</si>
  <si>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</si>
  <si>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</si>
  <si>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</si>
  <si>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</si>
  <si>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</si>
  <si>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</si>
  <si>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</si>
  <si>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</si>
  <si>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</si>
  <si>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</si>
  <si>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</si>
  <si>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</si>
  <si>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</si>
  <si>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</si>
  <si>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</si>
  <si>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</si>
  <si>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</si>
  <si>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</si>
  <si>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</si>
  <si>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</si>
  <si>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</si>
  <si>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</si>
  <si>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</si>
  <si>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</si>
  <si>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</si>
  <si>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</si>
  <si>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</si>
  <si>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</si>
  <si>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</si>
  <si>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</si>
  <si>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</si>
  <si>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</si>
  <si>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</si>
  <si>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</si>
  <si>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</si>
  <si>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</si>
  <si>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</si>
  <si>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</si>
  <si>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</si>
  <si>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</si>
  <si>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</si>
  <si>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</si>
  <si>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</si>
  <si>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</si>
  <si>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</si>
  <si>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</si>
  <si>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</si>
  <si>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</si>
  <si>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</si>
  <si>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</si>
  <si>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</si>
  <si>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</si>
  <si>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</si>
  <si>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</si>
  <si>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</si>
  <si>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</si>
  <si>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</si>
  <si>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</si>
  <si>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</si>
  <si>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</si>
  <si>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</si>
  <si>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</si>
  <si>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</si>
  <si>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</si>
  <si>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</si>
  <si>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</si>
  <si>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</si>
  <si>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</si>
  <si>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</si>
  <si>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</si>
  <si>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</si>
  <si>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</si>
  <si>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</si>
  <si>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</si>
  <si>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</si>
  <si>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</si>
  <si>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</si>
  <si>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</si>
  <si>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</si>
  <si>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</si>
  <si>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</si>
  <si>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</si>
  <si>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</si>
  <si>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</si>
  <si>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</si>
  <si>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</si>
  <si>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</si>
  <si>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</si>
  <si>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</si>
  <si>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</si>
  <si>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</si>
  <si>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</si>
  <si>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</si>
  <si>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</si>
  <si>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</si>
  <si>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</si>
  <si>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</si>
  <si>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</si>
  <si>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</si>
  <si>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</si>
  <si>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</si>
  <si>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</si>
  <si>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</si>
  <si>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</si>
  <si>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</si>
  <si>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</si>
  <si>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</si>
  <si>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</si>
  <si>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</si>
  <si>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</si>
  <si>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</si>
  <si>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</si>
  <si>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</si>
  <si>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</si>
  <si>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</si>
  <si>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</si>
  <si>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</si>
  <si>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</si>
  <si>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</si>
  <si>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</si>
  <si>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</si>
  <si>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</si>
  <si>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</si>
  <si>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</si>
  <si>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</si>
  <si>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</si>
  <si>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</si>
  <si>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</si>
  <si>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</si>
  <si>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</si>
  <si>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</si>
  <si>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</si>
  <si>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</si>
  <si>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</si>
  <si>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</si>
  <si>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</si>
  <si>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</si>
  <si>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</si>
  <si>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</si>
  <si>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</si>
  <si>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</si>
  <si>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</si>
  <si>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</si>
  <si>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</si>
  <si>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</si>
  <si>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</si>
  <si>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</si>
  <si>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</si>
  <si>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</si>
  <si>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</si>
  <si>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</si>
  <si>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</si>
  <si>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</si>
  <si>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</si>
  <si>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</si>
  <si>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</si>
  <si>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</si>
  <si>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</si>
  <si>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</si>
  <si>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</si>
  <si>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</si>
  <si>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</si>
  <si>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</si>
  <si>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</si>
  <si>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</si>
  <si>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</si>
  <si>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</si>
  <si>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</si>
  <si>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</si>
  <si>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</si>
  <si>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</si>
  <si>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</si>
  <si>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</si>
  <si>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</si>
  <si>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</si>
  <si>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</si>
  <si>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</si>
  <si>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</si>
  <si>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</si>
  <si>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</si>
  <si>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</si>
  <si>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</si>
  <si>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</si>
  <si>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</si>
  <si>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</si>
  <si>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</si>
  <si>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</si>
  <si>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</si>
  <si>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</si>
  <si>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</si>
  <si>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</si>
  <si>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</si>
  <si>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</si>
  <si>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</si>
  <si>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</si>
  <si>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</si>
  <si>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</si>
  <si>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</si>
  <si>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</si>
  <si>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</si>
  <si>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</si>
  <si>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</si>
  <si>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</si>
  <si>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</si>
  <si>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</si>
  <si>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</si>
  <si>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</si>
  <si>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</si>
  <si>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</si>
  <si>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</si>
  <si>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</si>
  <si>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</si>
  <si>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</si>
  <si>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</si>
  <si>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</si>
  <si>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</si>
  <si>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</si>
  <si>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</si>
  <si>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</si>
  <si>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</si>
  <si>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</si>
  <si>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</si>
  <si>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</si>
  <si>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</si>
  <si>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</si>
  <si>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</si>
  <si>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</si>
  <si>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</si>
  <si>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</si>
  <si>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</si>
  <si>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</si>
  <si>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</si>
  <si>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</si>
  <si>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</si>
  <si>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</si>
  <si>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</si>
  <si>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</si>
  <si>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</si>
  <si>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</si>
  <si>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</si>
  <si>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</si>
  <si>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</si>
  <si>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</si>
  <si>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</si>
  <si>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</si>
  <si>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</si>
  <si>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</si>
  <si>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</si>
  <si>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</si>
  <si>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</si>
  <si>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</si>
  <si>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</si>
  <si>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</si>
  <si>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</si>
  <si>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</si>
  <si>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</si>
  <si>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</si>
  <si>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</si>
  <si>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</si>
  <si>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</si>
  <si>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</si>
  <si>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</si>
  <si>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</si>
  <si>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</si>
  <si>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</si>
  <si>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</si>
  <si>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</si>
  <si>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</si>
  <si>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</si>
  <si>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</si>
  <si>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</si>
  <si>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</si>
  <si>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</si>
  <si>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</si>
  <si>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</si>
  <si>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</si>
  <si>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</si>
  <si>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</si>
  <si>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</si>
  <si>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</si>
  <si>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</si>
  <si>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</si>
  <si>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</si>
  <si>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</si>
  <si>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</si>
  <si>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</si>
  <si>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</si>
  <si>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</si>
  <si>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</si>
  <si>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</si>
  <si>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</si>
  <si>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</si>
  <si>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</si>
  <si>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</si>
  <si>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</si>
  <si>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</si>
  <si>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</si>
  <si>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</si>
  <si>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</si>
  <si>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</si>
  <si>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</si>
  <si>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</si>
  <si>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</si>
  <si>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</si>
  <si>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</si>
  <si>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</si>
  <si>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</si>
  <si>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</si>
  <si>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</si>
  <si>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</si>
  <si>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</si>
  <si>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</si>
  <si>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</si>
  <si>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</si>
  <si>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</si>
  <si>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</si>
  <si>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</si>
  <si>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</si>
  <si>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</si>
  <si>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</si>
  <si>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</si>
  <si>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</si>
  <si>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</si>
  <si>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</si>
  <si>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</si>
  <si>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</si>
  <si>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</si>
  <si>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</si>
  <si>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</si>
  <si>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</si>
  <si>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</si>
  <si>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</si>
  <si>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</si>
  <si>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</si>
  <si>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</si>
  <si>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</si>
  <si>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</si>
  <si>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</si>
  <si>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</si>
  <si>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</si>
  <si>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</si>
  <si>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</si>
  <si>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</si>
  <si>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</si>
  <si>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</si>
  <si>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</si>
  <si>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</si>
  <si>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</si>
  <si>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</si>
  <si>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</si>
  <si>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</si>
  <si>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</si>
  <si>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</si>
  <si>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</si>
  <si>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</si>
  <si>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</si>
  <si>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</si>
  <si>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</si>
  <si>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</si>
  <si>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</si>
  <si>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</si>
  <si>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</si>
  <si>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</si>
  <si>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</si>
  <si>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</si>
  <si>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</si>
  <si>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</si>
  <si>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</si>
  <si>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</si>
  <si>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</si>
  <si>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</si>
  <si>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</si>
  <si>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</si>
  <si>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</si>
  <si>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</si>
  <si>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</si>
  <si>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</si>
  <si>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</si>
  <si>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</si>
  <si>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</si>
  <si>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</si>
  <si>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</si>
  <si>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</si>
  <si>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</si>
  <si>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</si>
  <si>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</si>
  <si>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</si>
  <si>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</si>
  <si>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</si>
  <si>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</si>
  <si>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</si>
  <si>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</si>
  <si>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</si>
  <si>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</si>
  <si>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</si>
  <si>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</si>
  <si>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</si>
  <si>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</si>
  <si>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</si>
  <si>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</si>
  <si>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</si>
  <si>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</si>
  <si>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</si>
  <si>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</si>
  <si>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</si>
  <si>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</si>
  <si>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</si>
  <si>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</si>
  <si>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</si>
  <si>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</si>
  <si>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</si>
  <si>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</si>
  <si>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</si>
  <si>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</si>
  <si>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</si>
  <si>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</si>
  <si>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</si>
  <si>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</si>
  <si>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</si>
  <si>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</si>
  <si>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</si>
  <si>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</si>
  <si>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</si>
  <si>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</si>
  <si>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</si>
  <si>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</si>
  <si>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</si>
  <si>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</si>
  <si>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</si>
  <si>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</si>
  <si>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</si>
  <si>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</si>
  <si>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</si>
  <si>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</si>
  <si>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</si>
  <si>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</si>
  <si>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</si>
  <si>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</si>
  <si>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</si>
  <si>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</si>
  <si>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</si>
  <si>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</si>
  <si>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</si>
  <si>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</si>
  <si>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</si>
  <si>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</si>
  <si>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</si>
  <si>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</si>
  <si>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</si>
  <si>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</si>
  <si>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</si>
  <si>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</si>
  <si>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</si>
  <si>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</si>
  <si>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</si>
  <si>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</si>
  <si>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</si>
  <si>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</si>
  <si>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</si>
  <si>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</si>
  <si>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</si>
  <si>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</si>
  <si>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</si>
  <si>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</si>
  <si>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</si>
  <si>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</si>
  <si>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</si>
  <si>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</si>
  <si>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</si>
  <si>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</si>
  <si>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</si>
  <si>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</si>
  <si>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</si>
  <si>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</si>
  <si>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</si>
  <si>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</si>
  <si>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</si>
  <si>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</si>
  <si>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</si>
  <si>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</si>
  <si>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</si>
  <si>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</si>
  <si>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</si>
  <si>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</si>
  <si>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</si>
  <si>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</si>
  <si>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</si>
  <si>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</si>
  <si>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</si>
  <si>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</si>
  <si>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</si>
  <si>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</si>
  <si>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</si>
  <si>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</si>
  <si>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</si>
  <si>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</si>
  <si>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</si>
  <si>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</si>
  <si>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</si>
  <si>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</si>
  <si>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</si>
  <si>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</si>
  <si>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</si>
  <si>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</si>
  <si>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</si>
  <si>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</si>
  <si>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</si>
  <si>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</si>
  <si>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</si>
  <si>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</si>
  <si>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</si>
  <si>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</si>
  <si>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</si>
  <si>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</si>
  <si>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</si>
  <si>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</si>
  <si>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</si>
  <si>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</si>
  <si>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</si>
  <si>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</si>
  <si>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</si>
  <si>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</si>
  <si>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</si>
  <si>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</si>
  <si>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</si>
  <si>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</si>
  <si>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</si>
  <si>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</si>
  <si>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</si>
  <si>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</si>
  <si>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</si>
  <si>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</si>
  <si>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</si>
  <si>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</si>
  <si>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</si>
  <si>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</si>
  <si>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</si>
  <si>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</si>
  <si>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</si>
  <si>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</si>
  <si>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</si>
  <si>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</si>
  <si>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</si>
  <si>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</si>
  <si>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</si>
  <si>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</si>
  <si>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</si>
  <si>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</si>
  <si>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</si>
  <si>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</si>
  <si>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</si>
  <si>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</si>
  <si>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</si>
  <si>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</si>
  <si>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</si>
  <si>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</si>
  <si>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</si>
  <si>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</si>
  <si>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</si>
  <si>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</si>
  <si>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</si>
  <si>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</si>
  <si>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</si>
  <si>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</si>
  <si>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</si>
  <si>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</si>
  <si>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</si>
  <si>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</si>
  <si>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</si>
  <si>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</si>
  <si>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</si>
  <si>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</si>
  <si>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</si>
  <si>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</si>
  <si>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</si>
  <si>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</si>
  <si>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</si>
  <si>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</si>
  <si>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</si>
  <si>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</si>
  <si>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</si>
  <si>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</si>
  <si>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</si>
  <si>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</si>
  <si>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</si>
  <si>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</si>
  <si>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</si>
  <si>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</si>
  <si>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</si>
  <si>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</si>
  <si>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</si>
  <si>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</si>
  <si>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</si>
  <si>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</si>
  <si>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</si>
  <si>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</si>
  <si>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</si>
  <si>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</si>
  <si>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</si>
  <si>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</si>
  <si>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</si>
  <si>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</si>
  <si>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</si>
  <si>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</si>
  <si>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</si>
  <si>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</si>
  <si>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</si>
  <si>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</si>
  <si>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</si>
  <si>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</si>
  <si>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</si>
  <si>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</si>
  <si>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</si>
  <si>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</si>
  <si>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</si>
  <si>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</si>
  <si>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</si>
  <si>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</si>
  <si>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</si>
  <si>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</si>
  <si>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</si>
  <si>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</si>
  <si>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</si>
  <si>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</si>
  <si>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</si>
  <si>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</si>
  <si>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</si>
  <si>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</si>
  <si>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</si>
  <si>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</si>
  <si>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</si>
  <si>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</si>
  <si>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</si>
  <si>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</si>
  <si>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</si>
  <si>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</si>
  <si>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</si>
  <si>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</si>
  <si>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</si>
  <si>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</si>
  <si>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</si>
  <si>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</si>
  <si>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</si>
  <si>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</si>
  <si>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</si>
  <si>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</si>
  <si>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</si>
  <si>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</si>
  <si>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</si>
  <si>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</si>
  <si>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</si>
  <si>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</si>
  <si>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</si>
  <si>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</si>
  <si>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</si>
  <si>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</si>
  <si>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</si>
  <si>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</si>
  <si>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</si>
  <si>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</si>
  <si>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</si>
  <si>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</si>
  <si>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</si>
  <si>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</si>
  <si>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</si>
  <si>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</si>
  <si>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</si>
  <si>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</si>
  <si>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</si>
  <si>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</si>
  <si>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</si>
  <si>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</si>
  <si>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</si>
  <si>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</si>
  <si>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</si>
  <si>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</si>
  <si>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</si>
  <si>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</si>
  <si>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</si>
  <si>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</si>
  <si>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</si>
  <si>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</si>
  <si>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</si>
  <si>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</si>
  <si>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</si>
  <si>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</si>
  <si>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</si>
  <si>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</si>
  <si>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</si>
  <si>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</si>
  <si>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</si>
  <si>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</si>
  <si>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</si>
  <si>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</si>
  <si>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</si>
  <si>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</si>
  <si>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</si>
  <si>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</si>
  <si>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</si>
  <si>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</si>
  <si>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</si>
  <si>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</si>
  <si>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</si>
  <si>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</si>
  <si>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</si>
  <si>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</si>
  <si>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</si>
  <si>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</si>
  <si>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</si>
  <si>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</si>
  <si>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</si>
  <si>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</si>
  <si>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</si>
  <si>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</si>
  <si>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</si>
  <si>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</si>
  <si>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</si>
  <si>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</si>
  <si>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</si>
  <si>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</si>
  <si>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</si>
  <si>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</si>
  <si>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</si>
  <si>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</si>
  <si>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</si>
  <si>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</si>
  <si>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</si>
  <si>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</si>
  <si>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</si>
  <si>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</si>
  <si>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</si>
  <si>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</si>
  <si>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</si>
  <si>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</si>
  <si>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</si>
  <si>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</si>
  <si>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</si>
  <si>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</si>
  <si>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</si>
  <si>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</si>
  <si>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</si>
  <si>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</si>
  <si>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</si>
  <si>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</si>
  <si>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</si>
  <si>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</si>
  <si>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</si>
  <si>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</si>
  <si>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</si>
  <si>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</si>
  <si>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</si>
  <si>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</si>
  <si>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</si>
  <si>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</si>
  <si>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</si>
  <si>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</si>
  <si>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</si>
  <si>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</si>
  <si>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</si>
  <si>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</si>
  <si>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</si>
  <si>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</si>
  <si>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</si>
  <si>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</si>
  <si>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</si>
  <si>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</si>
  <si>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</si>
  <si>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</si>
  <si>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</si>
  <si>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</si>
  <si>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</si>
  <si>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</si>
  <si>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</si>
  <si>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</si>
  <si>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</si>
  <si>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</si>
  <si>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</si>
  <si>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</si>
  <si>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</si>
  <si>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</si>
  <si>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</si>
  <si>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</si>
  <si>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</si>
  <si>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</si>
  <si>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</si>
  <si>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</si>
  <si>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</si>
  <si>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</si>
  <si>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</si>
  <si>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</si>
  <si>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</si>
  <si>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</si>
  <si>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</si>
  <si>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</si>
  <si>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</si>
  <si>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</si>
  <si>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</si>
  <si>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</si>
  <si>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</si>
  <si>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</si>
  <si>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</si>
  <si>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</si>
  <si>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</si>
  <si>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</si>
  <si>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</si>
  <si>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</si>
  <si>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</si>
  <si>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</si>
  <si>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</si>
  <si>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</si>
  <si>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</si>
  <si>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</si>
  <si>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</si>
  <si>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</si>
  <si>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</si>
  <si>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</si>
  <si>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</si>
  <si>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</si>
  <si>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</si>
  <si>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</si>
  <si>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</si>
  <si>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</si>
  <si>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</si>
  <si>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</si>
  <si>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</si>
  <si>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</si>
  <si>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</si>
  <si>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</si>
  <si>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</si>
  <si>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</si>
  <si>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</si>
  <si>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</si>
  <si>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</si>
  <si>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</si>
  <si>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</si>
  <si>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</si>
  <si>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</si>
  <si>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</si>
  <si>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</si>
  <si>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</si>
  <si>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</si>
  <si>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</si>
  <si>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</si>
  <si>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</si>
  <si>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</si>
  <si>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</si>
  <si>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</si>
  <si>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</si>
  <si>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</si>
  <si>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</si>
  <si>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</si>
  <si>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</si>
  <si>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</si>
  <si>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</si>
  <si>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</si>
  <si>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</si>
  <si>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</si>
  <si>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</si>
  <si>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</si>
  <si>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</si>
  <si>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</si>
  <si>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</si>
  <si>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</si>
  <si>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</si>
  <si>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</si>
  <si>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</si>
  <si>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</si>
  <si>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</si>
  <si>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</si>
  <si>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</si>
  <si>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</si>
  <si>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</si>
  <si>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</si>
  <si>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</si>
  <si>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</si>
  <si>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</si>
  <si>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</si>
  <si>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</si>
  <si>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</si>
  <si>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</si>
  <si>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</si>
  <si>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</si>
  <si>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</si>
  <si>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</si>
  <si>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</si>
  <si>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</si>
  <si>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</si>
  <si>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</si>
  <si>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</si>
  <si>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</si>
  <si>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</si>
  <si>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</si>
  <si>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</si>
  <si>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</si>
  <si>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</si>
  <si>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</si>
  <si>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</si>
  <si>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</si>
  <si>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</si>
  <si>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</si>
  <si>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</si>
  <si>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</si>
  <si>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</si>
  <si>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</si>
  <si>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</si>
  <si>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</si>
  <si>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</si>
  <si>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</si>
  <si>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</si>
  <si>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</si>
  <si>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</si>
  <si>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</si>
  <si>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</si>
  <si>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</si>
  <si>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</si>
  <si>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</si>
  <si>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</si>
  <si>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</si>
  <si>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</si>
  <si>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</si>
  <si>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</si>
  <si>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</si>
  <si>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</si>
  <si>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</si>
  <si>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</si>
  <si>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</si>
  <si>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</si>
  <si>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</si>
  <si>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</si>
  <si>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</si>
  <si>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</si>
  <si>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</si>
  <si>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</si>
  <si>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</si>
  <si>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</si>
  <si>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</si>
  <si>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</si>
  <si>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</si>
  <si>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</si>
  <si>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</si>
  <si>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</si>
  <si>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</si>
  <si>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</si>
  <si>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</si>
  <si>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</si>
  <si>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</si>
  <si>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</si>
  <si>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</si>
  <si>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</si>
  <si>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</si>
  <si>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</si>
  <si>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</si>
  <si>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</si>
  <si>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</si>
  <si>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</si>
  <si>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</si>
  <si>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</si>
  <si>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</si>
  <si>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</si>
  <si>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</si>
  <si>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</si>
  <si>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</si>
  <si>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</si>
  <si>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</si>
  <si>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</si>
  <si>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</si>
  <si>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</si>
  <si>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</si>
  <si>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</si>
  <si>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</si>
  <si>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</si>
  <si>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</si>
  <si>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</si>
  <si>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</si>
  <si>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</si>
  <si>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</si>
  <si>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</si>
  <si>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</si>
  <si>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</si>
  <si>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</si>
  <si>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</si>
  <si>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</si>
  <si>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</si>
  <si>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</si>
  <si>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</si>
  <si>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</si>
  <si>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</si>
  <si>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</si>
  <si>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</si>
  <si>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</si>
  <si>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</si>
  <si>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</si>
  <si>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</si>
  <si>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</si>
  <si>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</si>
  <si>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</si>
  <si>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</si>
  <si>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</si>
  <si>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</si>
  <si>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</si>
  <si>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</si>
  <si>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</si>
  <si>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</si>
  <si>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</si>
  <si>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</si>
  <si>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</si>
  <si>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</si>
  <si>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</si>
  <si>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</si>
  <si>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</si>
  <si>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</si>
  <si>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</si>
  <si>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</si>
  <si>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</si>
  <si>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</si>
  <si>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</si>
  <si>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</si>
  <si>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</si>
  <si>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</si>
  <si>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</si>
  <si>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</si>
  <si>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</si>
  <si>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</si>
  <si>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</si>
  <si>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</si>
  <si>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</si>
  <si>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</si>
  <si>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</si>
  <si>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</si>
  <si>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</si>
  <si>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</si>
  <si>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</si>
  <si>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</si>
  <si>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</si>
  <si>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</si>
  <si>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</si>
  <si>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</si>
  <si>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</si>
  <si>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</si>
  <si>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</si>
  <si>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</si>
  <si>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</si>
  <si>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</si>
  <si>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</si>
  <si>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</si>
  <si>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</si>
  <si>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</si>
  <si>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</si>
  <si>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</si>
  <si>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</si>
  <si>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</si>
  <si>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</si>
  <si>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</si>
  <si>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</si>
  <si>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</si>
  <si>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</si>
  <si>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</si>
  <si>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</si>
  <si>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</si>
  <si>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</si>
  <si>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</si>
  <si>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</si>
  <si>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</si>
  <si>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</si>
  <si>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</si>
  <si>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</si>
  <si>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</si>
  <si>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</si>
  <si>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</si>
  <si>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</si>
  <si>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</si>
  <si>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</si>
  <si>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</si>
  <si>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</si>
  <si>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</si>
  <si>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</si>
  <si>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</si>
  <si>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</si>
  <si>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</si>
  <si>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</si>
  <si>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</si>
  <si>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</si>
  <si>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</si>
  <si>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</si>
  <si>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</si>
  <si>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</si>
  <si>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</si>
  <si>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</si>
  <si>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</si>
  <si>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</si>
  <si>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</si>
  <si>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</si>
  <si>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</si>
  <si>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</si>
  <si>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</si>
  <si>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</si>
  <si>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</si>
  <si>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</si>
  <si>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</si>
  <si>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</si>
  <si>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</si>
  <si>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</si>
  <si>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</si>
  <si>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</si>
  <si>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</si>
  <si>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</si>
  <si>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</si>
  <si>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</si>
  <si>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</si>
  <si>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</si>
  <si>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</si>
  <si>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</si>
  <si>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</si>
  <si>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</si>
  <si>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</si>
  <si>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</si>
  <si>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</si>
  <si>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</si>
  <si>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</si>
  <si>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</si>
  <si>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</si>
  <si>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</si>
  <si>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</si>
  <si>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</si>
  <si>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</si>
  <si>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</si>
  <si>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</si>
  <si>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</si>
  <si>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</si>
  <si>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</si>
  <si>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</si>
  <si>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</si>
  <si>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</si>
  <si>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</si>
  <si>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</si>
  <si>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</si>
  <si>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</si>
  <si>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</si>
  <si>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</si>
  <si>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</si>
  <si>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</si>
  <si>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</si>
  <si>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</si>
  <si>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</si>
  <si>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</si>
  <si>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</si>
  <si>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</si>
  <si>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</si>
  <si>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</si>
  <si>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</si>
  <si>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</si>
  <si>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</si>
  <si>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</si>
  <si>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</si>
  <si>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</si>
  <si>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</si>
  <si>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</si>
  <si>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</si>
  <si>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</si>
  <si>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</si>
  <si>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</si>
  <si>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</si>
  <si>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</si>
  <si>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</si>
  <si>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</si>
  <si>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</si>
  <si>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</si>
  <si>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</si>
  <si>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</si>
  <si>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</si>
  <si>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</si>
  <si>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</si>
  <si>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</si>
  <si>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</si>
  <si>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</si>
  <si>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</si>
  <si>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</si>
  <si>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</si>
  <si>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</si>
  <si>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</si>
  <si>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</si>
  <si>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</si>
  <si>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</si>
  <si>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</si>
  <si>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</si>
  <si>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</si>
  <si>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</si>
  <si>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</si>
  <si>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</si>
  <si>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</si>
  <si>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</si>
  <si>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</si>
  <si>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</si>
  <si>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</si>
  <si>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</si>
  <si>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</si>
  <si>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</si>
  <si>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</si>
  <si>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</si>
  <si>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</si>
  <si>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</si>
  <si>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</si>
  <si>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</si>
  <si>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</si>
  <si>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</si>
  <si>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</si>
  <si>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</si>
  <si>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</si>
  <si>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</si>
  <si>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</si>
  <si>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</si>
  <si>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</si>
  <si>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</si>
  <si>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</si>
  <si>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</si>
  <si>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</si>
  <si>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</si>
  <si>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</si>
  <si>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</si>
  <si>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</si>
  <si>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</si>
  <si>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</si>
  <si>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</si>
  <si>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</si>
  <si>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</si>
  <si>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</si>
  <si>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</si>
  <si>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</si>
  <si>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</si>
  <si>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</si>
  <si>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</si>
  <si>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</si>
  <si>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</si>
  <si>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</si>
  <si>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</si>
  <si>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</si>
  <si>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</si>
  <si>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</si>
  <si>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</si>
  <si>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</si>
  <si>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</si>
  <si>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</si>
  <si>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</si>
  <si>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</si>
  <si>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</si>
  <si>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</si>
  <si>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</si>
  <si>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</si>
  <si>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</si>
  <si>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</si>
  <si>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</si>
  <si>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</si>
  <si>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</si>
  <si>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</si>
  <si>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</si>
  <si>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</si>
  <si>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</si>
  <si>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</si>
  <si>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</si>
  <si>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</si>
  <si>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</si>
  <si>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</si>
  <si>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</si>
  <si>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</si>
  <si>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</si>
  <si>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</si>
  <si>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</si>
  <si>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</si>
  <si>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</si>
  <si>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</si>
  <si>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</si>
  <si>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</si>
  <si>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</si>
  <si>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</si>
  <si>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</si>
  <si>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</si>
  <si>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</si>
  <si>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</si>
  <si>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</si>
  <si>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</si>
  <si>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</si>
  <si>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</si>
  <si>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</si>
  <si>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</si>
  <si>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</si>
  <si>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</si>
  <si>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</si>
  <si>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</si>
  <si>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</si>
  <si>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</si>
  <si>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</si>
  <si>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</si>
  <si>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</si>
  <si>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</si>
  <si>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</si>
  <si>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</si>
  <si>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</si>
  <si>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</si>
  <si>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</si>
  <si>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</si>
  <si>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</si>
  <si>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</si>
  <si>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</si>
  <si>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</si>
  <si>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</si>
  <si>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</si>
  <si>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</si>
  <si>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</si>
  <si>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</si>
  <si>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</si>
  <si>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</si>
  <si>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</si>
  <si>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</si>
  <si>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</si>
  <si>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</si>
  <si>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</si>
  <si>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</si>
  <si>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</si>
  <si>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</si>
  <si>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</si>
  <si>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</si>
  <si>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</si>
  <si>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</si>
  <si>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</si>
  <si>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</si>
  <si>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</si>
  <si>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</si>
  <si>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</si>
  <si>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</si>
  <si>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</si>
  <si>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</si>
  <si>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</si>
  <si>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</si>
  <si>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</si>
  <si>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</si>
  <si>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</si>
  <si>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</si>
  <si>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</si>
  <si>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</si>
  <si>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</si>
  <si>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</si>
  <si>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</si>
  <si>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</si>
  <si>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</si>
  <si>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</si>
  <si>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</si>
  <si>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</si>
  <si>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</si>
  <si>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</si>
  <si>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</si>
  <si>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</si>
  <si>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</si>
  <si>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</si>
  <si>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</si>
  <si>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</si>
  <si>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</si>
  <si>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</si>
  <si>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</si>
  <si>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</si>
  <si>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</si>
  <si>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</si>
  <si>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</si>
  <si>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</si>
  <si>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</si>
  <si>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</si>
  <si>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</si>
  <si>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</si>
  <si>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</si>
  <si>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</si>
  <si>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</si>
  <si>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</si>
  <si>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</si>
  <si>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</si>
  <si>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</si>
  <si>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</si>
  <si>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</si>
  <si>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</si>
  <si>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</si>
  <si>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</si>
  <si>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</si>
  <si>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</si>
  <si>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</si>
  <si>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</si>
  <si>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</si>
  <si>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</si>
  <si>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</si>
  <si>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</si>
  <si>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</si>
  <si>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</si>
  <si>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</si>
  <si>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</si>
  <si>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</si>
  <si>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</si>
  <si>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</si>
  <si>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</si>
  <si>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</si>
  <si>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</si>
  <si>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</si>
  <si>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</si>
  <si>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</si>
  <si>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</si>
  <si>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</si>
  <si>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</si>
  <si>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</si>
  <si>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</si>
  <si>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</si>
  <si>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</si>
  <si>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</si>
  <si>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</si>
  <si>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</si>
  <si>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</si>
  <si>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</si>
  <si>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</si>
  <si>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</si>
  <si>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</si>
  <si>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</si>
  <si>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</si>
  <si>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</si>
  <si>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</si>
  <si>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</si>
  <si>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</si>
  <si>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</si>
  <si>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</si>
  <si>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</si>
  <si>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</si>
  <si>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</si>
  <si>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</si>
  <si>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</si>
  <si>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</si>
  <si>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</si>
  <si>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</si>
  <si>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</si>
  <si>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</si>
  <si>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</si>
  <si>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</si>
  <si>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</si>
  <si>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</si>
  <si>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</si>
  <si>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</si>
  <si>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</si>
  <si>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</si>
  <si>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</si>
  <si>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</si>
  <si>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</si>
  <si>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</si>
  <si>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</si>
  <si>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</si>
  <si>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</si>
  <si>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</si>
  <si>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</si>
  <si>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</si>
  <si>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</si>
  <si>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</si>
  <si>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</si>
  <si>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</si>
  <si>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</si>
  <si>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</si>
  <si>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</si>
  <si>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</si>
  <si>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</si>
  <si>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</si>
  <si>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</si>
  <si>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</si>
  <si>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</si>
  <si>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</si>
  <si>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</si>
  <si>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</si>
  <si>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</si>
  <si>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</si>
  <si>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</si>
  <si>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</si>
  <si>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</si>
  <si>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</si>
  <si>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</si>
  <si>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</si>
  <si>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</si>
  <si>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</si>
  <si>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</si>
  <si>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</si>
  <si>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</si>
  <si>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</si>
  <si>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</si>
  <si>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</si>
  <si>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</si>
  <si>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</si>
  <si>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</si>
  <si>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</si>
  <si>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</si>
  <si>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</si>
  <si>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</si>
  <si>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</si>
  <si>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</si>
  <si>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</si>
  <si>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</si>
  <si>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</si>
  <si>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</si>
  <si>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</si>
  <si>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</si>
  <si>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</si>
  <si>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</si>
  <si>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</si>
  <si>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</si>
  <si>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</si>
  <si>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</si>
  <si>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</si>
  <si>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</si>
  <si>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</si>
  <si>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</si>
  <si>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</si>
  <si>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</si>
  <si>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</si>
  <si>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</si>
  <si>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</si>
  <si>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</si>
  <si>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</si>
  <si>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</si>
  <si>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</si>
  <si>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</si>
  <si>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</si>
  <si>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</si>
  <si>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</si>
  <si>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</si>
  <si>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</si>
  <si>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</si>
  <si>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</si>
  <si>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</si>
  <si>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</si>
  <si>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</si>
  <si>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</si>
  <si>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</si>
  <si>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</si>
  <si>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</si>
  <si>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</si>
  <si>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</si>
  <si>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</si>
  <si>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</si>
  <si>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</si>
  <si>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</si>
  <si>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</si>
  <si>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</si>
  <si>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</si>
  <si>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</si>
  <si>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</si>
  <si>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</si>
  <si>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</si>
  <si>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</si>
  <si>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</si>
  <si>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</si>
  <si>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</si>
  <si>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</si>
  <si>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</si>
  <si>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</si>
  <si>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</si>
  <si>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</si>
  <si>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</si>
  <si>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</si>
  <si>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</si>
  <si>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</si>
  <si>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</si>
  <si>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</si>
  <si>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</si>
  <si>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</si>
  <si>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</si>
  <si>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</si>
  <si>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</si>
  <si>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</si>
  <si>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</si>
  <si>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</si>
  <si>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</si>
  <si>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</si>
  <si>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</si>
  <si>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</si>
  <si>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</si>
  <si>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</si>
  <si>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</si>
  <si>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</si>
  <si>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</si>
  <si>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</si>
  <si>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</si>
  <si>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</si>
  <si>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</si>
  <si>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</si>
  <si>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</si>
  <si>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</si>
  <si>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</si>
  <si>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</si>
  <si>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</si>
  <si>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</si>
  <si>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</si>
  <si>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</si>
  <si>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</si>
  <si>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</si>
  <si>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</si>
  <si>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</si>
  <si>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</si>
  <si>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</si>
  <si>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</si>
  <si>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</si>
  <si>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</si>
  <si>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</si>
  <si>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</si>
  <si>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</si>
  <si>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</si>
  <si>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</si>
  <si>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</si>
  <si>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</si>
  <si>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</si>
  <si>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</si>
  <si>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</si>
  <si>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</si>
  <si>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</si>
  <si>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</si>
  <si>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</si>
  <si>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</si>
  <si>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</si>
  <si>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</si>
  <si>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</si>
  <si>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</si>
  <si>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</si>
  <si>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</si>
  <si>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</si>
  <si>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</si>
  <si>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</si>
  <si>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</si>
  <si>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</si>
  <si>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</si>
  <si>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</si>
  <si>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</si>
  <si>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</si>
  <si>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</si>
  <si>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</si>
  <si>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</si>
  <si>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</si>
  <si>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</si>
  <si>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</si>
  <si>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</si>
  <si>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</si>
  <si>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</si>
  <si>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</si>
  <si>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</si>
  <si>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</si>
  <si>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</si>
  <si>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</si>
  <si>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</si>
  <si>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</si>
  <si>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</si>
  <si>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</si>
  <si>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</si>
  <si>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</si>
  <si>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</si>
  <si>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</si>
  <si>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</si>
  <si>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</si>
  <si>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</si>
  <si>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</si>
  <si>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</si>
  <si>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</si>
  <si>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</si>
  <si>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</si>
  <si>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</si>
  <si>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</si>
  <si>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</si>
  <si>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</si>
  <si>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</si>
  <si>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</si>
  <si>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</si>
  <si>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</si>
  <si>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</si>
  <si>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</si>
  <si>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</si>
  <si>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</si>
  <si>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</si>
  <si>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</si>
  <si>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</si>
  <si>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</si>
  <si>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</si>
  <si>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</si>
  <si>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</si>
  <si>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</si>
  <si>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</si>
  <si>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</si>
  <si>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</si>
  <si>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</si>
  <si>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</si>
  <si>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</si>
  <si>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</si>
  <si>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</si>
  <si>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</si>
  <si>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</si>
  <si>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</si>
  <si>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</si>
  <si>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</si>
  <si>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</si>
  <si>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</si>
  <si>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</si>
  <si>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</si>
  <si>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</si>
  <si>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</si>
  <si>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</si>
  <si>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</si>
  <si>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</si>
  <si>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</si>
  <si>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</si>
  <si>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</si>
  <si>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</si>
  <si>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</si>
  <si>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</si>
  <si>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</si>
  <si>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</si>
  <si>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</si>
  <si>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</si>
  <si>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</si>
  <si>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</si>
  <si>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</si>
  <si>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</si>
  <si>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</si>
  <si>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</si>
  <si>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</si>
  <si>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</si>
  <si>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</si>
  <si>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</si>
  <si>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</si>
  <si>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</si>
  <si>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</si>
  <si>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</si>
  <si>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</si>
  <si>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</si>
  <si>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</si>
  <si>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</si>
  <si>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</si>
  <si>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</si>
  <si>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</si>
  <si>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</si>
  <si>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</si>
  <si>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</si>
  <si>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</si>
  <si>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</si>
  <si>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</si>
  <si>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</si>
  <si>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</si>
  <si>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</si>
  <si>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</si>
  <si>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</si>
  <si>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</si>
  <si>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</si>
  <si>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</si>
  <si>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</si>
  <si>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</si>
  <si>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</si>
  <si>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</si>
  <si>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</si>
  <si>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</si>
  <si>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</si>
  <si>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</si>
  <si>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</si>
  <si>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</si>
  <si>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</si>
  <si>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</si>
  <si>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</si>
  <si>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</si>
  <si>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</si>
  <si>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</si>
  <si>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</si>
  <si>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</si>
  <si>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</si>
  <si>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</si>
  <si>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</si>
  <si>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</si>
  <si>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</si>
  <si>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</si>
  <si>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</si>
  <si>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</si>
  <si>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</si>
  <si>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</si>
  <si>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</si>
  <si>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</si>
  <si>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</si>
  <si>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</si>
  <si>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</si>
  <si>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</si>
  <si>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</si>
  <si>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</si>
  <si>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</si>
  <si>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</si>
  <si>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</si>
  <si>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</si>
  <si>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</si>
  <si>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</si>
  <si>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</si>
  <si>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</si>
  <si>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</si>
  <si>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</si>
  <si>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</si>
  <si>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</si>
  <si>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</si>
  <si>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</si>
  <si>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</si>
  <si>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</si>
  <si>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</si>
  <si>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</si>
  <si>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</si>
  <si>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</si>
  <si>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</si>
  <si>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</si>
  <si>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</si>
  <si>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</si>
  <si>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</si>
  <si>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</si>
  <si>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</si>
  <si>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</si>
  <si>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</si>
  <si>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</si>
  <si>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</si>
  <si>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</si>
  <si>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</si>
  <si>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</si>
  <si>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</si>
  <si>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</si>
  <si>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</si>
  <si>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</si>
  <si>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</si>
  <si>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</si>
  <si>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</si>
  <si>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</si>
  <si>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</si>
  <si>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</si>
  <si>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</si>
  <si>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</si>
  <si>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</si>
  <si>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</si>
  <si>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</si>
  <si>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</si>
  <si>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</si>
  <si>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</si>
  <si>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</si>
  <si>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</si>
  <si>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</si>
  <si>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</si>
  <si>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</si>
  <si>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</si>
  <si>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</si>
  <si>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</si>
  <si>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</si>
  <si>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</si>
  <si>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</si>
  <si>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</si>
  <si>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</si>
  <si>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</si>
  <si>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</si>
  <si>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</si>
  <si>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</si>
  <si>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</si>
  <si>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</si>
  <si>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</si>
  <si>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</si>
  <si>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</si>
  <si>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</si>
  <si>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</si>
  <si>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</si>
  <si>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</si>
  <si>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</si>
  <si>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</si>
  <si>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</si>
  <si>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</si>
  <si>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</si>
  <si>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</si>
  <si>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</si>
  <si>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</si>
  <si>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</si>
  <si>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</si>
  <si>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</si>
  <si>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</si>
  <si>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</si>
  <si>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</si>
  <si>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</si>
  <si>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</si>
  <si>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</si>
  <si>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</si>
  <si>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</si>
  <si>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</si>
  <si>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</si>
  <si>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</si>
  <si>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</si>
  <si>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</si>
  <si>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</si>
  <si>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</si>
  <si>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</si>
  <si>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</si>
  <si>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</si>
  <si>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</si>
  <si>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</si>
  <si>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</si>
  <si>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</si>
  <si>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</si>
  <si>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</si>
  <si>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</si>
  <si>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</si>
  <si>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</si>
  <si>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</si>
  <si>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</si>
  <si>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</si>
  <si>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</si>
  <si>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</si>
  <si>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</si>
  <si>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</si>
  <si>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</si>
  <si>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</si>
  <si>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</si>
  <si>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</si>
  <si>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</si>
  <si>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</si>
  <si>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</si>
  <si>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</si>
  <si>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</si>
  <si>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</si>
  <si>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</si>
  <si>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</si>
  <si>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</si>
  <si>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</si>
  <si>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</si>
  <si>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</si>
  <si>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</si>
  <si>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</si>
  <si>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</si>
  <si>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</si>
  <si>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</si>
  <si>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</si>
  <si>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</si>
  <si>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</si>
  <si>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</si>
  <si>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</si>
  <si>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</si>
  <si>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</si>
  <si>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</si>
  <si>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</si>
  <si>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</si>
  <si>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</si>
  <si>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</si>
  <si>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</si>
  <si>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</si>
  <si>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</si>
  <si>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</si>
  <si>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</si>
  <si>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</si>
  <si>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</si>
  <si>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</si>
  <si>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</si>
  <si>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</si>
  <si>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</si>
  <si>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</si>
  <si>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</si>
  <si>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</si>
  <si>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</si>
  <si>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</si>
  <si>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</si>
  <si>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</si>
  <si>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</si>
  <si>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</si>
  <si>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</si>
  <si>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</si>
  <si>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</si>
  <si>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</si>
  <si>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</si>
  <si>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</si>
  <si>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</si>
  <si>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</si>
  <si>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</si>
  <si>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</si>
  <si>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</si>
  <si>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</si>
  <si>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</si>
  <si>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</si>
  <si>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</si>
  <si>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</si>
  <si>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</si>
  <si>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</si>
  <si>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</si>
  <si>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</si>
  <si>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</si>
  <si>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</si>
  <si>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</si>
  <si>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</si>
  <si>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</si>
  <si>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</si>
  <si>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</si>
  <si>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</si>
  <si>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</si>
  <si>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</si>
  <si>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</si>
  <si>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</si>
  <si>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</si>
  <si>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</si>
  <si>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</si>
  <si>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</si>
  <si>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</si>
  <si>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</si>
  <si>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</si>
  <si>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</si>
  <si>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</si>
  <si>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</si>
  <si>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</si>
  <si>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</si>
  <si>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</si>
  <si>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</si>
  <si>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</si>
  <si>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</si>
  <si>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</si>
  <si>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</si>
  <si>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</si>
  <si>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</si>
  <si>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</si>
  <si>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</si>
  <si>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</si>
  <si>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</si>
  <si>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</si>
  <si>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</si>
  <si>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</si>
  <si>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</si>
  <si>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</si>
  <si>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</si>
  <si>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</si>
  <si>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</si>
  <si>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</si>
  <si>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</si>
  <si>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</si>
  <si>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</si>
  <si>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</si>
  <si>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</si>
  <si>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</si>
  <si>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</si>
  <si>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</si>
  <si>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</si>
  <si>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</si>
  <si>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</si>
  <si>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</si>
  <si>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</si>
  <si>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</si>
  <si>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</si>
  <si>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</si>
  <si>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</si>
  <si>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</si>
  <si>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</si>
  <si>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</si>
  <si>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</si>
  <si>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</si>
  <si>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</si>
  <si>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</si>
  <si>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</si>
  <si>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</si>
  <si>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</si>
  <si>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</si>
  <si>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</si>
  <si>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</si>
  <si>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</si>
  <si>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</si>
  <si>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</si>
  <si>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</si>
  <si>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</si>
  <si>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</si>
  <si>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</si>
  <si>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</si>
  <si>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</si>
  <si>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</si>
  <si>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</si>
  <si>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</si>
  <si>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</si>
  <si>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</si>
  <si>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</si>
  <si>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</si>
  <si>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</si>
  <si>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</si>
  <si>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</si>
  <si>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</si>
  <si>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</si>
  <si>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</si>
  <si>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</si>
  <si>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</si>
  <si>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</si>
  <si>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</si>
  <si>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</si>
  <si>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</si>
  <si>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</si>
  <si>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</si>
  <si>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</si>
  <si>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</si>
  <si>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</si>
  <si>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</si>
  <si>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</si>
  <si>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</si>
  <si>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</si>
  <si>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</si>
  <si>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</si>
  <si>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</si>
  <si>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</si>
  <si>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</si>
  <si>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</si>
  <si>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</si>
  <si>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</si>
  <si>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</si>
  <si>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</si>
  <si>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</si>
  <si>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</si>
  <si>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</si>
  <si>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</si>
  <si>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</si>
  <si>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</si>
  <si>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</si>
  <si>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</si>
  <si>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</si>
  <si>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</si>
  <si>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</si>
  <si>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</si>
  <si>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</si>
  <si>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</si>
  <si>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</si>
  <si>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</si>
  <si>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</si>
  <si>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</si>
  <si>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</si>
  <si>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</si>
  <si>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</si>
  <si>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</si>
  <si>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</si>
  <si>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</si>
  <si>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</si>
  <si>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</si>
  <si>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</si>
  <si>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</si>
  <si>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</si>
  <si>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</si>
  <si>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</si>
  <si>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</si>
  <si>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</si>
  <si>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</si>
  <si>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</si>
  <si>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</si>
  <si>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</si>
  <si>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</si>
  <si>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</si>
  <si>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</si>
  <si>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</si>
  <si>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</si>
  <si>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</si>
  <si>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</si>
  <si>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</si>
  <si>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</si>
  <si>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</si>
  <si>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</si>
  <si>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</si>
  <si>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</si>
  <si>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</si>
  <si>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</si>
  <si>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</si>
  <si>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</si>
  <si>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</si>
  <si>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</si>
  <si>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</si>
  <si>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</si>
  <si>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</si>
  <si>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</si>
  <si>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</si>
  <si>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</si>
  <si>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</si>
  <si>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</si>
  <si>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</si>
  <si>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</si>
  <si>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</si>
  <si>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</si>
  <si>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</si>
  <si>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</si>
  <si>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</si>
  <si>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</si>
  <si>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</si>
  <si>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</si>
  <si>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</si>
  <si>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</si>
  <si>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</si>
  <si>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</si>
  <si>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</si>
  <si>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</si>
  <si>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</si>
  <si>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</si>
  <si>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</si>
  <si>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</si>
  <si>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</si>
  <si>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</si>
  <si>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</si>
  <si>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</si>
  <si>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</si>
  <si>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</si>
  <si>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</si>
  <si>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</si>
  <si>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</si>
  <si>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</si>
  <si>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</si>
  <si>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</si>
  <si>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</si>
  <si>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</si>
  <si>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</si>
  <si>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</si>
  <si>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</si>
  <si>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</si>
  <si>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</si>
  <si>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</si>
  <si>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</si>
  <si>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</si>
  <si>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</si>
  <si>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</si>
  <si>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</si>
  <si>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</si>
  <si>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</si>
  <si>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</si>
  <si>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</si>
  <si>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</si>
  <si>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</si>
  <si>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</si>
  <si>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</si>
  <si>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</si>
  <si>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</si>
  <si>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</si>
  <si>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</si>
  <si>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</si>
  <si>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</si>
  <si>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</si>
  <si>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</si>
  <si>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</si>
  <si>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</si>
  <si>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</si>
  <si>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</si>
  <si>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</si>
  <si>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</si>
  <si>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</si>
  <si>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</si>
  <si>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</si>
  <si>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</si>
  <si>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</si>
  <si>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</si>
  <si>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</si>
  <si>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</si>
  <si>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</si>
  <si>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</si>
  <si>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</si>
  <si>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</si>
  <si>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</si>
  <si>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</si>
  <si>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</si>
  <si>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</si>
  <si>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</si>
  <si>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</si>
  <si>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</si>
  <si>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</si>
  <si>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</si>
  <si>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</si>
  <si>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</si>
  <si>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</si>
  <si>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</si>
  <si>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</si>
  <si>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</si>
  <si>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</si>
  <si>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</si>
  <si>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</si>
  <si>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</si>
  <si>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</si>
  <si>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</si>
  <si>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</si>
  <si>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</si>
  <si>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</si>
  <si>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</si>
  <si>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</si>
  <si>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</si>
  <si>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</si>
  <si>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</si>
  <si>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</si>
  <si>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</si>
  <si>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</si>
  <si>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</si>
  <si>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</si>
  <si>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</si>
  <si>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</si>
  <si>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</si>
  <si>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</si>
  <si>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</si>
  <si>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</si>
  <si>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</si>
  <si>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</si>
  <si>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</si>
  <si>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</si>
  <si>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</si>
  <si>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</si>
  <si>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</si>
  <si>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</si>
  <si>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</si>
  <si>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</si>
  <si>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</si>
  <si>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</si>
  <si>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</si>
  <si>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</si>
  <si>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</si>
  <si>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</si>
  <si>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</si>
  <si>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</si>
  <si>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</si>
  <si>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</si>
  <si>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</si>
  <si>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</si>
  <si>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</si>
  <si>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</si>
  <si>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</si>
  <si>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</si>
  <si>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</si>
  <si>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</si>
  <si>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</si>
  <si>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</si>
  <si>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</si>
  <si>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</si>
  <si>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</si>
  <si>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</si>
  <si>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</si>
  <si>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</si>
  <si>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</si>
  <si>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</si>
  <si>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</si>
  <si>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</si>
  <si>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</si>
  <si>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</si>
  <si>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</si>
  <si>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</si>
  <si>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</si>
  <si>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</si>
  <si>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</si>
  <si>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</si>
  <si>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</si>
  <si>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</si>
  <si>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</si>
  <si>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</si>
  <si>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</si>
  <si>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</si>
  <si>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</si>
  <si>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</si>
  <si>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</si>
  <si>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</si>
  <si>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</si>
  <si>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</si>
  <si>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</si>
  <si>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</si>
  <si>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</si>
  <si>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</si>
  <si>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</si>
  <si>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</si>
  <si>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</si>
  <si>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</si>
  <si>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</si>
  <si>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</si>
  <si>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</si>
  <si>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</si>
  <si>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</si>
  <si>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</si>
  <si>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</si>
  <si>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</si>
  <si>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</si>
  <si>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</si>
  <si>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</si>
  <si>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</si>
  <si>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</si>
  <si>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</si>
  <si>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</si>
  <si>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</si>
  <si>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</si>
  <si>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</si>
  <si>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</si>
  <si>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</si>
  <si>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</si>
  <si>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</si>
  <si>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</si>
  <si>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</si>
  <si>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</si>
  <si>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</si>
  <si>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</si>
  <si>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</si>
  <si>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</si>
  <si>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</si>
  <si>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</si>
  <si>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</si>
  <si>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</si>
  <si>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</si>
  <si>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</si>
  <si>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</si>
  <si>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</si>
  <si>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</si>
  <si>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</si>
  <si>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</si>
  <si>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</si>
  <si>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</si>
  <si>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</si>
  <si>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</si>
  <si>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</si>
  <si>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</si>
  <si>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</si>
  <si>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</si>
  <si>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</si>
  <si>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</si>
  <si>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</si>
  <si>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</si>
  <si>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</si>
  <si>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</si>
  <si>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</si>
  <si>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</si>
  <si>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</si>
  <si>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</si>
  <si>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</si>
  <si>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</si>
  <si>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</si>
  <si>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</si>
  <si>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</si>
  <si>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</si>
  <si>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</si>
  <si>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</si>
  <si>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</si>
  <si>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</si>
  <si>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</si>
  <si>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</si>
  <si>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</si>
  <si>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</si>
  <si>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</si>
  <si>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</si>
  <si>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</si>
  <si>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</si>
  <si>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</si>
  <si>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</si>
  <si>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</si>
  <si>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</si>
  <si>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</si>
  <si>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</si>
  <si>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</si>
  <si>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</si>
  <si>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</si>
  <si>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</si>
  <si>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</si>
  <si>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</si>
  <si>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</si>
  <si>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</si>
  <si>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</si>
  <si>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</si>
  <si>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</si>
  <si>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</si>
  <si>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</si>
  <si>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</si>
  <si>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</si>
  <si>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</si>
  <si>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</si>
  <si>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</si>
  <si>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</si>
  <si>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</si>
  <si>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</si>
  <si>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</si>
  <si>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</si>
  <si>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</si>
  <si>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</si>
  <si>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</si>
  <si>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</si>
  <si>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</si>
  <si>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</si>
  <si>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</si>
  <si>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</si>
  <si>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</si>
  <si>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</si>
  <si>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</si>
  <si>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</si>
  <si>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</si>
  <si>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</si>
  <si>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</si>
  <si>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</si>
  <si>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</si>
  <si>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</si>
  <si>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</si>
  <si>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</si>
  <si>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</si>
  <si>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</si>
  <si>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</si>
  <si>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</si>
  <si>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</si>
  <si>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</si>
  <si>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</si>
  <si>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</si>
  <si>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</si>
  <si>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</si>
  <si>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</si>
  <si>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</si>
  <si>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</si>
  <si>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</si>
  <si>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</si>
  <si>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</si>
  <si>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</si>
  <si>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</si>
  <si>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</si>
  <si>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</si>
  <si>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</si>
  <si>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</si>
  <si>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</si>
  <si>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</si>
  <si>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</si>
  <si>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</si>
  <si>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</si>
  <si>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</si>
  <si>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</si>
  <si>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</si>
  <si>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</si>
  <si>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</si>
  <si>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</si>
  <si>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</si>
  <si>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</si>
  <si>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</si>
  <si>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</si>
  <si>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</si>
  <si>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</si>
  <si>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</si>
  <si>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</si>
  <si>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</si>
  <si>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</si>
  <si>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</si>
  <si>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</si>
  <si>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</si>
  <si>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</si>
  <si>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</si>
  <si>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</si>
  <si>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</si>
  <si>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</si>
  <si>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</si>
  <si>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</si>
  <si>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</si>
  <si>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</si>
  <si>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</si>
  <si>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</si>
  <si>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</si>
  <si>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</si>
  <si>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</si>
  <si>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</si>
  <si>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</si>
  <si>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</si>
  <si>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</si>
  <si>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</si>
  <si>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</si>
  <si>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</si>
  <si>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</si>
  <si>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</si>
  <si>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</si>
  <si>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</si>
  <si>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</si>
  <si>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</si>
  <si>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</si>
  <si>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</si>
  <si>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</si>
  <si>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</si>
  <si>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</si>
  <si>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</si>
  <si>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</si>
  <si>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</si>
  <si>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</si>
  <si>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</si>
  <si>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</si>
  <si>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</si>
  <si>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</si>
  <si>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</si>
  <si>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</si>
  <si>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</si>
  <si>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</si>
  <si>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</si>
  <si>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</si>
  <si>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</si>
  <si>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</si>
  <si>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</si>
  <si>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</si>
  <si>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</si>
  <si>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</si>
  <si>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</si>
  <si>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</si>
  <si>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</si>
  <si>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</si>
  <si>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</si>
  <si>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</si>
  <si>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</si>
  <si>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</si>
  <si>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</si>
  <si>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</si>
  <si>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</si>
  <si>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</si>
  <si>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</si>
  <si>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</si>
  <si>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</si>
  <si>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</si>
  <si>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</si>
  <si>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</si>
  <si>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</si>
  <si>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</si>
  <si>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</si>
  <si>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</si>
  <si>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</si>
  <si>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</si>
  <si>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</si>
  <si>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</si>
  <si>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</si>
  <si>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</si>
  <si>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</si>
  <si>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</si>
  <si>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</si>
  <si>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</si>
  <si>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</si>
  <si>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</si>
  <si>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</si>
  <si>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</si>
  <si>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</si>
  <si>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</si>
  <si>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</si>
  <si>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</si>
  <si>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</si>
  <si>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</si>
  <si>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</si>
  <si>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</si>
  <si>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</si>
  <si>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</si>
  <si>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</si>
  <si>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</si>
  <si>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</si>
  <si>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</si>
  <si>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</si>
  <si>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</si>
  <si>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</si>
  <si>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</si>
  <si>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</si>
  <si>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</si>
  <si>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</si>
  <si>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</si>
  <si>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</si>
  <si>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</si>
  <si>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</si>
  <si>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</si>
  <si>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</si>
  <si>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</si>
  <si>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</si>
  <si>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</si>
  <si>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</si>
  <si>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</si>
  <si>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</si>
  <si>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</si>
  <si>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</si>
  <si>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</si>
  <si>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</si>
  <si>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</si>
  <si>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</si>
  <si>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</si>
  <si>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</si>
  <si>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</si>
  <si>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</si>
  <si>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</si>
  <si>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</si>
  <si>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</si>
  <si>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</si>
  <si>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</si>
  <si>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</si>
  <si>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</si>
  <si>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</si>
  <si>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</si>
  <si>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</si>
  <si>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</si>
  <si>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</si>
  <si>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</si>
  <si>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</si>
  <si>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</si>
  <si>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</si>
  <si>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</si>
  <si>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</si>
  <si>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</si>
  <si>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</si>
  <si>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</si>
  <si>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</si>
  <si>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</si>
  <si>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</si>
  <si>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</si>
  <si>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</si>
  <si>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</si>
  <si>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</si>
  <si>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</si>
  <si>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</si>
  <si>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</si>
  <si>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</si>
  <si>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</si>
  <si>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</si>
  <si>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</si>
  <si>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</si>
  <si>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</si>
  <si>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</si>
  <si>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</si>
  <si>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</si>
  <si>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</si>
  <si>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</si>
  <si>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</si>
  <si>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</si>
  <si>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</si>
  <si>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</si>
  <si>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</si>
  <si>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</si>
  <si>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</si>
  <si>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</si>
  <si>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</si>
  <si>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</si>
  <si>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</si>
  <si>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</si>
  <si>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</si>
  <si>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</si>
  <si>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</si>
  <si>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</si>
  <si>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</si>
  <si>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</si>
  <si>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</si>
  <si>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</si>
  <si>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</si>
  <si>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</si>
  <si>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</si>
  <si>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</si>
  <si>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</si>
  <si>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</si>
  <si>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</si>
  <si>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</si>
  <si>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</si>
  <si>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</si>
  <si>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</si>
  <si>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</si>
  <si>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</si>
  <si>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</si>
  <si>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</si>
  <si>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</si>
  <si>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</si>
  <si>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</si>
  <si>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</si>
  <si>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</si>
  <si>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</si>
  <si>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</si>
  <si>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</si>
  <si>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</si>
  <si>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</si>
  <si>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</si>
  <si>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</si>
  <si>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</si>
  <si>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</si>
  <si>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</si>
  <si>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</si>
  <si>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</si>
  <si>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</si>
  <si>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</si>
  <si>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</si>
  <si>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</si>
  <si>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</si>
  <si>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</si>
  <si>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</si>
  <si>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</si>
  <si>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</si>
  <si>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</si>
  <si>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</si>
  <si>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</si>
  <si>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</si>
  <si>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</si>
  <si>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</si>
  <si>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</si>
  <si>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</si>
  <si>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</si>
  <si>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</si>
  <si>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</si>
  <si>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</si>
  <si>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</si>
  <si>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</si>
  <si>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</si>
  <si>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</si>
  <si>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</si>
  <si>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</si>
  <si>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</si>
  <si>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</si>
  <si>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</si>
  <si>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</si>
  <si>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</si>
  <si>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</si>
  <si>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</si>
  <si>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</si>
  <si>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</si>
  <si>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</si>
  <si>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</si>
  <si>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</si>
  <si>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</si>
  <si>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</si>
  <si>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</si>
  <si>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</si>
  <si>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</si>
  <si>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</si>
  <si>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</si>
  <si>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</si>
  <si>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</si>
  <si>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</si>
  <si>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</si>
  <si>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</si>
  <si>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</si>
  <si>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</si>
  <si>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</si>
  <si>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</si>
  <si>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</si>
  <si>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</si>
  <si>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</si>
  <si>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</si>
  <si>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</si>
  <si>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</si>
  <si>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</si>
  <si>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</si>
  <si>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</si>
  <si>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</si>
  <si>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</si>
  <si>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</si>
  <si>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</si>
  <si>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</si>
  <si>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</si>
  <si>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</si>
  <si>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</si>
  <si>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</si>
  <si>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</si>
  <si>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</si>
  <si>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</si>
  <si>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</si>
  <si>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</si>
  <si>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</si>
  <si>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</si>
  <si>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</si>
  <si>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</si>
  <si>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</si>
  <si>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</si>
  <si>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</si>
  <si>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</si>
  <si>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</si>
  <si>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</si>
  <si>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</si>
  <si>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</si>
  <si>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</si>
  <si>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</si>
  <si>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</si>
  <si>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</si>
  <si>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</si>
  <si>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</si>
  <si>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</si>
  <si>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</si>
  <si>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</si>
  <si>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</si>
  <si>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</si>
  <si>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</si>
  <si>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</si>
  <si>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</si>
  <si>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</si>
  <si>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</si>
  <si>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</si>
  <si>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</si>
  <si>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</si>
  <si>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</si>
  <si>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</si>
  <si>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</si>
  <si>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</si>
  <si>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</si>
  <si>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</si>
  <si>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</si>
  <si>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</si>
  <si>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</si>
  <si>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</si>
  <si>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</si>
  <si>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</si>
  <si>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</si>
  <si>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</si>
  <si>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</si>
  <si>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</si>
  <si>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</si>
  <si>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</si>
  <si>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</si>
  <si>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</si>
  <si>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</si>
  <si>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</si>
  <si>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</si>
  <si>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</si>
  <si>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</si>
  <si>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</si>
  <si>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</si>
  <si>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</si>
  <si>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</si>
  <si>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</si>
  <si>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</si>
  <si>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</si>
  <si>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</si>
  <si>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</si>
  <si>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</si>
  <si>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</si>
  <si>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</si>
  <si>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</si>
  <si>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</si>
  <si>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</si>
  <si>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</si>
  <si>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</si>
  <si>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</si>
  <si>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</si>
  <si>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</si>
  <si>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</si>
  <si>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</si>
  <si>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</si>
  <si>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</si>
  <si>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</si>
  <si>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</si>
  <si>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</si>
  <si>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</si>
  <si>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</si>
  <si>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</si>
  <si>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</si>
  <si>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</si>
  <si>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</si>
  <si>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</si>
  <si>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</si>
  <si>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</si>
  <si>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</si>
  <si>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</si>
  <si>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</si>
  <si>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</si>
  <si>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</si>
  <si>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</si>
  <si>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</si>
  <si>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</si>
  <si>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</si>
  <si>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</si>
  <si>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</si>
  <si>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</si>
  <si>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</si>
  <si>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</si>
  <si>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</si>
  <si>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</si>
  <si>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</si>
  <si>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</si>
  <si>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</si>
  <si>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</si>
  <si>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</si>
  <si>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</si>
  <si>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</si>
  <si>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</si>
  <si>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</si>
  <si>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</si>
  <si>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</si>
  <si>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</si>
  <si>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</si>
  <si>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</si>
  <si>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</si>
  <si>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</si>
  <si>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</si>
  <si>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</si>
  <si>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</si>
  <si>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</si>
  <si>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</si>
  <si>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</si>
  <si>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</si>
  <si>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</si>
  <si>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</si>
  <si>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</si>
  <si>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</si>
  <si>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</si>
  <si>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</si>
  <si>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</si>
  <si>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</si>
  <si>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</si>
  <si>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</si>
  <si>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</si>
  <si>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</si>
  <si>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</si>
  <si>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</si>
  <si>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</si>
  <si>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</si>
  <si>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</si>
  <si>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</si>
  <si>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</si>
  <si>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</si>
  <si>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</si>
  <si>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</si>
  <si>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</si>
  <si>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</si>
  <si>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</si>
  <si>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</si>
  <si>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</si>
  <si>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</si>
  <si>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</si>
  <si>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</si>
  <si>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</si>
  <si>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</si>
  <si>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</si>
  <si>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</si>
  <si>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</si>
  <si>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</si>
  <si>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</si>
  <si>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</si>
  <si>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</si>
  <si>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</si>
  <si>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</si>
  <si>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</si>
  <si>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</si>
  <si>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</si>
  <si>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</si>
  <si>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</si>
  <si>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</si>
  <si>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</si>
  <si>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</si>
  <si>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</si>
  <si>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</si>
  <si>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</si>
  <si>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</si>
  <si>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</si>
  <si>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</si>
  <si>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</si>
  <si>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</si>
  <si>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</si>
  <si>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</si>
  <si>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</si>
  <si>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</si>
  <si>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</si>
  <si>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</si>
  <si>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</si>
  <si>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</si>
  <si>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</si>
  <si>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</si>
  <si>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</si>
  <si>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</si>
  <si>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</si>
  <si>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</si>
  <si>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</si>
  <si>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</si>
  <si>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</si>
  <si>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</si>
  <si>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</si>
  <si>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</si>
  <si>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</si>
  <si>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</si>
  <si>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</si>
  <si>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</si>
  <si>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</si>
  <si>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</si>
  <si>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</si>
  <si>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</si>
  <si>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</si>
  <si>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</si>
  <si>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</si>
  <si>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</si>
  <si>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</si>
  <si>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</si>
  <si>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</si>
  <si>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</si>
  <si>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</si>
  <si>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</si>
  <si>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</si>
  <si>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</si>
  <si>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</si>
  <si>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</si>
  <si>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</si>
  <si>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</si>
  <si>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</si>
  <si>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</si>
  <si>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</si>
  <si>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</si>
  <si>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</si>
  <si>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</si>
  <si>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</si>
  <si>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</si>
  <si>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</si>
  <si>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</si>
  <si>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</si>
  <si>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</si>
  <si>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</si>
  <si>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</si>
  <si>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</si>
  <si>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</si>
  <si>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</si>
  <si>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</si>
  <si>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</si>
  <si>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</si>
  <si>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</si>
  <si>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</si>
  <si>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</si>
  <si>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</si>
  <si>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</si>
  <si>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</si>
  <si>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</si>
  <si>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</si>
  <si>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</si>
  <si>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</si>
  <si>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</si>
  <si>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</si>
  <si>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</si>
  <si>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</si>
  <si>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</si>
  <si>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</si>
  <si>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</si>
  <si>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</si>
  <si>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</si>
  <si>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</si>
  <si>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</si>
  <si>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</si>
  <si>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</si>
  <si>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</si>
  <si>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</si>
  <si>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</si>
  <si>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</si>
  <si>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</si>
  <si>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</si>
  <si>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</si>
  <si>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</si>
  <si>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</si>
  <si>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</si>
  <si>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</si>
  <si>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</si>
  <si>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</si>
  <si>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</si>
  <si>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</si>
  <si>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</si>
  <si>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</si>
  <si>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</si>
  <si>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</si>
  <si>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</si>
  <si>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</si>
  <si>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</si>
  <si>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</si>
  <si>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</si>
  <si>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</si>
  <si>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</si>
  <si>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</si>
  <si>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</si>
  <si>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</si>
  <si>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</si>
  <si>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</si>
  <si>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</si>
  <si>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</si>
  <si>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</si>
  <si>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</si>
  <si>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</si>
  <si>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</si>
  <si>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</si>
  <si>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</si>
  <si>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</si>
  <si>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</si>
  <si>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</si>
  <si>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</si>
  <si>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</si>
  <si>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</si>
  <si>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</si>
  <si>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</si>
  <si>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</si>
  <si>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</si>
  <si>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</si>
  <si>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</si>
  <si>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</si>
  <si>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</si>
  <si>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</si>
  <si>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</si>
  <si>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</si>
  <si>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</si>
  <si>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</si>
  <si>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</si>
  <si>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</si>
  <si>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</si>
  <si>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</si>
  <si>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</si>
  <si>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</si>
  <si>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</si>
  <si>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</si>
  <si>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</si>
  <si>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</si>
  <si>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</si>
  <si>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</si>
  <si>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</si>
  <si>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</si>
  <si>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</si>
  <si>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</si>
  <si>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</si>
  <si>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</si>
  <si>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</si>
  <si>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</si>
  <si>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</si>
  <si>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</si>
  <si>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</si>
  <si>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</si>
  <si>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</si>
  <si>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</si>
  <si>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</si>
  <si>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</si>
  <si>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</si>
  <si>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</si>
  <si>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</si>
  <si>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</si>
  <si>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</si>
  <si>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</si>
  <si>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</si>
  <si>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</si>
  <si>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</si>
  <si>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</si>
  <si>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</si>
  <si>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</si>
  <si>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</si>
  <si>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</si>
  <si>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</si>
  <si>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</si>
  <si>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</si>
  <si>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</si>
  <si>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</si>
  <si>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</si>
  <si>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</si>
  <si>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</si>
  <si>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</si>
  <si>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</si>
  <si>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</si>
  <si>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</si>
  <si>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</si>
  <si>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</si>
  <si>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</si>
  <si>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</si>
  <si>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</si>
  <si>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</si>
  <si>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</si>
  <si>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</si>
  <si>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</si>
  <si>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</si>
  <si>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</si>
  <si>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</si>
  <si>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</si>
  <si>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</si>
  <si>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</si>
  <si>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</si>
  <si>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</si>
  <si>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</si>
  <si>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</si>
  <si>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</si>
  <si>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</si>
  <si>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</si>
  <si>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</si>
  <si>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</si>
  <si>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</si>
  <si>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</si>
  <si>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</si>
  <si>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</si>
  <si>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</si>
  <si>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</si>
  <si>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</si>
  <si>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</si>
  <si>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</si>
  <si>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</si>
  <si>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</si>
  <si>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</si>
  <si>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</si>
  <si>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</si>
  <si>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</si>
  <si>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</si>
  <si>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</si>
  <si>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</si>
  <si>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</si>
  <si>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</si>
  <si>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</si>
  <si>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</si>
  <si>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</si>
  <si>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</si>
  <si>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</si>
  <si>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</si>
  <si>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</si>
  <si>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</si>
  <si>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</si>
  <si>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</si>
  <si>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</si>
  <si>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</si>
  <si>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</si>
  <si>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</si>
  <si>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</si>
  <si>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</si>
  <si>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</si>
  <si>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</si>
  <si>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</si>
  <si>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</si>
  <si>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</si>
  <si>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</si>
  <si>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</si>
  <si>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</si>
  <si>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</si>
  <si>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</si>
  <si>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</si>
  <si>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</si>
  <si>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</si>
  <si>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</si>
  <si>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</si>
  <si>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</si>
  <si>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</si>
  <si>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</si>
  <si>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</si>
  <si>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</si>
  <si>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</si>
  <si>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</si>
  <si>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</si>
  <si>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</si>
  <si>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</si>
  <si>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</si>
  <si>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</si>
  <si>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</si>
  <si>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</si>
  <si>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</si>
  <si>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</si>
  <si>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</si>
  <si>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</si>
  <si>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</si>
  <si>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</si>
  <si>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</si>
  <si>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</si>
  <si>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</si>
  <si>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</si>
  <si>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</si>
  <si>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</si>
  <si>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</si>
  <si>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</si>
  <si>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</si>
  <si>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</si>
  <si>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</si>
  <si>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</si>
  <si>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</si>
  <si>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</si>
  <si>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</si>
  <si>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</si>
  <si>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</si>
  <si>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</si>
  <si>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</si>
  <si>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</si>
  <si>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</si>
  <si>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</si>
  <si>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</si>
  <si>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</si>
  <si>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</si>
  <si>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</si>
  <si>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</si>
  <si>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</si>
  <si>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</si>
  <si>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</si>
  <si>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</si>
  <si>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</si>
  <si>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</si>
  <si>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</si>
  <si>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</si>
  <si>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</si>
  <si>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</si>
  <si>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</si>
  <si>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</si>
  <si>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</si>
  <si>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</si>
  <si>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</si>
  <si>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</si>
  <si>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</si>
  <si>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</si>
  <si>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</si>
  <si>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</si>
  <si>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</si>
  <si>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</si>
  <si>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</si>
  <si>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</si>
  <si>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</si>
  <si>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</si>
  <si>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</si>
  <si>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</si>
  <si>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</si>
  <si>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</si>
  <si>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</si>
  <si>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</si>
  <si>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</si>
  <si>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</si>
  <si>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</si>
  <si>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</si>
  <si>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</si>
  <si>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</si>
  <si>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</si>
  <si>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</si>
  <si>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</si>
  <si>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</si>
  <si>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</si>
  <si>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</si>
  <si>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</si>
  <si>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</si>
  <si>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</si>
  <si>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</si>
  <si>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</si>
  <si>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</si>
  <si>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</si>
  <si>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</si>
  <si>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</si>
  <si>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</si>
  <si>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</si>
  <si>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</si>
  <si>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</si>
  <si>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</si>
  <si>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</si>
  <si>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</si>
  <si>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</si>
  <si>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</si>
  <si>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</si>
  <si>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</si>
  <si>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</si>
  <si>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</si>
  <si>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</si>
  <si>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</si>
  <si>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</si>
  <si>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</si>
  <si>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</si>
  <si>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</si>
  <si>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</si>
  <si>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</si>
  <si>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</si>
  <si>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</si>
  <si>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</si>
  <si>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</si>
  <si>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</si>
  <si>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</si>
  <si>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</si>
  <si>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</si>
  <si>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</si>
  <si>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</si>
  <si>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</si>
  <si>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</si>
  <si>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</si>
  <si>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</si>
  <si>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</si>
  <si>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</si>
  <si>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</si>
  <si>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</si>
  <si>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</si>
  <si>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</si>
  <si>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</si>
  <si>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</si>
  <si>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</si>
  <si>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</si>
  <si>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</si>
  <si>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</si>
  <si>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</si>
  <si>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</si>
  <si>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</si>
  <si>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</si>
  <si>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</si>
  <si>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</si>
  <si>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</si>
  <si>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</si>
  <si>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</si>
  <si>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</si>
  <si>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</si>
  <si>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</si>
  <si>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</si>
  <si>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</si>
  <si>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</si>
  <si>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</si>
  <si>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</si>
  <si>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</si>
  <si>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</si>
  <si>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</si>
  <si>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</si>
  <si>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</si>
  <si>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</si>
  <si>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</si>
  <si>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</si>
  <si>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</si>
  <si>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</si>
  <si>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</si>
  <si>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</si>
  <si>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</si>
  <si>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</si>
  <si>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</si>
  <si>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</si>
  <si>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</si>
  <si>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</si>
  <si>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</si>
  <si>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</si>
  <si>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</si>
  <si>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</si>
  <si>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</si>
  <si>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</si>
  <si>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</si>
  <si>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</si>
  <si>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</si>
  <si>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</si>
  <si>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</si>
  <si>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</si>
  <si>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</si>
  <si>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</si>
  <si>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</si>
  <si>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</si>
  <si>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</si>
  <si>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</si>
  <si>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</si>
  <si>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</si>
  <si>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</si>
  <si>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</si>
  <si>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</si>
  <si>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</si>
  <si>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</si>
  <si>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</si>
  <si>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</si>
  <si>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</si>
  <si>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</si>
  <si>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</si>
  <si>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</si>
  <si>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</si>
  <si>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</si>
  <si>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</si>
  <si>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</si>
  <si>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</si>
  <si>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</si>
  <si>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</si>
  <si>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</si>
  <si>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</si>
  <si>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</si>
  <si>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</si>
  <si>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</si>
  <si>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</si>
  <si>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</si>
  <si>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</si>
  <si>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</si>
  <si>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</si>
  <si>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</si>
  <si>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</si>
  <si>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</si>
  <si>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</si>
  <si>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</si>
  <si>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</si>
  <si>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</si>
  <si>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</si>
  <si>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</si>
  <si>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</si>
  <si>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</si>
  <si>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</si>
  <si>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</si>
  <si>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</si>
  <si>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</si>
  <si>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</si>
  <si>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</si>
  <si>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</si>
  <si>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</si>
  <si>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</si>
  <si>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</si>
  <si>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</si>
  <si>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</si>
  <si>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</si>
  <si>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</si>
  <si>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</si>
  <si>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</si>
  <si>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</si>
  <si>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</si>
  <si>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</si>
  <si>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</si>
  <si>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</si>
  <si>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</si>
  <si>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</si>
  <si>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</si>
  <si>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</si>
  <si>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</si>
  <si>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</si>
  <si>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</si>
  <si>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</si>
  <si>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</si>
  <si>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</si>
  <si>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</si>
  <si>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</si>
  <si>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</si>
  <si>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</si>
  <si>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</si>
  <si>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</si>
  <si>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</si>
  <si>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</si>
  <si>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</si>
  <si>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</si>
  <si>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</si>
  <si>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</si>
  <si>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</si>
  <si>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</si>
  <si>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</si>
  <si>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</si>
  <si>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</si>
  <si>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</si>
  <si>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</si>
  <si>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</si>
  <si>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</si>
  <si>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</si>
  <si>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</si>
  <si>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</si>
  <si>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</si>
  <si>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</si>
  <si>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</si>
  <si>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</si>
  <si>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</si>
  <si>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</si>
  <si>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</si>
  <si>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</si>
  <si>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</si>
  <si>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</si>
  <si>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</si>
  <si>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</si>
  <si>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</si>
  <si>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</si>
  <si>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</si>
  <si>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</si>
  <si>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</si>
  <si>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</si>
  <si>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</si>
  <si>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</si>
  <si>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</si>
  <si>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</si>
  <si>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</si>
  <si>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</si>
  <si>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</si>
  <si>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</si>
  <si>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</si>
  <si>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</si>
  <si>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</si>
  <si>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</si>
  <si>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</si>
  <si>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</si>
  <si>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</si>
  <si>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</si>
  <si>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</si>
  <si>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</si>
  <si>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</si>
  <si>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</si>
  <si>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</si>
  <si>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</si>
  <si>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</si>
  <si>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</si>
  <si>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</si>
  <si>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</si>
  <si>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</si>
  <si>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</si>
  <si>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</si>
  <si>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</si>
  <si>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</si>
  <si>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</si>
  <si>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</si>
  <si>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</si>
  <si>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</si>
  <si>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</si>
  <si>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</si>
  <si>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</si>
  <si>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</si>
  <si>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</si>
  <si>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</si>
  <si>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</si>
  <si>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</si>
  <si>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</si>
  <si>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</si>
  <si>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</si>
  <si>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</si>
  <si>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</si>
  <si>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</si>
  <si>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</si>
  <si>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</si>
  <si>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</si>
  <si>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</si>
  <si>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</si>
  <si>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</si>
  <si>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</si>
  <si>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</si>
  <si>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</si>
  <si>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</si>
  <si>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</si>
  <si>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</si>
  <si>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</si>
  <si>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</si>
  <si>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</si>
  <si>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</si>
  <si>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</si>
  <si>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</si>
  <si>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</si>
  <si>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</si>
  <si>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</si>
  <si>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</si>
  <si>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</si>
  <si>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</si>
  <si>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</si>
  <si>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</si>
  <si>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</si>
  <si>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</si>
  <si>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</si>
  <si>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</si>
  <si>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</si>
  <si>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</si>
  <si>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</si>
  <si>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</si>
  <si>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</si>
  <si>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</si>
  <si>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</si>
  <si>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</si>
  <si>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</si>
  <si>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</si>
  <si>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</si>
  <si>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</si>
  <si>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</si>
  <si>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</si>
  <si>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</si>
  <si>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</si>
  <si>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</si>
  <si>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</si>
  <si>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</si>
  <si>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</si>
  <si>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</si>
  <si>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</si>
  <si>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</si>
  <si>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</si>
  <si>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</si>
  <si>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</si>
  <si>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</si>
  <si>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</si>
  <si>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</si>
  <si>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</si>
  <si>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</si>
  <si>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</si>
  <si>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</si>
  <si>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</si>
  <si>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</si>
  <si>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</si>
  <si>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</si>
  <si>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</si>
  <si>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</si>
  <si>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</si>
  <si>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</si>
  <si>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</si>
  <si>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</si>
  <si>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</si>
  <si>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</si>
  <si>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</si>
  <si>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</si>
  <si>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</si>
  <si>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</si>
  <si>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</si>
  <si>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</si>
  <si>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</si>
  <si>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</si>
  <si>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</si>
  <si>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</si>
  <si>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</si>
  <si>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</si>
  <si>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</si>
  <si>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</si>
  <si>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</si>
  <si>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</si>
  <si>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</si>
  <si>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</si>
  <si>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</si>
  <si>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</si>
  <si>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</si>
  <si>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</si>
  <si>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</si>
  <si>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</si>
  <si>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</si>
  <si>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</si>
  <si>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</si>
  <si>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</si>
  <si>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</si>
  <si>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</si>
  <si>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</si>
  <si>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</si>
  <si>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</si>
  <si>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</si>
  <si>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</si>
  <si>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</si>
  <si>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</si>
  <si>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</si>
  <si>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</si>
  <si>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</si>
  <si>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</si>
  <si>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</si>
  <si>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</si>
  <si>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</si>
  <si>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</si>
  <si>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</si>
  <si>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</si>
  <si>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</si>
  <si>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</si>
  <si>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</si>
  <si>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</si>
  <si>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</si>
  <si>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</si>
  <si>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</si>
  <si>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</si>
  <si>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</si>
  <si>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</si>
  <si>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</si>
  <si>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</si>
  <si>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</si>
  <si>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</si>
  <si>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</si>
  <si>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</si>
  <si>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</si>
  <si>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</si>
  <si>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</si>
  <si>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</si>
  <si>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</si>
  <si>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</si>
  <si>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</si>
  <si>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</si>
  <si>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</si>
  <si>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</si>
  <si>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</si>
  <si>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</si>
  <si>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</si>
  <si>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</si>
  <si>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</si>
  <si>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</si>
  <si>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</si>
  <si>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</si>
  <si>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</si>
  <si>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</si>
  <si>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</si>
  <si>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</si>
  <si>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</si>
  <si>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</si>
  <si>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</si>
  <si>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</si>
  <si>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</si>
  <si>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</si>
  <si>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</si>
  <si>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</si>
  <si>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</si>
  <si>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</si>
  <si>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</si>
  <si>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</si>
  <si>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</si>
  <si>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</si>
  <si>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</si>
  <si>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</si>
  <si>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</si>
  <si>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</si>
  <si>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</si>
  <si>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</si>
  <si>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</si>
  <si>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</si>
  <si>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</si>
  <si>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</si>
  <si>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</si>
  <si>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</si>
  <si>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</si>
  <si>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</si>
  <si>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</si>
  <si>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</si>
  <si>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</si>
  <si>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</si>
  <si>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</si>
  <si>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</si>
  <si>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</si>
  <si>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</si>
  <si>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</si>
  <si>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</si>
  <si>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</si>
  <si>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</si>
  <si>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</si>
  <si>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</si>
  <si>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</si>
  <si>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</si>
  <si>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</si>
  <si>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</si>
  <si>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</si>
  <si>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</si>
  <si>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</si>
  <si>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</si>
  <si>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</si>
  <si>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</si>
  <si>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</si>
  <si>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</si>
  <si>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</si>
  <si>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</si>
  <si>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</si>
  <si>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</si>
  <si>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</si>
  <si>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</si>
  <si>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</si>
  <si>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</si>
  <si>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</si>
  <si>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</si>
  <si>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</si>
  <si>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</si>
  <si>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</si>
  <si>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</si>
  <si>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</si>
  <si>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</si>
  <si>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</si>
  <si>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</si>
  <si>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</si>
  <si>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</si>
  <si>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</si>
  <si>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</si>
  <si>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</si>
  <si>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</si>
  <si>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</si>
  <si>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</si>
  <si>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</si>
  <si>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</si>
  <si>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</si>
  <si>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</si>
  <si>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</si>
  <si>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</si>
  <si>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</si>
  <si>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</si>
  <si>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</si>
  <si>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</si>
  <si>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</si>
  <si>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</si>
  <si>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</si>
  <si>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</si>
  <si>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</si>
  <si>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</si>
  <si>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</si>
  <si>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</si>
  <si>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</si>
  <si>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</si>
  <si>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</si>
  <si>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</si>
  <si>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</si>
  <si>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</si>
  <si>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</si>
  <si>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</si>
  <si>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</si>
  <si>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</si>
  <si>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</si>
  <si>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</si>
  <si>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</si>
  <si>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</si>
  <si>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</si>
  <si>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</si>
  <si>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</si>
  <si>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</si>
  <si>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</si>
  <si>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</si>
  <si>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</si>
  <si>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</si>
  <si>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</si>
  <si>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</si>
  <si>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</si>
  <si>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</si>
  <si>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</si>
  <si>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</si>
  <si>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</si>
  <si>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</si>
  <si>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</si>
  <si>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</si>
  <si>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</si>
  <si>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</si>
  <si>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</si>
  <si>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</si>
  <si>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</si>
  <si>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</si>
  <si>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</si>
  <si>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</si>
  <si>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</si>
  <si>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</si>
  <si>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</si>
  <si>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</si>
  <si>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</si>
  <si>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</si>
  <si>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</si>
  <si>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</si>
  <si>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</si>
  <si>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</si>
  <si>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</si>
  <si>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</si>
  <si>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</si>
  <si>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</si>
  <si>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</si>
  <si>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</si>
  <si>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</si>
  <si>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</si>
  <si>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</si>
  <si>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</si>
  <si>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</si>
  <si>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</si>
  <si>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</si>
  <si>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</si>
  <si>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</si>
  <si>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</si>
  <si>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</si>
  <si>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</si>
  <si>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</si>
  <si>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</si>
  <si>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</si>
  <si>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</si>
  <si>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</si>
  <si>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</si>
  <si>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</si>
  <si>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</si>
  <si>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</si>
  <si>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</si>
  <si>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</si>
  <si>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</si>
  <si>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</si>
  <si>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</si>
  <si>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</si>
  <si>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</si>
  <si>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</si>
  <si>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</si>
  <si>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</si>
  <si>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</si>
  <si>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</si>
  <si>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</si>
  <si>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</si>
  <si>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</si>
  <si>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</si>
  <si>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</si>
  <si>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</si>
  <si>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</si>
  <si>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</si>
  <si>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</si>
  <si>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</si>
  <si>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</si>
  <si>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</si>
  <si>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</si>
  <si>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</si>
  <si>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</si>
  <si>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</si>
  <si>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</si>
  <si>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</si>
  <si>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</si>
  <si>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</si>
  <si>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</si>
  <si>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</si>
  <si>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</si>
  <si>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</si>
  <si>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</si>
  <si>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</si>
  <si>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</si>
  <si>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</si>
  <si>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</si>
  <si>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</si>
  <si>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</si>
  <si>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</si>
  <si>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</si>
  <si>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</si>
  <si>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</si>
  <si>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</si>
  <si>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</si>
  <si>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</si>
  <si>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</si>
  <si>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</si>
  <si>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</si>
  <si>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</si>
  <si>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</si>
  <si>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</si>
  <si>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</si>
  <si>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</si>
  <si>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</si>
  <si>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</si>
  <si>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</si>
  <si>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</si>
  <si>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</si>
  <si>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</si>
  <si>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</si>
  <si>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</si>
  <si>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</si>
  <si>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</si>
  <si>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</si>
  <si>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</si>
  <si>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</si>
  <si>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</si>
  <si>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</si>
  <si>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</si>
  <si>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</si>
  <si>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</si>
  <si>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</si>
  <si>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</si>
  <si>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</si>
  <si>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</si>
  <si>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</si>
  <si>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</si>
  <si>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</si>
  <si>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</si>
  <si>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</si>
  <si>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</si>
  <si>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</si>
  <si>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</si>
  <si>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</si>
  <si>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</si>
  <si>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</si>
  <si>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</si>
  <si>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</si>
  <si>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</si>
  <si>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</si>
  <si>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</si>
  <si>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</si>
  <si>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</si>
  <si>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</si>
  <si>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</si>
  <si>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</si>
  <si>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</si>
  <si>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</si>
  <si>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</si>
  <si>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</si>
  <si>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</si>
  <si>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</si>
  <si>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</si>
  <si>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</si>
  <si>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</si>
  <si>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</si>
  <si>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</si>
  <si>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</si>
  <si>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</si>
  <si>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</si>
  <si>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</si>
  <si>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</si>
  <si>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</si>
  <si>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</si>
  <si>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</si>
  <si>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</si>
  <si>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</si>
  <si>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</si>
  <si>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</si>
  <si>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</si>
  <si>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</si>
  <si>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</si>
  <si>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</si>
  <si>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</si>
  <si>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</si>
  <si>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</si>
  <si>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</si>
  <si>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</si>
  <si>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</si>
  <si>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</si>
  <si>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</si>
  <si>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</si>
  <si>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</si>
  <si>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</si>
  <si>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</si>
  <si>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</si>
  <si>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</si>
  <si>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</si>
  <si>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</si>
  <si>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</si>
  <si>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</si>
  <si>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</si>
  <si>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</si>
  <si>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</si>
  <si>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</si>
  <si>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</si>
  <si>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</si>
  <si>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</si>
  <si>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</si>
  <si>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</si>
  <si>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</si>
  <si>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</si>
  <si>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</si>
  <si>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</si>
  <si>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</si>
  <si>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</si>
  <si>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</si>
  <si>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</si>
  <si>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</si>
  <si>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</si>
  <si>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</si>
  <si>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</si>
  <si>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</si>
  <si>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</si>
  <si>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</si>
  <si>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</si>
  <si>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</si>
  <si>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</si>
  <si>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</si>
  <si>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</si>
  <si>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</si>
  <si>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</si>
  <si>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</si>
  <si>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</si>
  <si>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</si>
  <si>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</si>
  <si>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</si>
  <si>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</si>
  <si>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</si>
  <si>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</si>
  <si>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</si>
  <si>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</si>
  <si>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</si>
  <si>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</si>
  <si>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</si>
  <si>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</si>
  <si>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</si>
  <si>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</si>
  <si>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</si>
  <si>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</si>
  <si>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</si>
  <si>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</si>
  <si>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</si>
  <si>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</si>
  <si>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</si>
  <si>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</si>
  <si>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</si>
  <si>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</si>
  <si>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</si>
  <si>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</si>
  <si>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</si>
  <si>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</si>
  <si>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</si>
  <si>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</si>
  <si>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</si>
  <si>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</si>
  <si>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</si>
  <si>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</si>
  <si>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</si>
  <si>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</si>
  <si>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</si>
  <si>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</si>
  <si>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</si>
  <si>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</si>
  <si>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</si>
  <si>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</si>
  <si>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</si>
  <si>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</si>
  <si>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</si>
  <si>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</si>
  <si>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</si>
  <si>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</si>
  <si>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</si>
  <si>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</si>
  <si>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</si>
  <si>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</si>
  <si>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</si>
  <si>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</si>
  <si>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</si>
  <si>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</si>
  <si>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</si>
  <si>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</si>
  <si>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</si>
  <si>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</si>
  <si>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</si>
  <si>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</si>
  <si>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</si>
  <si>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</si>
  <si>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</si>
  <si>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</si>
  <si>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</si>
  <si>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</si>
  <si>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</si>
  <si>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</si>
  <si>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</si>
  <si>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</si>
  <si>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</si>
  <si>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</si>
  <si>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</si>
  <si>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</si>
  <si>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</si>
  <si>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</si>
  <si>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</si>
  <si>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</si>
  <si>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</si>
  <si>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</si>
  <si>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</si>
  <si>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</si>
  <si>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</si>
  <si>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</si>
  <si>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</si>
  <si>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</si>
  <si>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</si>
  <si>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</si>
  <si>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</si>
  <si>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</si>
  <si>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</si>
  <si>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</si>
  <si>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</si>
  <si>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</si>
  <si>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</si>
  <si>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</si>
  <si>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</si>
  <si>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</si>
  <si>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</si>
  <si>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</si>
  <si>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</si>
  <si>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</si>
  <si>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</si>
  <si>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</si>
  <si>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</si>
  <si>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</si>
  <si>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</si>
  <si>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</si>
  <si>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</si>
  <si>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</si>
  <si>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</si>
  <si>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</si>
  <si>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</si>
  <si>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</si>
  <si>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</si>
  <si>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</si>
  <si>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</si>
  <si>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</si>
  <si>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</si>
  <si>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</si>
  <si>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</si>
  <si>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</si>
  <si>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</si>
  <si>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</si>
  <si>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</si>
  <si>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</si>
  <si>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</si>
  <si>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</si>
  <si>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</si>
  <si>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</si>
  <si>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</si>
  <si>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</si>
  <si>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</si>
  <si>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</si>
  <si>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</si>
  <si>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</si>
  <si>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</si>
  <si>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</si>
  <si>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</si>
  <si>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</si>
  <si>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</si>
  <si>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</si>
  <si>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</si>
  <si>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</si>
  <si>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</si>
  <si>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</si>
  <si>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</si>
  <si>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</si>
  <si>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</si>
  <si>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</si>
  <si>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</si>
  <si>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</si>
  <si>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</si>
  <si>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</si>
  <si>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</si>
  <si>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</si>
  <si>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</si>
  <si>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</si>
  <si>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</si>
  <si>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</si>
  <si>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</si>
  <si>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</si>
  <si>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</si>
  <si>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</si>
  <si>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</si>
  <si>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</si>
  <si>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</si>
  <si>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</si>
  <si>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</si>
  <si>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</si>
  <si>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</si>
  <si>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</si>
  <si>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</si>
  <si>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</si>
  <si>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</si>
  <si>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</si>
  <si>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</si>
  <si>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</si>
  <si>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</si>
  <si>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</si>
  <si>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</si>
  <si>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</si>
  <si>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</si>
  <si>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</si>
  <si>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</si>
  <si>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</si>
  <si>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</si>
  <si>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</si>
  <si>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</si>
  <si>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</si>
  <si>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</si>
  <si>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</si>
  <si>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</si>
  <si>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</si>
  <si>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</si>
  <si>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</si>
  <si>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</si>
  <si>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</si>
  <si>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</si>
  <si>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</si>
  <si>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</si>
  <si>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</si>
  <si>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</si>
  <si>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</si>
  <si>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</si>
  <si>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</si>
  <si>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</si>
  <si>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</si>
  <si>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</si>
  <si>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</si>
  <si>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</si>
  <si>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</si>
  <si>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</si>
  <si>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</si>
  <si>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</si>
  <si>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</si>
  <si>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</si>
  <si>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</si>
  <si>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</si>
  <si>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</si>
  <si>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</si>
  <si>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</si>
  <si>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</si>
  <si>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</si>
  <si>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</si>
  <si>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</si>
  <si>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</si>
  <si>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</si>
  <si>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</si>
  <si>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</si>
  <si>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</si>
  <si>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</si>
  <si>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</si>
  <si>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</si>
  <si>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</si>
  <si>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</si>
  <si>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</si>
  <si>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</si>
  <si>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</si>
  <si>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</si>
  <si>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</si>
  <si>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</si>
  <si>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</si>
  <si>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</si>
  <si>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</si>
  <si>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</si>
  <si>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</si>
  <si>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</si>
  <si>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</si>
  <si>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</si>
  <si>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</si>
  <si>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</si>
  <si>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</si>
  <si>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</si>
  <si>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</si>
  <si>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</si>
  <si>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</si>
  <si>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</si>
  <si>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</si>
  <si>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</si>
  <si>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</si>
  <si>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</si>
  <si>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</si>
  <si>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</si>
  <si>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</si>
  <si>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</si>
  <si>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</si>
  <si>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</si>
  <si>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</si>
  <si>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</si>
  <si>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</si>
  <si>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</si>
  <si>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</si>
  <si>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</si>
  <si>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</si>
  <si>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</si>
  <si>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</si>
  <si>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</si>
  <si>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</si>
  <si>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</si>
  <si>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</si>
  <si>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</si>
  <si>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</si>
  <si>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</si>
  <si>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</si>
  <si>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</si>
  <si>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</si>
  <si>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</si>
  <si>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</si>
  <si>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</si>
  <si>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</si>
  <si>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</si>
  <si>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</si>
  <si>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</si>
  <si>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</si>
  <si>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</si>
  <si>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</si>
  <si>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</si>
  <si>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</si>
  <si>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</si>
  <si>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</si>
  <si>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</si>
  <si>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</si>
  <si>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</si>
  <si>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</si>
  <si>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</si>
  <si>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</si>
  <si>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</si>
  <si>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</si>
  <si>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</si>
  <si>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</si>
  <si>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</si>
  <si>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</si>
  <si>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</si>
  <si>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</si>
  <si>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</si>
  <si>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</si>
  <si>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</si>
  <si>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</si>
  <si>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</si>
  <si>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</si>
  <si>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</si>
  <si>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</si>
  <si>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</si>
  <si>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</si>
  <si>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</si>
  <si>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</si>
  <si>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</si>
  <si>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</si>
  <si>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</si>
  <si>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</si>
  <si>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</si>
  <si>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</si>
  <si>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</si>
  <si>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</si>
  <si>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</si>
  <si>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</si>
  <si>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</si>
  <si>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</si>
  <si>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</si>
  <si>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</si>
  <si>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</si>
  <si>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</si>
  <si>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</si>
  <si>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</si>
  <si>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</si>
  <si>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</si>
  <si>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</si>
  <si>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</si>
  <si>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</si>
  <si>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</si>
  <si>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</si>
  <si>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</si>
  <si>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</si>
  <si>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</si>
  <si>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</si>
  <si>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</si>
  <si>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</si>
  <si>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</si>
  <si>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</si>
  <si>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</si>
  <si>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</si>
  <si>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</si>
  <si>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</si>
  <si>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</si>
  <si>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</si>
  <si>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</si>
  <si>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</si>
  <si>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</si>
  <si>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</si>
  <si>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</si>
  <si>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</si>
  <si>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</si>
  <si>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</si>
  <si>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</si>
  <si>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</si>
  <si>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</si>
  <si>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</si>
  <si>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</si>
  <si>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</si>
  <si>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</si>
  <si>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</si>
  <si>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</si>
  <si>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</si>
  <si>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</si>
  <si>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</si>
  <si>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</si>
  <si>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</si>
  <si>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</si>
  <si>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</si>
  <si>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</si>
  <si>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</si>
  <si>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</si>
  <si>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</si>
  <si>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</si>
  <si>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</si>
  <si>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</si>
  <si>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</si>
  <si>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</si>
  <si>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</si>
  <si>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</si>
  <si>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</si>
  <si>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</si>
  <si>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</si>
  <si>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</si>
  <si>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</si>
  <si>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</si>
  <si>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</si>
  <si>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</si>
  <si>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</si>
  <si>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</si>
  <si>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</si>
  <si>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</si>
  <si>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</si>
  <si>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</si>
  <si>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</si>
  <si>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</si>
  <si>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</si>
  <si>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</si>
  <si>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</si>
  <si>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</si>
  <si>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</si>
  <si>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</si>
  <si>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</si>
  <si>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</si>
  <si>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</si>
  <si>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</si>
  <si>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</si>
  <si>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</si>
  <si>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</si>
  <si>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</si>
  <si>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</si>
  <si>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</si>
  <si>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</si>
  <si>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</si>
  <si>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</si>
  <si>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</si>
  <si>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</si>
  <si>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</si>
  <si>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</si>
  <si>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</si>
  <si>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</si>
  <si>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</si>
  <si>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</si>
  <si>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</si>
  <si>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</si>
  <si>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</si>
  <si>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</si>
  <si>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</si>
  <si>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</si>
  <si>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</si>
  <si>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</si>
  <si>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</si>
  <si>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</si>
  <si>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</si>
  <si>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</si>
  <si>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</si>
  <si>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</si>
  <si>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</si>
  <si>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</si>
  <si>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</si>
  <si>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</si>
  <si>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</si>
  <si>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</si>
  <si>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</si>
  <si>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</si>
  <si>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</si>
  <si>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</si>
  <si>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</si>
  <si>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</si>
  <si>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</si>
  <si>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</si>
  <si>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</si>
  <si>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</si>
  <si>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</si>
  <si>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</si>
  <si>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</si>
  <si>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</si>
  <si>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</si>
  <si>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</si>
  <si>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</si>
  <si>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</si>
  <si>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</si>
  <si>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</si>
  <si>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</si>
  <si>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</si>
  <si>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</si>
  <si>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</si>
  <si>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</si>
  <si>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</si>
  <si>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</si>
  <si>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</si>
  <si>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</si>
  <si>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</si>
  <si>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</si>
  <si>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</si>
  <si>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</si>
  <si>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</si>
  <si>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</si>
  <si>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</si>
  <si>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</si>
  <si>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</si>
  <si>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</si>
  <si>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</si>
  <si>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</si>
  <si>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</si>
  <si>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</si>
  <si>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</si>
  <si>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</si>
  <si>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</si>
  <si>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</si>
  <si>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</si>
  <si>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</si>
  <si>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</si>
  <si>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</si>
  <si>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</si>
  <si>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</si>
  <si>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</si>
  <si>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</si>
  <si>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</si>
  <si>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</si>
  <si>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</si>
  <si>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</si>
  <si>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</si>
  <si>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</si>
  <si>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</si>
  <si>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</si>
  <si>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</si>
  <si>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</si>
  <si>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</si>
  <si>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</si>
  <si>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</si>
  <si>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</si>
  <si>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</si>
  <si>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</si>
  <si>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</si>
  <si>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</si>
  <si>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</si>
  <si>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</si>
  <si>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</si>
  <si>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</si>
  <si>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</si>
  <si>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</si>
  <si>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</si>
  <si>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</si>
  <si>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</si>
  <si>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</si>
  <si>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</si>
  <si>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</si>
  <si>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</si>
  <si>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</si>
  <si>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</si>
  <si>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</si>
  <si>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</si>
  <si>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</si>
  <si>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</si>
  <si>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</si>
  <si>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</si>
  <si>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</si>
  <si>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</si>
  <si>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</si>
  <si>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</si>
  <si>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</si>
  <si>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</si>
  <si>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</si>
  <si>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</si>
  <si>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</si>
  <si>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</si>
  <si>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</si>
  <si>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</si>
  <si>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</si>
  <si>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</si>
  <si>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</si>
  <si>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</si>
  <si>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</si>
  <si>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</si>
  <si>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</si>
  <si>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</si>
  <si>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</si>
  <si>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</si>
  <si>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</si>
  <si>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</si>
  <si>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</si>
  <si>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</si>
  <si>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</si>
  <si>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</si>
  <si>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</si>
  <si>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</si>
  <si>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</si>
  <si>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</si>
  <si>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</si>
  <si>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</si>
  <si>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</si>
  <si>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</si>
  <si>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</si>
  <si>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</si>
  <si>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</si>
  <si>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</si>
  <si>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</si>
  <si>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</si>
  <si>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</si>
  <si>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</si>
  <si>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</si>
  <si>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</si>
  <si>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</si>
  <si>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</si>
  <si>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</si>
  <si>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</si>
  <si>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</si>
  <si>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</si>
  <si>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</si>
  <si>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</si>
  <si>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</si>
  <si>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</si>
  <si>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</si>
  <si>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</si>
  <si>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</si>
  <si>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</si>
  <si>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</si>
  <si>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</si>
  <si>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</si>
  <si>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</si>
  <si>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</si>
  <si>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</si>
  <si>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</si>
  <si>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</si>
  <si>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</si>
  <si>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</si>
  <si>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</si>
  <si>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</si>
  <si>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</si>
  <si>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</si>
  <si>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</si>
  <si>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</si>
  <si>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</si>
  <si>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</si>
  <si>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</si>
  <si>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</si>
  <si>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</si>
  <si>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</si>
  <si>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</si>
  <si>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</si>
  <si>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</si>
  <si>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</si>
  <si>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</si>
  <si>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</si>
  <si>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</si>
  <si>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</si>
  <si>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</si>
  <si>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</si>
  <si>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</si>
  <si>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</si>
  <si>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</si>
  <si>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</si>
  <si>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</si>
  <si>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</si>
  <si>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</si>
  <si>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</si>
  <si>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</si>
  <si>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</si>
  <si>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</si>
  <si>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</si>
  <si>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</si>
  <si>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</si>
  <si>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</si>
  <si>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</si>
  <si>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</si>
  <si>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</si>
  <si>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</si>
  <si>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</si>
  <si>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</si>
  <si>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</si>
  <si>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</si>
  <si>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</si>
  <si>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</si>
  <si>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</si>
  <si>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</si>
  <si>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</si>
  <si>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</si>
  <si>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</si>
  <si>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</si>
  <si>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</si>
  <si>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</si>
  <si>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</si>
  <si>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</si>
  <si>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</si>
  <si>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</si>
  <si>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</si>
  <si>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</si>
  <si>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</si>
  <si>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</si>
  <si>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</si>
  <si>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</si>
  <si>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</si>
  <si>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</si>
  <si>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</si>
  <si>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</si>
  <si>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</si>
  <si>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</si>
  <si>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</si>
  <si>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</si>
  <si>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</si>
  <si>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</si>
  <si>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</si>
  <si>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</si>
  <si>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</si>
  <si>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</si>
  <si>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</si>
  <si>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</si>
  <si>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</si>
  <si>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</si>
  <si>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</si>
  <si>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</si>
  <si>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</si>
  <si>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</si>
  <si>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</si>
  <si>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</si>
  <si>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</si>
  <si>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</si>
  <si>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</si>
  <si>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</si>
  <si>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</si>
  <si>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</si>
  <si>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</si>
  <si>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</si>
  <si>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</si>
  <si>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</si>
  <si>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</si>
  <si>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</si>
  <si>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</si>
  <si>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</si>
  <si>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</si>
  <si>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</si>
  <si>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</si>
  <si>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</si>
  <si>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</si>
  <si>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</si>
  <si>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</si>
  <si>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</si>
  <si>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</si>
  <si>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</si>
  <si>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</si>
  <si>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</si>
  <si>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</si>
  <si>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</si>
  <si>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</si>
  <si>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</si>
  <si>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</si>
  <si>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</si>
  <si>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</si>
  <si>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</si>
  <si>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</si>
  <si>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</si>
  <si>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</si>
  <si>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</si>
  <si>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</si>
  <si>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</si>
  <si>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</si>
  <si>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</si>
  <si>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</si>
  <si>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</si>
  <si>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</si>
  <si>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</si>
  <si>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</si>
  <si>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</si>
  <si>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</si>
  <si>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</si>
  <si>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</si>
  <si>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</si>
  <si>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</si>
  <si>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</si>
  <si>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</si>
  <si>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</si>
  <si>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</si>
  <si>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</si>
  <si>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</si>
  <si>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</si>
  <si>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</si>
  <si>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</si>
  <si>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</si>
  <si>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</si>
  <si>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</si>
  <si>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</si>
  <si>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</si>
  <si>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</si>
  <si>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</si>
  <si>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</si>
  <si>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</si>
  <si>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</si>
  <si>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</si>
  <si>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</si>
  <si>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</si>
  <si>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</si>
  <si>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</si>
  <si>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</si>
  <si>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</si>
  <si>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</si>
  <si>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</si>
  <si>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</si>
  <si>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</si>
  <si>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</si>
  <si>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</si>
  <si>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</si>
  <si>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</si>
  <si>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</si>
  <si>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</si>
  <si>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</si>
  <si>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</si>
  <si>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</si>
  <si>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</si>
  <si>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</si>
  <si>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</si>
  <si>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</si>
  <si>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</si>
  <si>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</si>
  <si>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</si>
  <si>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</si>
  <si>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</si>
  <si>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</si>
  <si>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</si>
  <si>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</si>
  <si>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</si>
  <si>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</si>
  <si>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</si>
  <si>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</si>
  <si>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</si>
  <si>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</si>
  <si>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</si>
  <si>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</si>
  <si>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</si>
  <si>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</si>
  <si>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</si>
  <si>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</si>
  <si>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</si>
  <si>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</si>
  <si>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</si>
  <si>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</si>
  <si>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</si>
  <si>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</si>
  <si>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</si>
  <si>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</si>
  <si>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</si>
  <si>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</si>
  <si>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</si>
  <si>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</si>
  <si>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</si>
  <si>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</si>
  <si>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</si>
  <si>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</si>
  <si>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</si>
  <si>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</si>
  <si>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</si>
  <si>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</si>
  <si>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</si>
  <si>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</si>
  <si>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</si>
  <si>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</si>
  <si>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</si>
  <si>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</si>
  <si>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</si>
  <si>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</si>
  <si>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</si>
  <si>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</si>
  <si>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</si>
  <si>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</si>
  <si>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</si>
  <si>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</si>
  <si>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</si>
  <si>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</si>
  <si>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</si>
  <si>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</si>
  <si>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</si>
  <si>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</si>
  <si>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</si>
  <si>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</si>
  <si>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</si>
  <si>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</si>
  <si>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</si>
  <si>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</si>
  <si>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</si>
  <si>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</si>
  <si>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</si>
  <si>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</si>
  <si>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</si>
  <si>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</si>
  <si>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</si>
  <si>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</si>
  <si>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</si>
  <si>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</si>
  <si>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</si>
  <si>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</si>
  <si>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</si>
  <si>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</si>
  <si>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</si>
  <si>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</si>
  <si>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</si>
  <si>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</si>
  <si>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</si>
  <si>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</si>
  <si>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</si>
  <si>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</si>
  <si>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</si>
  <si>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</si>
  <si>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</si>
  <si>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</si>
  <si>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</si>
  <si>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</si>
  <si>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</si>
  <si>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</si>
  <si>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</si>
  <si>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</si>
  <si>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</si>
  <si>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</si>
  <si>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</si>
  <si>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</si>
  <si>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</si>
  <si>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</si>
  <si>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</si>
  <si>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</si>
  <si>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</si>
  <si>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</si>
  <si>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</si>
  <si>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</si>
  <si>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</si>
  <si>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</si>
  <si>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</si>
  <si>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</si>
  <si>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</si>
  <si>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</si>
  <si>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</si>
  <si>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</si>
  <si>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</si>
  <si>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</si>
  <si>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</si>
  <si>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</si>
  <si>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</si>
  <si>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</si>
  <si>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</si>
  <si>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</si>
  <si>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</si>
  <si>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</si>
  <si>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</si>
  <si>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</si>
  <si>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</si>
  <si>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</si>
  <si>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</si>
  <si>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</si>
  <si>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</si>
  <si>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</si>
  <si>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</si>
  <si>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</si>
  <si>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</si>
  <si>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</si>
  <si>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</si>
  <si>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</si>
  <si>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</si>
  <si>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</si>
  <si>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</si>
  <si>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</si>
  <si>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</si>
  <si>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</si>
  <si>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</si>
  <si>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</si>
  <si>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</si>
  <si>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</si>
  <si>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</si>
  <si>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</si>
  <si>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</si>
  <si>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</si>
  <si>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</si>
  <si>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</si>
  <si>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</si>
  <si>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</si>
  <si>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</si>
  <si>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</si>
  <si>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</si>
  <si>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</si>
  <si>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</si>
  <si>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</si>
  <si>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</si>
  <si>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</si>
  <si>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</si>
  <si>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</si>
  <si>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</si>
  <si>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</si>
  <si>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</si>
  <si>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</si>
  <si>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</si>
  <si>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</si>
  <si>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</si>
  <si>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</si>
  <si>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</si>
  <si>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</si>
  <si>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</si>
  <si>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</si>
  <si>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</si>
  <si>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</si>
  <si>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</si>
  <si>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</si>
  <si>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</si>
  <si>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</si>
  <si>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</si>
  <si>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</si>
  <si>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</si>
  <si>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</si>
  <si>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</si>
  <si>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</si>
  <si>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</si>
  <si>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</si>
  <si>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</si>
  <si>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</si>
  <si>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</si>
  <si>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</si>
  <si>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</si>
  <si>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</si>
  <si>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</si>
  <si>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</si>
  <si>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</si>
  <si>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</si>
  <si>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</si>
  <si>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</si>
  <si>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</si>
  <si>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</si>
  <si>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</si>
  <si>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</si>
  <si>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</si>
  <si>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</si>
  <si>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</si>
  <si>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</si>
  <si>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</si>
  <si>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</si>
  <si>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</si>
  <si>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</si>
  <si>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</si>
  <si>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</si>
  <si>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</si>
  <si>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</si>
  <si>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</si>
  <si>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</si>
  <si>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</si>
  <si>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</si>
  <si>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</si>
  <si>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</si>
  <si>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</si>
  <si>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</si>
  <si>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</si>
  <si>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</si>
  <si>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</si>
  <si>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</si>
  <si>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</si>
  <si>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</si>
  <si>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</si>
  <si>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</si>
  <si>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</si>
  <si>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</si>
  <si>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</si>
  <si>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</si>
  <si>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</si>
  <si>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</si>
  <si>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</si>
  <si>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</si>
  <si>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</si>
  <si>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</si>
  <si>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</si>
  <si>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</si>
  <si>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</si>
  <si>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</si>
  <si>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</si>
  <si>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</si>
  <si>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</si>
  <si>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</si>
  <si>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</si>
  <si>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</si>
  <si>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</si>
  <si>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</si>
  <si>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</si>
  <si>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</si>
  <si>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</si>
  <si>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</si>
  <si>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</si>
  <si>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</si>
  <si>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</si>
  <si>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</si>
  <si>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</si>
  <si>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</si>
  <si>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</si>
  <si>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</si>
  <si>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</si>
  <si>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</si>
  <si>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</si>
  <si>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</si>
  <si>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</si>
  <si>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</si>
  <si>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</si>
  <si>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</si>
  <si>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</si>
  <si>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</si>
  <si>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</si>
  <si>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</si>
  <si>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</si>
  <si>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</si>
  <si>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</si>
  <si>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</si>
  <si>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</si>
  <si>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</si>
  <si>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</si>
  <si>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</si>
  <si>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</si>
  <si>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</si>
  <si>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</si>
  <si>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</si>
  <si>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</si>
  <si>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</si>
  <si>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</si>
  <si>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</si>
  <si>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</si>
  <si>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</si>
  <si>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</si>
  <si>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</si>
  <si>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</si>
  <si>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</si>
  <si>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</si>
  <si>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</si>
  <si>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</si>
  <si>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</si>
  <si>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</si>
  <si>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</si>
  <si>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</si>
  <si>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</si>
  <si>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</si>
  <si>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</si>
  <si>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</si>
  <si>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</si>
  <si>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</si>
  <si>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</si>
  <si>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</si>
  <si>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</si>
  <si>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</si>
  <si>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</si>
  <si>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</si>
  <si>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</si>
  <si>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</si>
  <si>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</si>
  <si>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</si>
  <si>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</si>
  <si>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</si>
  <si>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</si>
  <si>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</si>
  <si>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</si>
  <si>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</si>
  <si>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</si>
  <si>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</si>
  <si>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</si>
  <si>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</si>
  <si>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</si>
  <si>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</si>
  <si>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</si>
  <si>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</si>
  <si>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</si>
  <si>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</si>
  <si>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</si>
  <si>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</si>
  <si>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</si>
  <si>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</si>
  <si>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</si>
  <si>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</si>
  <si>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</si>
  <si>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</si>
  <si>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</si>
  <si>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</si>
  <si>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</si>
  <si>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</si>
  <si>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</si>
  <si>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</si>
  <si>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</si>
  <si>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</si>
  <si>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</si>
  <si>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</si>
  <si>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</si>
  <si>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</si>
  <si>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</si>
  <si>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</si>
  <si>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</si>
  <si>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</si>
  <si>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</si>
  <si>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</si>
  <si>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</si>
  <si>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</si>
  <si>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</si>
  <si>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</si>
  <si>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</si>
  <si>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</si>
  <si>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</si>
  <si>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</si>
  <si>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</si>
  <si>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</si>
  <si>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</si>
  <si>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</si>
  <si>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</si>
  <si>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</si>
  <si>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</si>
  <si>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</si>
  <si>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</si>
  <si>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</si>
  <si>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</si>
  <si>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</si>
  <si>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</si>
  <si>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</si>
  <si>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</si>
  <si>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</si>
  <si>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</si>
  <si>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</si>
  <si>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</si>
  <si>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</si>
  <si>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</si>
  <si>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</si>
  <si>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</si>
  <si>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</si>
  <si>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</si>
  <si>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</si>
  <si>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</si>
  <si>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</si>
  <si>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</si>
  <si>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</si>
  <si>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</si>
  <si>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</si>
  <si>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</si>
  <si>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</si>
  <si>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</si>
  <si>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</si>
  <si>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</si>
  <si>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</si>
  <si>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</si>
  <si>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</si>
  <si>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</si>
  <si>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</si>
  <si>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</si>
  <si>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</si>
  <si>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</si>
  <si>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</si>
  <si>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</si>
  <si>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</si>
  <si>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</si>
  <si>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</si>
  <si>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</si>
  <si>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</si>
  <si>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</si>
  <si>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</si>
  <si>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</si>
  <si>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</si>
  <si>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</si>
  <si>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</si>
  <si>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</si>
  <si>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</si>
  <si>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</si>
  <si>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</si>
  <si>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</si>
  <si>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</si>
  <si>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</si>
  <si>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</si>
  <si>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</si>
  <si>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</si>
  <si>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</si>
  <si>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</si>
  <si>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</si>
  <si>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</si>
  <si>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</si>
  <si>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</si>
  <si>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</si>
  <si>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</si>
  <si>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</si>
  <si>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</si>
  <si>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</si>
  <si>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</si>
  <si>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</si>
  <si>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</si>
  <si>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</si>
  <si>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</si>
  <si>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</si>
  <si>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</si>
  <si>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</si>
  <si>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</si>
  <si>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</si>
  <si>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</si>
  <si>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</si>
  <si>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</si>
  <si>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</si>
  <si>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</si>
  <si>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</si>
  <si>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</si>
  <si>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</si>
  <si>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</si>
  <si>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</si>
  <si>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</si>
  <si>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</si>
  <si>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</si>
  <si>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</si>
  <si>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</si>
  <si>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</si>
  <si>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</si>
  <si>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</si>
  <si>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</si>
  <si>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</si>
  <si>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</si>
  <si>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</si>
  <si>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</si>
  <si>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</si>
  <si>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</si>
  <si>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</si>
  <si>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</si>
  <si>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</si>
  <si>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</si>
  <si>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</si>
  <si>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</si>
  <si>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</si>
  <si>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</si>
  <si>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</si>
  <si>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</si>
  <si>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</si>
  <si>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</si>
  <si>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</si>
  <si>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</si>
  <si>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</si>
  <si>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</si>
  <si>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</si>
  <si>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</si>
  <si>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</si>
  <si>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</si>
  <si>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</si>
  <si>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</si>
  <si>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</si>
  <si>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</si>
  <si>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</si>
  <si>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</si>
  <si>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</si>
  <si>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</si>
  <si>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</si>
  <si>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</si>
  <si>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</si>
  <si>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</si>
  <si>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</si>
  <si>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</si>
  <si>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</si>
  <si>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</si>
  <si>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</si>
  <si>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</si>
  <si>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</si>
  <si>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</si>
  <si>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</si>
  <si>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</si>
  <si>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</si>
  <si>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</si>
  <si>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</si>
  <si>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</si>
  <si>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</si>
  <si>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</si>
  <si>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</si>
  <si>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</si>
  <si>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</si>
  <si>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</si>
  <si>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</si>
  <si>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</si>
  <si>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</si>
  <si>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</si>
  <si>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</si>
  <si>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</si>
  <si>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</si>
  <si>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</si>
  <si>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</si>
  <si>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</si>
  <si>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</si>
  <si>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</si>
  <si>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</si>
  <si>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</si>
  <si>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</si>
  <si>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</si>
  <si>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</si>
  <si>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</si>
  <si>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</si>
  <si>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</si>
  <si>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</si>
  <si>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</si>
  <si>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</si>
  <si>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</si>
  <si>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</si>
  <si>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</si>
  <si>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</si>
  <si>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</si>
  <si>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</si>
  <si>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</si>
  <si>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</si>
  <si>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</si>
  <si>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</si>
  <si>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</si>
  <si>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</si>
  <si>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</si>
  <si>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</si>
  <si>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</si>
  <si>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</si>
  <si>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</si>
  <si>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</si>
  <si>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</si>
  <si>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</si>
  <si>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</si>
  <si>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</si>
  <si>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</si>
  <si>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</si>
  <si>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</si>
  <si>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</si>
  <si>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</si>
  <si>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</si>
  <si>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</si>
  <si>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</si>
  <si>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</si>
  <si>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</si>
  <si>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</si>
  <si>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</si>
  <si>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</si>
  <si>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</si>
  <si>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</si>
  <si>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</si>
  <si>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</si>
  <si>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</si>
  <si>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</si>
  <si>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</si>
  <si>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</si>
  <si>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</si>
  <si>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</si>
  <si>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</si>
  <si>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</si>
  <si>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</si>
  <si>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</si>
  <si>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</si>
  <si>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</si>
  <si>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</si>
  <si>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</si>
  <si>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</si>
  <si>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</si>
  <si>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</si>
  <si>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</si>
  <si>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</si>
  <si>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</si>
  <si>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</si>
  <si>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</si>
  <si>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</si>
  <si>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</si>
  <si>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</si>
  <si>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</si>
  <si>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</si>
  <si>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</si>
  <si>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</si>
  <si>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</si>
  <si>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</si>
  <si>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</si>
  <si>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</si>
  <si>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</si>
  <si>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</si>
  <si>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</si>
  <si>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</si>
  <si>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</si>
  <si>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</si>
  <si>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</si>
  <si>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</si>
  <si>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</si>
  <si>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</si>
  <si>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</si>
  <si>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</si>
  <si>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</si>
  <si>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</si>
  <si>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</si>
  <si>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</si>
  <si>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</si>
  <si>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</si>
  <si>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</si>
  <si>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</si>
  <si>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</si>
  <si>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</si>
  <si>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</si>
  <si>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</si>
  <si>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</si>
  <si>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</si>
  <si>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</si>
  <si>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</si>
  <si>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</si>
  <si>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</si>
  <si>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</si>
  <si>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</si>
  <si>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</si>
  <si>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</si>
  <si>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</si>
  <si>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</si>
  <si>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</si>
  <si>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</si>
  <si>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</si>
  <si>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</si>
  <si>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</si>
  <si>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</si>
  <si>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</si>
  <si>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</si>
  <si>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</si>
  <si>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</si>
  <si>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</si>
  <si>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</si>
  <si>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</si>
  <si>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</si>
  <si>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</si>
  <si>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</si>
  <si>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</si>
  <si>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</si>
  <si>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</si>
  <si>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</si>
  <si>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</si>
  <si>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</si>
  <si>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</si>
  <si>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</si>
  <si>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</si>
  <si>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</si>
  <si>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</si>
  <si>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</si>
  <si>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</si>
  <si>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</si>
  <si>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</si>
  <si>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</si>
  <si>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</si>
  <si>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</si>
  <si>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</si>
  <si>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</si>
  <si>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</si>
  <si>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</si>
  <si>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</si>
  <si>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</si>
  <si>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</si>
  <si>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</si>
  <si>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</si>
  <si>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</si>
  <si>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</si>
  <si>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</si>
  <si>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</si>
  <si>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</si>
  <si>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</si>
  <si>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</si>
  <si>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</si>
  <si>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</si>
  <si>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</si>
  <si>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</si>
  <si>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</si>
  <si>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</si>
  <si>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</si>
  <si>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</si>
  <si>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</si>
  <si>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</si>
  <si>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</si>
  <si>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</si>
  <si>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</si>
  <si>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</si>
  <si>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</si>
  <si>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</si>
  <si>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</si>
  <si>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</si>
  <si>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</si>
  <si>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</si>
  <si>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</si>
  <si>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</si>
  <si>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</si>
  <si>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</si>
  <si>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</si>
  <si>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</si>
  <si>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</si>
  <si>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</si>
  <si>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</si>
  <si>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</si>
  <si>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</si>
  <si>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</si>
  <si>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</si>
  <si>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</si>
  <si>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</si>
  <si>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</si>
  <si>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</si>
  <si>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</si>
  <si>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</si>
  <si>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</si>
  <si>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</si>
  <si>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</si>
  <si>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</si>
  <si>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</si>
  <si>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</si>
  <si>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</si>
  <si>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</si>
  <si>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</si>
  <si>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</si>
  <si>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</si>
  <si>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</si>
  <si>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</si>
  <si>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</si>
  <si>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</si>
  <si>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</si>
  <si>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</si>
  <si>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</si>
  <si>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</si>
  <si>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</si>
  <si>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</si>
  <si>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</si>
  <si>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</si>
  <si>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</si>
  <si>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</si>
  <si>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</si>
  <si>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</si>
  <si>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</si>
  <si>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</si>
  <si>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</si>
  <si>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</si>
  <si>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</si>
  <si>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</si>
  <si>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</si>
  <si>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</si>
  <si>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</si>
  <si>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</si>
  <si>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</si>
  <si>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</si>
  <si>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</si>
  <si>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</si>
  <si>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</si>
  <si>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</si>
  <si>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</si>
  <si>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</si>
  <si>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</si>
  <si>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</si>
  <si>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</si>
  <si>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</si>
  <si>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</si>
  <si>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</si>
  <si>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</si>
  <si>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</si>
  <si>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</si>
  <si>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</si>
  <si>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</si>
  <si>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</si>
  <si>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</si>
  <si>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</si>
  <si>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</si>
  <si>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</si>
  <si>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</si>
  <si>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</si>
  <si>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</si>
  <si>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</si>
  <si>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</si>
  <si>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</si>
  <si>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</si>
  <si>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</si>
  <si>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</si>
  <si>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</si>
  <si>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</si>
  <si>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</si>
  <si>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</si>
  <si>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</si>
  <si>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</si>
  <si>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</si>
  <si>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</si>
  <si>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</si>
  <si>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</si>
  <si>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</si>
  <si>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</si>
  <si>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</si>
  <si>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</si>
  <si>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</si>
  <si>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</si>
  <si>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</si>
  <si>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</si>
  <si>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</si>
  <si>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</si>
  <si>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</si>
  <si>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</si>
  <si>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</si>
  <si>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</si>
  <si>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</si>
  <si>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</si>
  <si>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</si>
  <si>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</si>
  <si>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</si>
  <si>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</si>
  <si>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</si>
  <si>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</si>
  <si>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</si>
  <si>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</si>
  <si>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</si>
  <si>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</si>
  <si>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</si>
  <si>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</si>
  <si>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</si>
  <si>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</si>
  <si>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</si>
  <si>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</si>
  <si>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</si>
  <si>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</si>
  <si>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</si>
  <si>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</si>
  <si>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</si>
  <si>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</si>
  <si>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</si>
  <si>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</si>
  <si>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</si>
  <si>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</si>
  <si>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</si>
  <si>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</si>
  <si>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</si>
  <si>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</si>
  <si>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</si>
  <si>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</si>
  <si>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</si>
  <si>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</si>
  <si>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</si>
  <si>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</si>
  <si>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</si>
  <si>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</si>
  <si>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</si>
  <si>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</si>
  <si>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</si>
  <si>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</si>
  <si>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</si>
  <si>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</si>
  <si>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</si>
  <si>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</si>
  <si>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</si>
  <si>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</si>
  <si>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</si>
  <si>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</si>
  <si>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</si>
  <si>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</si>
  <si>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</si>
  <si>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</si>
  <si>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</si>
  <si>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</si>
  <si>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</si>
  <si>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</si>
  <si>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</si>
  <si>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</si>
  <si>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</si>
  <si>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</si>
  <si>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</si>
  <si>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</si>
  <si>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</si>
  <si>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</si>
  <si>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</si>
  <si>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</si>
  <si>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</si>
  <si>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</si>
  <si>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</si>
  <si>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</si>
  <si>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</si>
  <si>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</si>
  <si>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</si>
  <si>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</si>
  <si>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</si>
  <si>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</si>
  <si>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</si>
  <si>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</si>
  <si>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</si>
  <si>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</si>
  <si>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</si>
  <si>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</si>
  <si>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</si>
  <si>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</si>
  <si>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</si>
  <si>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</si>
  <si>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</si>
  <si>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</si>
  <si>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</si>
  <si>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</si>
  <si>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</si>
  <si>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</si>
  <si>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</si>
  <si>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</si>
  <si>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</si>
  <si>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</si>
  <si>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</si>
  <si>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</si>
  <si>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</si>
  <si>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</si>
  <si>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</si>
  <si>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</si>
  <si>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</si>
  <si>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</si>
  <si>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</si>
  <si>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</si>
  <si>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</si>
  <si>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</si>
  <si>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</si>
  <si>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</si>
  <si>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</si>
  <si>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</si>
  <si>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</si>
  <si>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</si>
  <si>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</si>
  <si>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</si>
  <si>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</si>
  <si>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</si>
  <si>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</si>
  <si>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</si>
  <si>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</si>
  <si>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</si>
  <si>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</si>
  <si>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</si>
  <si>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</si>
  <si>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</si>
  <si>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</si>
  <si>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</si>
  <si>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</si>
  <si>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</si>
  <si>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</si>
  <si>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</si>
  <si>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</si>
  <si>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</si>
  <si>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</si>
  <si>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</si>
  <si>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</si>
  <si>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</si>
  <si>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</si>
  <si>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</si>
  <si>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</si>
  <si>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</si>
  <si>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</si>
  <si>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</si>
  <si>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</si>
  <si>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</si>
  <si>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</si>
  <si>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</si>
  <si>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</si>
  <si>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</si>
  <si>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</si>
  <si>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</si>
  <si>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</si>
  <si>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</si>
  <si>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</si>
  <si>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</si>
  <si>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</si>
  <si>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</si>
  <si>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</si>
  <si>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</si>
  <si>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</si>
  <si>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</si>
  <si>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</si>
  <si>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</si>
  <si>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</si>
  <si>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</si>
  <si>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</si>
  <si>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</si>
  <si>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</si>
  <si>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</si>
  <si>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</si>
  <si>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</si>
  <si>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</si>
  <si>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</si>
  <si>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</si>
  <si>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</si>
  <si>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</si>
  <si>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</si>
  <si>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</si>
  <si>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</si>
  <si>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</si>
  <si>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</si>
  <si>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</si>
  <si>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</si>
  <si>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</si>
  <si>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</si>
  <si>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</si>
  <si>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</si>
  <si>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</si>
  <si>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</si>
  <si>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</si>
  <si>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</si>
  <si>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</si>
  <si>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</si>
  <si>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</si>
  <si>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</si>
  <si>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</si>
  <si>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</si>
  <si>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</si>
  <si>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</si>
  <si>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</si>
  <si>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</si>
  <si>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</si>
  <si>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</si>
  <si>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</si>
  <si>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</si>
  <si>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</si>
  <si>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</si>
  <si>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</si>
  <si>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</si>
  <si>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</si>
  <si>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</si>
  <si>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</si>
  <si>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</si>
  <si>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</si>
  <si>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</si>
  <si>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</si>
  <si>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</si>
  <si>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</si>
  <si>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</si>
  <si>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</si>
  <si>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</si>
  <si>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</si>
  <si>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</si>
  <si>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</si>
  <si>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</si>
  <si>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</si>
  <si>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</si>
  <si>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</si>
  <si>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</si>
  <si>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</si>
  <si>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</si>
  <si>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</si>
  <si>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</si>
  <si>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</si>
  <si>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</si>
  <si>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</si>
  <si>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</si>
  <si>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</si>
  <si>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</si>
  <si>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</si>
  <si>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</si>
  <si>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</si>
  <si>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</si>
  <si>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</si>
  <si>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</si>
  <si>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</si>
  <si>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</si>
  <si>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</si>
  <si>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</si>
  <si>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</si>
  <si>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</si>
  <si>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</si>
  <si>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</si>
  <si>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</si>
  <si>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</si>
  <si>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</si>
  <si>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</si>
  <si>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</si>
  <si>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</si>
  <si>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</si>
  <si>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</si>
  <si>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</si>
  <si>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</si>
  <si>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</si>
  <si>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</si>
  <si>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</si>
  <si>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</si>
  <si>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</si>
  <si>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</si>
  <si>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</si>
  <si>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</si>
  <si>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</si>
  <si>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</si>
  <si>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</si>
  <si>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</si>
  <si>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</si>
  <si>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</si>
  <si>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</si>
  <si>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</si>
  <si>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</si>
  <si>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</si>
  <si>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</si>
  <si>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</si>
  <si>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</si>
  <si>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</si>
  <si>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</si>
  <si>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</si>
  <si>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</si>
  <si>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</si>
  <si>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</si>
  <si>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</si>
  <si>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</si>
  <si>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</si>
  <si>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</si>
  <si>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</si>
  <si>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</si>
  <si>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</si>
  <si>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</si>
  <si>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</si>
  <si>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</si>
  <si>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</si>
  <si>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</si>
  <si>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</si>
  <si>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</si>
  <si>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</si>
  <si>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</si>
  <si>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</si>
  <si>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</si>
  <si>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</si>
  <si>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</si>
  <si>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</si>
  <si>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</si>
  <si>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</si>
  <si>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</si>
  <si>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</si>
  <si>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</si>
  <si>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</si>
  <si>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</si>
  <si>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</si>
  <si>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</si>
  <si>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</si>
  <si>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</si>
  <si>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</si>
  <si>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</si>
  <si>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</si>
  <si>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</si>
  <si>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</si>
  <si>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</si>
  <si>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</si>
  <si>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</si>
  <si>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</si>
  <si>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</si>
  <si>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</si>
  <si>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</si>
  <si>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</si>
  <si>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</si>
  <si>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</si>
  <si>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</si>
  <si>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</si>
  <si>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</si>
  <si>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</si>
  <si>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</si>
  <si>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</si>
  <si>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</si>
  <si>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</si>
  <si>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</si>
  <si>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</si>
  <si>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</si>
  <si>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</si>
  <si>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</si>
  <si>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</si>
  <si>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</si>
  <si>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</si>
  <si>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</si>
  <si>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</si>
  <si>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</si>
  <si>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</si>
  <si>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</si>
  <si>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</si>
  <si>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</si>
  <si>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</si>
  <si>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</si>
  <si>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</si>
  <si>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</si>
  <si>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</si>
  <si>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</si>
  <si>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</si>
  <si>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</si>
  <si>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</si>
  <si>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</si>
  <si>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</si>
  <si>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</si>
  <si>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</si>
  <si>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</si>
  <si>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</si>
  <si>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</si>
  <si>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</si>
  <si>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</si>
  <si>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</si>
  <si>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</si>
  <si>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</si>
  <si>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</si>
  <si>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</si>
  <si>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</si>
  <si>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</si>
  <si>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</si>
  <si>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</si>
  <si>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</si>
  <si>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</si>
  <si>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</si>
  <si>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</si>
  <si>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</si>
  <si>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</si>
  <si>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</si>
  <si>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</si>
  <si>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</si>
  <si>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</si>
  <si>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</si>
  <si>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</si>
  <si>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</si>
  <si>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</si>
  <si>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</si>
  <si>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</si>
  <si>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</si>
  <si>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</si>
  <si>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</si>
  <si>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</si>
  <si>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</si>
  <si>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</si>
  <si>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</si>
  <si>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</si>
  <si>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</si>
  <si>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</si>
  <si>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</si>
  <si>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</si>
  <si>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</si>
  <si>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</si>
  <si>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</si>
  <si>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</si>
  <si>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</si>
  <si>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</si>
  <si>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</si>
  <si>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</si>
  <si>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</si>
  <si>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</si>
  <si>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</si>
  <si>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</si>
  <si>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</si>
  <si>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</si>
  <si>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</si>
  <si>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</si>
  <si>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</si>
  <si>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</si>
  <si>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</si>
  <si>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</si>
  <si>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</si>
  <si>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</si>
  <si>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</si>
  <si>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</si>
  <si>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</si>
  <si>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</si>
  <si>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</si>
  <si>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</si>
  <si>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</si>
  <si>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</si>
  <si>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</si>
  <si>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</si>
  <si>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</si>
  <si>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</si>
  <si>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</si>
  <si>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</si>
  <si>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</si>
  <si>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</si>
  <si>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</si>
  <si>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</si>
  <si>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</si>
  <si>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</si>
  <si>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</si>
  <si>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</si>
  <si>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</si>
  <si>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</si>
  <si>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</si>
  <si>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</si>
  <si>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</si>
  <si>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</si>
  <si>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</si>
  <si>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</si>
  <si>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</si>
  <si>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</si>
  <si>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</si>
  <si>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</si>
  <si>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</si>
  <si>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</si>
  <si>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</si>
  <si>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</si>
  <si>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</si>
  <si>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</si>
  <si>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</si>
  <si>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</si>
  <si>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</si>
  <si>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</si>
  <si>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</si>
  <si>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</si>
  <si>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</si>
  <si>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</si>
  <si>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</si>
  <si>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</si>
  <si>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</si>
  <si>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</si>
  <si>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</si>
  <si>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</si>
  <si>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</si>
  <si>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</si>
  <si>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</si>
  <si>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</si>
  <si>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</si>
  <si>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</si>
  <si>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</si>
  <si>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</si>
  <si>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</si>
  <si>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</si>
  <si>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</si>
  <si>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</si>
  <si>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</si>
  <si>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</si>
  <si>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</si>
  <si>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</si>
  <si>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</si>
  <si>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</si>
  <si>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</si>
  <si>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</si>
  <si>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</si>
  <si>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</si>
  <si>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</si>
  <si>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</si>
  <si>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</si>
  <si>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</si>
  <si>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</si>
  <si>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</si>
  <si>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</si>
  <si>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</si>
  <si>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</si>
  <si>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</si>
  <si>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</si>
  <si>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</si>
  <si>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</si>
  <si>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</si>
  <si>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</si>
  <si>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</si>
  <si>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</si>
  <si>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</si>
  <si>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</si>
  <si>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</si>
  <si>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</si>
  <si>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</si>
  <si>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</si>
  <si>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</si>
  <si>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</si>
  <si>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</si>
  <si>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</si>
  <si>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</si>
  <si>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</si>
  <si>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</si>
  <si>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</si>
  <si>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</si>
  <si>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</si>
  <si>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</si>
  <si>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</si>
  <si>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</si>
  <si>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</si>
  <si>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</si>
  <si>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</si>
  <si>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</si>
  <si>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</si>
  <si>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</si>
  <si>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</si>
  <si>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</si>
  <si>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</si>
  <si>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</si>
  <si>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</si>
  <si>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</si>
  <si>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</si>
  <si>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</si>
  <si>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</si>
  <si>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</si>
  <si>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</si>
  <si>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</si>
  <si>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</si>
  <si>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</si>
  <si>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</si>
  <si>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</si>
  <si>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</si>
  <si>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</si>
  <si>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</si>
  <si>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</si>
  <si>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</si>
  <si>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</si>
  <si>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</si>
  <si>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</si>
  <si>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</si>
  <si>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</si>
  <si>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</si>
  <si>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</si>
  <si>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</si>
  <si>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</si>
  <si>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</si>
  <si>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</si>
  <si>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</si>
  <si>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</si>
  <si>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</si>
  <si>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</si>
  <si>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</si>
  <si>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</si>
  <si>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</si>
  <si>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</si>
  <si>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</si>
  <si>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</si>
  <si>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</si>
  <si>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</si>
  <si>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</si>
  <si>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</si>
  <si>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</si>
  <si>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</si>
  <si>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</si>
  <si>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</si>
  <si>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</si>
  <si>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</si>
  <si>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</si>
  <si>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</si>
  <si>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</si>
  <si>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</si>
  <si>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</si>
  <si>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</si>
  <si>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</si>
  <si>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</si>
  <si>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</si>
  <si>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</si>
  <si>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</si>
  <si>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</si>
  <si>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</si>
  <si>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</si>
  <si>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</si>
  <si>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</si>
  <si>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</si>
  <si>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</si>
  <si>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</si>
  <si>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</si>
  <si>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</si>
  <si>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</si>
  <si>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</si>
  <si>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</si>
  <si>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</si>
  <si>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</si>
  <si>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</si>
  <si>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</si>
  <si>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</si>
  <si>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</si>
  <si>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</si>
  <si>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</si>
  <si>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</si>
  <si>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</si>
  <si>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</si>
  <si>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</si>
  <si>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</si>
  <si>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</si>
  <si>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</si>
  <si>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</si>
  <si>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</si>
  <si>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</si>
  <si>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</si>
  <si>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</si>
  <si>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</si>
  <si>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</si>
  <si>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</si>
  <si>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</si>
  <si>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</si>
  <si>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</si>
  <si>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</si>
  <si>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</si>
  <si>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</si>
  <si>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</si>
  <si>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</si>
  <si>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</si>
  <si>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</si>
  <si>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</si>
  <si>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</si>
  <si>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</si>
  <si>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</si>
  <si>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</si>
  <si>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</si>
  <si>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</si>
  <si>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</si>
  <si>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</si>
  <si>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</si>
  <si>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</si>
  <si>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</si>
  <si>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</si>
  <si>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</si>
  <si>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</si>
  <si>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</si>
  <si>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</si>
  <si>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</si>
  <si>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</si>
  <si>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</si>
  <si>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</si>
  <si>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</si>
  <si>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</si>
  <si>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</si>
  <si>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</si>
  <si>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</si>
  <si>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</si>
  <si>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</si>
  <si>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</si>
  <si>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</si>
  <si>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</si>
  <si>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</si>
  <si>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</si>
  <si>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</si>
  <si>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</si>
  <si>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</si>
  <si>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</si>
  <si>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</si>
  <si>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</si>
  <si>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</si>
  <si>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</si>
  <si>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</si>
  <si>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</si>
  <si>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</si>
  <si>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</si>
  <si>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</si>
  <si>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</si>
  <si>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</si>
  <si>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</si>
  <si>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</si>
  <si>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</si>
  <si>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</si>
  <si>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</si>
  <si>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</si>
  <si>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</si>
  <si>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</si>
  <si>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</si>
  <si>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</si>
  <si>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</si>
  <si>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</si>
  <si>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</si>
  <si>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</si>
  <si>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</si>
  <si>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</si>
  <si>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</si>
  <si>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</si>
  <si>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</si>
  <si>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</si>
  <si>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</si>
  <si>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</si>
  <si>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</si>
  <si>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</si>
  <si>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</si>
  <si>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</si>
  <si>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</si>
  <si>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</si>
  <si>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</si>
  <si>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</si>
  <si>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</si>
  <si>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</si>
  <si>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</si>
  <si>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</si>
  <si>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</si>
  <si>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</si>
  <si>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</si>
  <si>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</si>
  <si>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</si>
  <si>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</si>
  <si>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</si>
  <si>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</si>
  <si>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</si>
  <si>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</si>
  <si>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</si>
  <si>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</si>
  <si>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</si>
  <si>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</si>
  <si>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</si>
  <si>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</si>
  <si>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</si>
  <si>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</si>
  <si>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</si>
  <si>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</si>
  <si>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</si>
  <si>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</si>
  <si>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</si>
  <si>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</si>
  <si>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</si>
  <si>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</si>
  <si>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</si>
  <si>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</si>
  <si>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</si>
  <si>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</si>
  <si>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</si>
  <si>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</si>
  <si>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</si>
  <si>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</si>
  <si>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</si>
  <si>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</si>
  <si>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</si>
  <si>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</si>
  <si>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</si>
  <si>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</si>
  <si>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</si>
  <si>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</si>
  <si>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</si>
  <si>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</si>
  <si>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</si>
  <si>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</si>
  <si>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</si>
  <si>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</si>
  <si>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</si>
  <si>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</si>
  <si>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</si>
  <si>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</si>
  <si>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</si>
  <si>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</si>
  <si>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</si>
  <si>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</si>
  <si>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</si>
  <si>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</si>
  <si>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</si>
  <si>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</si>
  <si>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</si>
  <si>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</si>
  <si>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</si>
  <si>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</si>
  <si>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</si>
  <si>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</si>
  <si>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</si>
  <si>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</si>
  <si>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</si>
  <si>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</si>
  <si>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</si>
  <si>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</si>
  <si>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</si>
  <si>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</si>
  <si>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</si>
  <si>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</si>
  <si>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</si>
  <si>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</si>
  <si>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</si>
  <si>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</si>
  <si>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</si>
  <si>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</si>
  <si>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</si>
  <si>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</si>
  <si>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</si>
  <si>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</si>
  <si>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</si>
  <si>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</si>
  <si>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</si>
  <si>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</si>
  <si>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</si>
  <si>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</si>
  <si>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</si>
  <si>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</si>
  <si>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</si>
  <si>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</si>
  <si>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</si>
  <si>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</si>
  <si>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</si>
  <si>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</si>
  <si>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</si>
  <si>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</si>
  <si>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</si>
  <si>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</si>
  <si>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</si>
  <si>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</si>
  <si>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</si>
  <si>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</si>
  <si>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</si>
  <si>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</si>
  <si>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</si>
  <si>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</si>
  <si>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</si>
  <si>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</si>
  <si>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</si>
  <si>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</si>
  <si>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</si>
  <si>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</si>
  <si>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</si>
  <si>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</si>
  <si>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</si>
  <si>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</si>
  <si>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</si>
  <si>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</si>
  <si>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</si>
  <si>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</si>
  <si>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</si>
  <si>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</si>
  <si>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</si>
  <si>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</si>
  <si>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</si>
  <si>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</si>
  <si>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</si>
  <si>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</si>
  <si>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</si>
  <si>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</si>
  <si>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</si>
  <si>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</si>
  <si>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</si>
  <si>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</si>
  <si>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</si>
  <si>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</si>
  <si>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</si>
  <si>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</si>
  <si>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</si>
  <si>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</si>
  <si>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</si>
  <si>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</si>
  <si>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</si>
  <si>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</si>
  <si>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</si>
  <si>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</si>
  <si>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</si>
  <si>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</si>
  <si>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</si>
  <si>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</si>
  <si>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</si>
  <si>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</si>
  <si>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</si>
  <si>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</si>
  <si>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</si>
  <si>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</si>
  <si>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</si>
  <si>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</si>
  <si>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</si>
  <si>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</si>
  <si>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</si>
  <si>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</si>
  <si>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</si>
  <si>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</si>
  <si>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</si>
  <si>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</si>
  <si>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</si>
  <si>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</si>
  <si>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</si>
  <si>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</si>
  <si>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</si>
  <si>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</si>
  <si>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</si>
  <si>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</si>
  <si>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</si>
  <si>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</si>
  <si>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</si>
  <si>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</si>
  <si>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</si>
  <si>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</si>
  <si>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</si>
  <si>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</si>
  <si>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</si>
  <si>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</si>
  <si>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</si>
  <si>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</si>
  <si>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</si>
  <si>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</si>
  <si>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</si>
  <si>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</si>
  <si>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</si>
  <si>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</si>
  <si>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</si>
  <si>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</si>
  <si>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</si>
  <si>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</si>
  <si>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</si>
  <si>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</si>
  <si>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</si>
  <si>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</si>
  <si>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</si>
  <si>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</si>
  <si>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</si>
  <si>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</si>
  <si>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</si>
  <si>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</si>
  <si>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</si>
  <si>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</si>
  <si>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</si>
  <si>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</si>
  <si>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</si>
  <si>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</si>
  <si>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</si>
  <si>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</si>
  <si>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</si>
  <si>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</si>
  <si>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</si>
  <si>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</si>
  <si>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</si>
  <si>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</si>
  <si>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</si>
  <si>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</si>
  <si>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</si>
  <si>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</si>
  <si>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</si>
  <si>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</si>
  <si>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</si>
  <si>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</si>
  <si>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</si>
  <si>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</si>
  <si>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</si>
  <si>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</si>
  <si>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</si>
  <si>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</si>
  <si>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</si>
  <si>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</si>
  <si>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</si>
  <si>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</si>
  <si>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</si>
  <si>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</si>
  <si>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</si>
  <si>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</si>
  <si>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</si>
  <si>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</si>
  <si>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</si>
  <si>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</si>
  <si>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</si>
  <si>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</si>
  <si>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</si>
  <si>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</si>
  <si>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</si>
  <si>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</si>
  <si>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</si>
  <si>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</si>
  <si>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</si>
  <si>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</si>
  <si>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</si>
  <si>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</si>
  <si>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</si>
  <si>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</si>
  <si>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</si>
  <si>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</si>
  <si>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</si>
  <si>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</si>
  <si>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</si>
  <si>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</si>
  <si>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</si>
  <si>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</si>
  <si>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</si>
  <si>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</si>
  <si>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</si>
  <si>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</si>
  <si>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</si>
  <si>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</si>
  <si>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</si>
  <si>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</si>
  <si>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</si>
  <si>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</si>
  <si>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</si>
  <si>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</si>
  <si>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</si>
  <si>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</si>
  <si>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</si>
  <si>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</si>
  <si>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</si>
  <si>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</si>
  <si>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</si>
  <si>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</si>
  <si>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</si>
  <si>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</si>
  <si>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</si>
  <si>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</si>
  <si>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</si>
  <si>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</si>
  <si>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</si>
  <si>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</si>
  <si>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</si>
  <si>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</si>
  <si>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</si>
  <si>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</si>
  <si>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</si>
  <si>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</si>
  <si>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</si>
  <si>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</si>
  <si>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</si>
  <si>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</si>
  <si>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</si>
  <si>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</si>
  <si>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</si>
  <si>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</si>
  <si>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</si>
  <si>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</si>
  <si>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</si>
  <si>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</si>
  <si>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</si>
  <si>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</si>
  <si>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</si>
  <si>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</si>
  <si>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</si>
  <si>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</si>
  <si>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</si>
  <si>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</si>
  <si>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</si>
  <si>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</si>
  <si>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</si>
  <si>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</si>
  <si>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</si>
  <si>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</si>
  <si>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</si>
  <si>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</si>
  <si>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</si>
  <si>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</si>
  <si>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</si>
  <si>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</si>
  <si>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</si>
  <si>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</si>
  <si>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</si>
  <si>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</si>
  <si>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</si>
  <si>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</si>
  <si>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</si>
  <si>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</si>
  <si>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</si>
  <si>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</si>
  <si>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</si>
  <si>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</si>
  <si>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</si>
  <si>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</si>
  <si>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</si>
  <si>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</si>
  <si>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</si>
  <si>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</si>
  <si>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</si>
  <si>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</si>
  <si>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</si>
  <si>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</si>
  <si>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</si>
  <si>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</si>
  <si>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</si>
  <si>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</si>
  <si>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</si>
  <si>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</si>
  <si>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</si>
  <si>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</si>
  <si>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</si>
  <si>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</si>
  <si>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</si>
  <si>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</si>
  <si>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</si>
  <si>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</si>
  <si>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</si>
  <si>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</si>
  <si>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</si>
  <si>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</si>
  <si>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</si>
  <si>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</si>
  <si>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</si>
  <si>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</si>
  <si>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</si>
  <si>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</si>
  <si>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</si>
  <si>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</si>
  <si>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</si>
  <si>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</si>
  <si>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</si>
  <si>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</si>
  <si>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</si>
  <si>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</si>
  <si>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</si>
  <si>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</si>
  <si>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</si>
  <si>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</si>
  <si>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</si>
  <si>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</si>
  <si>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</si>
  <si>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</si>
  <si>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</si>
  <si>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</si>
  <si>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</si>
  <si>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</si>
  <si>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</si>
  <si>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</si>
  <si>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</si>
  <si>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</si>
  <si>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</si>
  <si>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</si>
  <si>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</si>
  <si>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</si>
  <si>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</si>
  <si>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</si>
  <si>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</si>
  <si>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</si>
  <si>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</si>
  <si>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</si>
  <si>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</si>
  <si>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</si>
  <si>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</si>
  <si>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</si>
  <si>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</si>
  <si>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</si>
  <si>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</si>
  <si>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</si>
  <si>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</si>
  <si>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</si>
  <si>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</si>
  <si>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</si>
  <si>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</si>
  <si>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</si>
  <si>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</si>
  <si>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</si>
  <si>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</si>
  <si>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</si>
  <si>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</si>
  <si>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</si>
  <si>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</si>
  <si>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</si>
  <si>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</si>
  <si>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</si>
  <si>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</si>
  <si>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</si>
  <si>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</si>
  <si>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</si>
  <si>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</si>
  <si>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</si>
  <si>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</si>
  <si>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</si>
  <si>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</si>
  <si>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</si>
  <si>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</si>
  <si>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</si>
  <si>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</si>
  <si>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</si>
  <si>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</si>
  <si>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</si>
  <si>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</si>
  <si>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</si>
  <si>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</si>
  <si>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</si>
  <si>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</si>
  <si>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</si>
  <si>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</si>
  <si>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</si>
  <si>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</si>
  <si>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</si>
  <si>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</si>
  <si>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</si>
  <si>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</si>
  <si>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</si>
  <si>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</si>
  <si>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</si>
  <si>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</si>
  <si>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</si>
  <si>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</si>
  <si>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</si>
  <si>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</si>
  <si>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</si>
  <si>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</si>
  <si>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</si>
  <si>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</si>
  <si>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</si>
  <si>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</si>
  <si>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</si>
  <si>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</si>
  <si>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</si>
  <si>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</si>
  <si>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</si>
  <si>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</si>
  <si>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</si>
  <si>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</si>
  <si>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</si>
  <si>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</si>
  <si>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</si>
  <si>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</si>
  <si>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</si>
  <si>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</si>
  <si>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</si>
  <si>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</si>
  <si>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</si>
  <si>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</si>
  <si>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</si>
  <si>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</si>
  <si>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</si>
  <si>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</si>
  <si>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</si>
  <si>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</si>
  <si>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</si>
  <si>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</si>
  <si>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</si>
  <si>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</si>
  <si>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</si>
  <si>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</si>
  <si>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</si>
  <si>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</si>
  <si>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</si>
  <si>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</si>
  <si>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</si>
  <si>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</si>
  <si>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</si>
  <si>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</si>
  <si>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</si>
  <si>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</si>
  <si>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</si>
  <si>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</si>
  <si>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</si>
  <si>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</si>
  <si>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</si>
  <si>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</si>
  <si>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</si>
  <si>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</si>
  <si>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</si>
  <si>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</si>
  <si>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</si>
  <si>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</si>
  <si>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</si>
  <si>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</si>
  <si>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</si>
  <si>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</si>
  <si>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</si>
  <si>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</si>
  <si>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</si>
  <si>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</si>
  <si>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</si>
  <si>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</si>
  <si>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</si>
  <si>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</si>
  <si>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</si>
  <si>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</si>
  <si>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</si>
  <si>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</si>
  <si>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</si>
  <si>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</si>
  <si>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</si>
  <si>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</si>
  <si>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</si>
  <si>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</si>
  <si>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</si>
  <si>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</si>
  <si>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</si>
  <si>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</si>
  <si>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</si>
  <si>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</si>
  <si>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</si>
  <si>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</si>
  <si>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</si>
  <si>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</si>
  <si>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</si>
  <si>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</si>
  <si>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</si>
  <si>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</si>
  <si>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</si>
  <si>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</si>
  <si>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</si>
  <si>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</si>
  <si>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</si>
  <si>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</si>
  <si>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</si>
  <si>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</si>
  <si>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</si>
  <si>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</si>
  <si>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</si>
  <si>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</si>
  <si>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</si>
  <si>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</si>
  <si>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</si>
  <si>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</si>
  <si>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</si>
  <si>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</si>
  <si>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</si>
  <si>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</si>
  <si>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</si>
  <si>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</si>
  <si>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</si>
  <si>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</si>
  <si>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</si>
  <si>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</si>
  <si>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</si>
  <si>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</si>
  <si>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</si>
  <si>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</si>
  <si>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</si>
  <si>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</si>
  <si>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</si>
  <si>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</si>
  <si>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</si>
  <si>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</si>
  <si>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</si>
  <si>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</si>
  <si>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</si>
  <si>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</si>
  <si>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</si>
  <si>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</si>
  <si>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</si>
  <si>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</si>
  <si>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</si>
  <si>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</si>
  <si>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</si>
  <si>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</si>
  <si>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</si>
  <si>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</si>
  <si>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</si>
  <si>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</si>
  <si>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</si>
  <si>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</si>
  <si>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</si>
  <si>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</si>
  <si>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</si>
  <si>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</si>
  <si>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</si>
  <si>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</si>
  <si>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</si>
  <si>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</si>
  <si>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</si>
  <si>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</si>
  <si>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</si>
  <si>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</si>
  <si>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</si>
  <si>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</si>
  <si>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</si>
  <si>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</si>
  <si>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</si>
  <si>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</si>
  <si>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</si>
  <si>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</si>
  <si>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</si>
  <si>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</si>
  <si>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</si>
  <si>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</si>
  <si>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</si>
  <si>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</si>
  <si>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</si>
  <si>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</si>
  <si>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</si>
  <si>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</si>
  <si>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</si>
  <si>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</si>
  <si>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</si>
  <si>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</si>
  <si>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</si>
  <si>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</si>
  <si>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</si>
  <si>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</si>
  <si>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</si>
  <si>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</si>
  <si>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</si>
  <si>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</si>
  <si>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</si>
  <si>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</si>
  <si>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</si>
  <si>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</si>
  <si>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</si>
  <si>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</si>
  <si>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</si>
  <si>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</si>
  <si>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</si>
  <si>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</si>
  <si>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</si>
  <si>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</si>
  <si>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</si>
  <si>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</si>
  <si>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</si>
  <si>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</si>
  <si>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</si>
  <si>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</si>
  <si>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</si>
  <si>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</si>
  <si>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</si>
  <si>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</si>
  <si>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</si>
  <si>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</si>
  <si>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</si>
  <si>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</si>
  <si>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</si>
  <si>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</si>
  <si>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</si>
  <si>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</si>
  <si>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</si>
  <si>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</si>
  <si>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</si>
  <si>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</si>
  <si>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</si>
  <si>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</si>
  <si>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</si>
  <si>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</si>
  <si>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</si>
  <si>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</si>
  <si>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</si>
  <si>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</si>
  <si>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</si>
  <si>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</si>
  <si>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</si>
  <si>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</si>
  <si>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</si>
  <si>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</si>
  <si>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</si>
  <si>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</si>
  <si>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</si>
  <si>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</si>
  <si>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</si>
  <si>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</si>
  <si>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</si>
  <si>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</si>
  <si>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</si>
  <si>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</si>
  <si>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</si>
  <si>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</si>
  <si>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</si>
  <si>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</si>
  <si>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</si>
  <si>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</si>
  <si>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</si>
  <si>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</si>
  <si>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</si>
  <si>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</si>
  <si>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</si>
  <si>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</si>
  <si>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</si>
  <si>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</si>
  <si>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</si>
  <si>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</si>
  <si>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</si>
  <si>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</si>
  <si>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</si>
  <si>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</si>
  <si>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</si>
  <si>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</si>
  <si>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</si>
  <si>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</si>
  <si>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</si>
  <si>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</si>
  <si>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</si>
  <si>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</si>
  <si>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</si>
  <si>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</si>
  <si>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</si>
  <si>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</si>
  <si>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</si>
  <si>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</si>
  <si>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</si>
  <si>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</si>
  <si>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</si>
  <si>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</si>
  <si>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</si>
  <si>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</si>
  <si>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</si>
  <si>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</si>
  <si>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</si>
  <si>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</si>
  <si>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</si>
  <si>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</si>
  <si>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</si>
  <si>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</si>
  <si>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</si>
  <si>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</si>
  <si>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</si>
  <si>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</si>
  <si>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</si>
  <si>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</si>
  <si>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</si>
  <si>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</si>
  <si>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</si>
  <si>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</si>
  <si>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</si>
  <si>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</si>
  <si>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</si>
  <si>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</si>
  <si>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</si>
  <si>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</si>
  <si>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</si>
  <si>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</si>
  <si>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</si>
  <si>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</si>
  <si>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</si>
  <si>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</si>
  <si>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</si>
  <si>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</si>
  <si>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</si>
  <si>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</si>
  <si>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</si>
  <si>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</si>
  <si>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</si>
  <si>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</si>
  <si>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</si>
  <si>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</si>
  <si>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</si>
  <si>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</si>
  <si>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</si>
  <si>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</si>
  <si>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</si>
  <si>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</si>
  <si>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</si>
  <si>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</si>
  <si>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</si>
  <si>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</si>
  <si>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</si>
  <si>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</si>
  <si>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</si>
  <si>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</si>
  <si>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</si>
  <si>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</si>
  <si>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</si>
  <si>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</si>
  <si>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</si>
  <si>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</si>
  <si>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</si>
  <si>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</si>
  <si>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</si>
  <si>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</si>
  <si>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</si>
  <si>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</si>
  <si>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</si>
  <si>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</si>
  <si>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</si>
  <si>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</si>
  <si>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</si>
  <si>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</si>
  <si>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</si>
  <si>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</si>
  <si>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</si>
  <si>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</si>
  <si>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</si>
  <si>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</si>
  <si>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</si>
  <si>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</si>
  <si>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</si>
  <si>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</si>
  <si>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</si>
  <si>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</si>
  <si>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</si>
  <si>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</si>
  <si>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</si>
  <si>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</si>
  <si>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</si>
  <si>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</si>
  <si>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</si>
  <si>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</si>
  <si>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</si>
  <si>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</si>
  <si>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</si>
  <si>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</si>
  <si>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</si>
  <si>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</si>
  <si>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</si>
  <si>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</si>
  <si>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</si>
  <si>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</si>
  <si>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</si>
  <si>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</si>
  <si>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</si>
  <si>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</si>
  <si>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</si>
  <si>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</si>
  <si>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</si>
  <si>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</si>
  <si>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</si>
  <si>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</si>
  <si>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</si>
  <si>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</si>
  <si>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</si>
  <si>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</si>
  <si>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</si>
  <si>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</si>
  <si>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</si>
  <si>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</si>
  <si>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</si>
  <si>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</si>
  <si>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</si>
  <si>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</si>
  <si>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</si>
  <si>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</si>
  <si>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</si>
  <si>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</si>
  <si>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</si>
  <si>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</si>
  <si>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</si>
  <si>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</si>
  <si>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</si>
  <si>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</si>
  <si>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</si>
  <si>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</si>
  <si>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</si>
  <si>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</si>
  <si>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</si>
  <si>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</si>
  <si>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</si>
  <si>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</si>
  <si>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</si>
  <si>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</si>
  <si>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</si>
  <si>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
  </si>
  <si>
    <t/>
  </si>
  <si>
    <t>zref</t>
  </si>
  <si>
    <t>scenario</t>
  </si>
  <si>
    <t>consumption_electricite</t>
  </si>
  <si>
    <t>tranche3_cons</t>
  </si>
  <si>
    <t>tranche2_cons</t>
  </si>
  <si>
    <t>tranche1_cons</t>
  </si>
  <si>
    <t>type</t>
  </si>
  <si>
    <t>subs</t>
  </si>
  <si>
    <t>prepaid</t>
  </si>
  <si>
    <t>data</t>
  </si>
  <si>
    <t>_before</t>
  </si>
  <si>
    <t>_after</t>
  </si>
  <si>
    <t>_before</t>
  </si>
  <si>
    <t>_after</t>
  </si>
  <si>
    <t>_before</t>
  </si>
  <si>
    <t>_after</t>
  </si>
  <si>
    <t>_before</t>
  </si>
  <si>
    <t>_after</t>
  </si>
  <si>
    <t>yd_deciles_pc</t>
  </si>
  <si>
    <t>tranche1</t>
  </si>
  <si>
    <t>tranche2</t>
  </si>
  <si>
    <t>tranche3</t>
  </si>
  <si>
    <t>tranche_gdp</t>
  </si>
  <si>
    <t>no_electr_sp</t>
  </si>
  <si>
    <t>-Revenue (billion FCFA) (new beneficiaries)</t>
  </si>
  <si>
    <t>-Revenue (billion FCFA) (transfer increase)</t>
  </si>
  <si>
    <t>_am_pnbsf_newbenefs_pc_benefits__yd_0</t>
  </si>
  <si>
    <t>_am_pnbsf_transferinc_pc_benefits__yd_0</t>
  </si>
  <si>
    <t>Poverty (Headcount ratio, %) (new beneficiaries)</t>
  </si>
  <si>
    <t>Poverty (Headcount ratio, %) (transfer increase)</t>
  </si>
  <si>
    <t>_inc_am_pnbsf_newbenefs_fgt0__yd_0</t>
  </si>
  <si>
    <t>_inc_am_pnbsf_transferinc_fgt0__yd_0</t>
  </si>
  <si>
    <t>Gini (new beneficiaries)</t>
  </si>
  <si>
    <t>Gini (transfer increase)</t>
  </si>
  <si>
    <t>_inc_am_pnbsf_newbenefs_gini__yd_0</t>
  </si>
  <si>
    <t>_inc_am_pnbsf_transferinc_gini__yd_0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</si>
</sst>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43" formatCode="_-* #,##0.00_-;\-* #,##0.00_-;_-* &quot;-&quot;??_-;_-@_-"/>
    <numFmt numFmtId="164" formatCode="_(* #,##0.00_);_(* \(#,##0.00\);_(* &quot;-&quot;??_);_(@_)"/>
    <numFmt numFmtId="165" formatCode="0.000"/>
    <numFmt numFmtId="166" formatCode="0.0"/>
    <numFmt numFmtId="167" formatCode="_(* #,##0_);_(* \(#,##0\);_(* &quot;-&quot;??_);_(@_)"/>
    <numFmt numFmtId="168" formatCode="_(* #,##0.000_);_(* \(#,##0.000\);_(* &quot;-&quot;??_);_(@_)"/>
    <numFmt numFmtId="169" formatCode="_(* #,##0.0_);_(* \(#,##0.0\);_(* &quot;-&quot;??_);_(@_)"/>
    <numFmt numFmtId="170" formatCode="_-* #,##0.00\ _€_-;\-* #,##0.00\ _€_-;_-* &quot;-&quot;??\ _€_-;_-@_-"/>
    <numFmt numFmtId="171" formatCode="0.00000"/>
    <numFmt numFmtId="172" formatCode="0.0000"/>
    <numFmt numFmtId="173" formatCode="#,##0.0"/>
    <numFmt numFmtId="174" formatCode="0.0000000000E+00"/>
    <numFmt numFmtId="175" formatCode="_-* #,##0.00000_-;\-* #,##0.00000_-;_-* &quot;-&quot;??_-;_-@_-"/>
    <numFmt numFmtId="176" formatCode="0.0000000"/>
    <numFmt numFmtId="177" formatCode="0.0%"/>
    <numFmt numFmtId="178" formatCode="0.0000000000000"/>
    <numFmt numFmtId="179" formatCode="_(* #,##0.0000_);_(* \(#,##0.0000\);_(* &quot;-&quot;??_);_(@_)"/>
    <numFmt numFmtId="180" formatCode="&quot;$&quot;#,##0"/>
    <numFmt numFmtId="181" formatCode="0.000%"/>
  </numFmts>
  <fonts count="91">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8"/>
      <color theme="1"/>
      <name val="Calibri"/>
      <family val="2"/>
      <scheme val="minor"/>
    </font>
    <font>
      <i/>
      <sz val="11"/>
      <color theme="1"/>
      <name val="Calibri"/>
      <family val="2"/>
      <scheme val="minor"/>
    </font>
    <font>
      <sz val="11"/>
      <name val="Calibri"/>
      <family val="2"/>
    </font>
    <font>
      <sz val="11"/>
      <name val="Garamond"/>
      <family val="1"/>
    </font>
    <font>
      <b/>
      <sz val="12"/>
      <color rgb="FF000000"/>
      <name val="Garamond"/>
      <family val="1"/>
    </font>
    <font>
      <b/>
      <sz val="11"/>
      <name val="Garamond"/>
      <family val="1"/>
    </font>
    <font>
      <sz val="10"/>
      <color rgb="FFFF0000"/>
      <name val="Garamond"/>
      <family val="1"/>
    </font>
    <font>
      <b/>
      <sz val="10"/>
      <name val="Garamond"/>
      <family val="1"/>
    </font>
    <font>
      <b/>
      <sz val="14"/>
      <name val="Garamond"/>
      <family val="1"/>
    </font>
    <font>
      <sz val="10"/>
      <color theme="1"/>
      <name val="Garamond"/>
      <family val="1"/>
    </font>
    <font>
      <sz val="14"/>
      <color theme="1"/>
      <name val="Garamond"/>
      <family val="1"/>
    </font>
    <font>
      <sz val="14"/>
      <name val="Garamond"/>
      <family val="1"/>
    </font>
    <font>
      <sz val="14"/>
      <color rgb="FFFF0000"/>
      <name val="Garamond"/>
      <family val="1"/>
    </font>
    <font>
      <i/>
      <sz val="10"/>
      <color theme="1"/>
      <name val="Garamond"/>
      <family val="1"/>
    </font>
    <font>
      <sz val="10"/>
      <name val="Garamond"/>
      <family val="1"/>
    </font>
    <font>
      <b/>
      <sz val="11"/>
      <color theme="1"/>
      <name val="Garamond"/>
      <family val="1"/>
    </font>
    <font>
      <sz val="11"/>
      <color theme="1"/>
      <name val="Garamond"/>
      <family val="1"/>
    </font>
    <font>
      <sz val="12"/>
      <color theme="1"/>
      <name val="Calibri"/>
      <family val="2"/>
      <scheme val="minor"/>
    </font>
    <font>
      <b/>
      <sz val="10"/>
      <color theme="1"/>
      <name val="Arial"/>
      <family val="2"/>
    </font>
    <font>
      <sz val="10"/>
      <color theme="1"/>
      <name val="Arial"/>
      <family val="2"/>
    </font>
    <font>
      <sz val="10"/>
      <color theme="4"/>
      <name val="Arial"/>
      <family val="2"/>
    </font>
    <font>
      <b/>
      <sz val="11"/>
      <color theme="0"/>
      <name val="Garamond"/>
      <family val="1"/>
    </font>
    <font>
      <b/>
      <sz val="9"/>
      <color theme="1"/>
      <name val="Garamond"/>
      <family val="1"/>
    </font>
    <font>
      <sz val="11"/>
      <color theme="0"/>
      <name val="Garamond"/>
      <family val="1"/>
    </font>
    <font>
      <sz val="9"/>
      <color theme="1"/>
      <name val="Garamond"/>
      <family val="1"/>
    </font>
    <font>
      <sz val="10"/>
      <color rgb="FF000000"/>
      <name val="Garamond"/>
      <family val="1"/>
    </font>
    <font>
      <sz val="11"/>
      <color rgb="FFFF0000"/>
      <name val="Garamond"/>
      <family val="1"/>
    </font>
    <font>
      <sz val="11"/>
      <color rgb="FF000000"/>
      <name val="Garamond"/>
      <family val="1"/>
    </font>
    <font>
      <b/>
      <sz val="13"/>
      <color theme="1"/>
      <name val="Garamond"/>
      <family val="1"/>
    </font>
    <font>
      <sz val="12"/>
      <color theme="1"/>
      <name val="Garamond"/>
      <family val="1"/>
    </font>
    <font>
      <b/>
      <sz val="12"/>
      <color theme="1"/>
      <name val="Garamond"/>
      <family val="1"/>
    </font>
    <font>
      <sz val="12"/>
      <color rgb="FF000000"/>
      <name val="Garamond"/>
      <family val="1"/>
    </font>
    <font>
      <sz val="12"/>
      <color rgb="FFFF0000"/>
      <name val="Garamond"/>
      <family val="1"/>
    </font>
    <font>
      <sz val="10"/>
      <color indexed="63"/>
      <name val="Cambria"/>
      <family val="2"/>
    </font>
    <font>
      <sz val="12"/>
      <name val="Garamond"/>
      <family val="1"/>
    </font>
    <font>
      <b/>
      <sz val="12"/>
      <name val="Garamond"/>
      <family val="1"/>
    </font>
    <font>
      <sz val="8"/>
      <color rgb="FF595959"/>
      <name val="Calibri"/>
      <family val="2"/>
    </font>
    <font>
      <b/>
      <sz val="11"/>
      <name val="Calibri"/>
      <family val="2"/>
    </font>
    <font>
      <b/>
      <sz val="11"/>
      <name val="Calibri"/>
      <family val="2"/>
      <scheme val="minor"/>
    </font>
    <font>
      <sz val="11"/>
      <color rgb="FF000000"/>
      <name val="Calibri"/>
      <family val="2"/>
      <scheme val="minor"/>
    </font>
    <font>
      <sz val="11"/>
      <color rgb="FF000000"/>
      <name val="Calibri"/>
      <family val="2"/>
    </font>
    <font>
      <sz val="11"/>
      <name val="Calibri"/>
      <family val="2"/>
      <scheme val="minor"/>
    </font>
    <font>
      <sz val="12"/>
      <color rgb="FF000000"/>
      <name val="Calibri"/>
      <family val="2"/>
    </font>
    <font>
      <sz val="11"/>
      <color rgb="FFFF0000"/>
      <name val="Calibri"/>
      <family val="2"/>
    </font>
    <font>
      <sz val="8"/>
      <name val="Calibri"/>
      <family val="2"/>
      <scheme val="minor"/>
    </font>
    <font>
      <sz val="20"/>
      <color rgb="FF000000"/>
      <name val="Palatino"/>
    </font>
    <font>
      <sz val="20"/>
      <color rgb="FFFFFFFF"/>
      <name val="Palatino"/>
    </font>
    <font>
      <sz val="18"/>
      <color rgb="FF000000"/>
      <name val="Candara"/>
      <family val="2"/>
    </font>
    <font>
      <sz val="12"/>
      <color rgb="FF000000"/>
      <name val="Palatino"/>
    </font>
    <font>
      <b/>
      <sz val="20"/>
      <color theme="1"/>
      <name val="Calibri"/>
      <family val="2"/>
      <scheme val="minor"/>
    </font>
    <font>
      <sz val="10.5"/>
      <color theme="1"/>
      <name val="Segoe UI"/>
      <family val="2"/>
    </font>
    <font>
      <sz val="10.5"/>
      <color rgb="FF000000"/>
      <name val="Segoe UI"/>
      <family val="2"/>
    </font>
    <font>
      <sz val="10.5"/>
      <color rgb="FFFF0000"/>
      <name val="Segoe UI"/>
      <family val="2"/>
    </font>
    <font>
      <sz val="9"/>
      <name val="Arial"/>
      <family val="2"/>
    </font>
    <font>
      <sz val="11"/>
      <color rgb="FF00B0F0"/>
      <name val="Calibri"/>
      <family val="2"/>
      <scheme val="minor"/>
    </font>
    <font>
      <sz val="11"/>
      <color theme="9"/>
      <name val="Calibri"/>
      <family val="2"/>
      <scheme val="minor"/>
    </font>
    <font>
      <sz val="11"/>
      <color theme="0" tint="-0.24994659260841701"/>
      <name val="Calibri"/>
      <family val="2"/>
      <scheme val="minor"/>
    </font>
    <font>
      <sz val="11"/>
      <color theme="4"/>
      <name val="Calibri"/>
      <family val="2"/>
      <scheme val="minor"/>
    </font>
    <font>
      <b/>
      <sz val="11"/>
      <color theme="4"/>
      <name val="Calibri"/>
      <family val="2"/>
      <scheme val="minor"/>
    </font>
    <font>
      <vertAlign val="superscript"/>
      <sz val="11"/>
      <color rgb="FFFF0000"/>
      <name val="Calibri"/>
      <family val="2"/>
      <scheme val="minor"/>
    </font>
    <font>
      <sz val="11"/>
      <color theme="7" tint="-0.24994659260841701"/>
      <name val="Calibri"/>
      <family val="2"/>
      <scheme val="minor"/>
    </font>
    <font>
      <b/>
      <sz val="16"/>
      <color theme="1"/>
      <name val="Calibri"/>
      <family val="2"/>
      <scheme val="minor"/>
    </font>
    <font>
      <b/>
      <sz val="12"/>
      <color theme="1"/>
      <name val="Calibri"/>
      <family val="2"/>
      <scheme val="minor"/>
    </font>
    <font>
      <b/>
      <sz val="12"/>
      <color rgb="FF000000"/>
      <name val="Calibri"/>
      <family val="2"/>
      <scheme val="minor"/>
    </font>
    <font>
      <b/>
      <sz val="9"/>
      <name val="Calibri (Body)"/>
    </font>
    <font>
      <sz val="9"/>
      <color theme="1"/>
      <name val="Calibri (Body)"/>
    </font>
    <font>
      <b/>
      <sz val="9"/>
      <color theme="1"/>
      <name val="Calibri"/>
      <family val="2"/>
      <scheme val="minor"/>
    </font>
    <font>
      <sz val="9"/>
      <name val="Calibri (Body)"/>
    </font>
    <font>
      <i/>
      <sz val="9"/>
      <color theme="1"/>
      <name val="Calibri (Body)"/>
    </font>
    <font>
      <u/>
      <sz val="11"/>
      <color theme="10"/>
      <name val="Calibri"/>
      <family val="2"/>
      <scheme val="minor"/>
    </font>
    <font>
      <b/>
      <sz val="16"/>
      <color theme="8" tint="-0.49995422223578601"/>
      <name val="Times New Roman"/>
      <family val="1"/>
    </font>
    <font>
      <sz val="11"/>
      <color theme="1"/>
      <name val="Times New Roman"/>
      <family val="1"/>
    </font>
    <font>
      <b/>
      <sz val="12"/>
      <color theme="1"/>
      <name val="Times New Roman"/>
      <family val="1"/>
    </font>
    <font>
      <b/>
      <sz val="11"/>
      <color theme="1"/>
      <name val="Times New Roman"/>
      <family val="1"/>
    </font>
    <font>
      <sz val="12"/>
      <color theme="1"/>
      <name val="Times New Roman"/>
      <family val="1"/>
    </font>
    <font>
      <b/>
      <sz val="11"/>
      <name val="Times New Roman"/>
      <family val="1"/>
    </font>
    <font>
      <sz val="11"/>
      <color theme="1" tint="0.49995422223578601"/>
      <name val="Calibri"/>
      <family val="2"/>
      <scheme val="minor"/>
    </font>
    <font>
      <sz val="11"/>
      <color theme="0" tint="-0.49995422223578601"/>
      <name val="Calibri"/>
      <family val="2"/>
      <scheme val="minor"/>
    </font>
    <font>
      <b/>
      <sz val="11"/>
      <color theme="0" tint="-0.49995422223578601"/>
      <name val="Calibri"/>
      <family val="2"/>
      <scheme val="minor"/>
    </font>
    <font>
      <sz val="11"/>
      <color theme="0" tint="-0.49995422223578601"/>
      <name val="Calibri"/>
      <family val="2"/>
      <scheme val="minor"/>
    </font>
    <font>
      <sz val="11"/>
      <color theme="0"/>
      <name val="Calibri"/>
      <family val="2"/>
    </font>
    <font>
      <sz val="9"/>
      <color rgb="FF595959"/>
      <name val="Calibri"/>
      <family val="2"/>
      <scheme val="minor"/>
    </font>
    <font>
      <sz val="12"/>
      <color rgb="FF222222"/>
      <name val="Arial"/>
      <family val="2"/>
    </font>
    <font>
      <sz val="11"/>
      <color rgb="FF00B0F0"/>
      <name val="Calibri"/>
      <family val="2"/>
    </font>
    <font>
      <sz val="12"/>
      <color rgb="FF00B0F0"/>
      <name val="Arial"/>
      <family val="2"/>
    </font>
  </fonts>
  <fills count="39">
    <fill>
      <patternFill patternType="none"/>
    </fill>
    <fill>
      <patternFill patternType="gray125"/>
    </fill>
    <fill>
      <patternFill patternType="solid">
        <fgColor theme="0"/>
        <bgColor indexed="64"/>
      </patternFill>
    </fill>
    <fill>
      <patternFill patternType="solid">
        <fgColor theme="2"/>
        <bgColor indexed="64"/>
      </patternFill>
    </fill>
    <fill>
      <patternFill patternType="solid">
        <fgColor theme="0"/>
        <bgColor rgb="FF000000"/>
      </patternFill>
    </fill>
    <fill>
      <patternFill patternType="solid">
        <fgColor rgb="FFE8E8E8"/>
        <bgColor indexed="64"/>
      </patternFill>
    </fill>
    <fill>
      <patternFill patternType="solid">
        <fgColor rgb="FFA0CAF4"/>
        <bgColor indexed="64"/>
      </patternFill>
    </fill>
    <fill>
      <patternFill patternType="solid">
        <fgColor theme="7"/>
        <bgColor indexed="64"/>
      </patternFill>
    </fill>
    <fill>
      <patternFill patternType="solid">
        <fgColor theme="9" tint="0.79995117038483843"/>
        <bgColor indexed="64"/>
      </patternFill>
    </fill>
    <fill>
      <patternFill patternType="solid">
        <fgColor theme="9" tint="0.39997558519241921"/>
        <bgColor indexed="64"/>
      </patternFill>
    </fill>
    <fill>
      <patternFill patternType="solid">
        <fgColor rgb="FF90ECA6"/>
        <bgColor indexed="64"/>
      </patternFill>
    </fill>
    <fill>
      <patternFill patternType="solid">
        <fgColor rgb="FFFBB19D"/>
        <bgColor indexed="64"/>
      </patternFill>
    </fill>
    <fill>
      <patternFill patternType="solid">
        <fgColor rgb="FF5BE37B"/>
        <bgColor indexed="64"/>
      </patternFill>
    </fill>
    <fill>
      <patternFill patternType="solid">
        <fgColor rgb="FFFF0000"/>
        <bgColor indexed="64"/>
      </patternFill>
    </fill>
    <fill>
      <patternFill patternType="solid">
        <fgColor rgb="FFFFFF00"/>
        <bgColor indexed="64"/>
      </patternFill>
    </fill>
    <fill>
      <patternFill patternType="solid">
        <fgColor rgb="FFFFFF00"/>
        <bgColor rgb="FF000000"/>
      </patternFill>
    </fill>
    <fill>
      <patternFill patternType="solid">
        <fgColor rgb="FF70D5E4"/>
        <bgColor indexed="64"/>
      </patternFill>
    </fill>
    <fill>
      <patternFill patternType="solid">
        <fgColor rgb="FFFFC000"/>
        <bgColor indexed="64"/>
      </patternFill>
    </fill>
    <fill>
      <patternFill patternType="solid">
        <fgColor rgb="FFAC7020"/>
        <bgColor indexed="64"/>
      </patternFill>
    </fill>
    <fill>
      <patternFill patternType="solid">
        <fgColor rgb="FF7DB8FF"/>
        <bgColor indexed="64"/>
      </patternFill>
    </fill>
    <fill>
      <patternFill patternType="solid">
        <fgColor rgb="FFB7EE8E"/>
        <bgColor indexed="64"/>
      </patternFill>
    </fill>
    <fill>
      <patternFill patternType="solid">
        <fgColor rgb="FF4E3E30"/>
        <bgColor indexed="64"/>
      </patternFill>
    </fill>
    <fill>
      <patternFill patternType="solid">
        <fgColor theme="5" tint="0.79995117038483843"/>
        <bgColor indexed="64"/>
      </patternFill>
    </fill>
    <fill>
      <patternFill patternType="solid">
        <fgColor theme="4" tint="-0.24994659260841701"/>
        <bgColor indexed="64"/>
      </patternFill>
    </fill>
    <fill>
      <patternFill patternType="solid">
        <fgColor theme="4"/>
        <bgColor indexed="64"/>
      </patternFill>
    </fill>
    <fill>
      <patternFill patternType="solid">
        <fgColor theme="5" tint="-0.24994659260841701"/>
        <bgColor indexed="64"/>
      </patternFill>
    </fill>
    <fill>
      <patternFill patternType="solid">
        <fgColor rgb="FFFEF26B"/>
        <bgColor indexed="64"/>
      </patternFill>
    </fill>
    <fill>
      <patternFill patternType="solid">
        <fgColor theme="2" tint="-9.9978637043366805E-2"/>
        <bgColor indexed="64"/>
      </patternFill>
    </fill>
    <fill>
      <patternFill patternType="solid">
        <fgColor theme="1" tint="0.49995422223578601"/>
        <bgColor indexed="64"/>
      </patternFill>
    </fill>
    <fill>
      <patternFill patternType="solid">
        <fgColor theme="1"/>
        <bgColor indexed="64"/>
      </patternFill>
    </fill>
    <fill>
      <patternFill patternType="solid">
        <fgColor theme="2" tint="-0.49995422223578601"/>
        <bgColor indexed="64"/>
      </patternFill>
    </fill>
    <fill>
      <patternFill patternType="solid">
        <fgColor rgb="FF84B272"/>
        <bgColor indexed="64"/>
      </patternFill>
    </fill>
    <fill>
      <patternFill patternType="solid">
        <fgColor rgb="FFF5B5E7"/>
        <bgColor indexed="64"/>
      </patternFill>
    </fill>
    <fill>
      <patternFill patternType="solid">
        <fgColor theme="9" tint="0.59996337778862885"/>
        <bgColor indexed="64"/>
      </patternFill>
    </fill>
    <fill>
      <patternFill patternType="solid">
        <fgColor theme="8" tint="0.79995117038483843"/>
        <bgColor indexed="64"/>
      </patternFill>
    </fill>
    <fill>
      <patternFill patternType="solid">
        <fgColor theme="7" tint="0.79995117038483843"/>
        <bgColor indexed="64"/>
      </patternFill>
    </fill>
    <fill>
      <patternFill patternType="solid">
        <fgColor theme="0" tint="-4.9104281746879481E-2"/>
        <bgColor indexed="64"/>
      </patternFill>
    </fill>
    <fill>
      <patternFill patternType="solid">
        <fgColor rgb="FFFFFFFF"/>
        <bgColor rgb="FF000000"/>
      </patternFill>
    </fill>
    <fill>
      <patternFill patternType="solid">
        <fgColor theme="8" tint="0.79995117038483843"/>
        <bgColor indexed="64"/>
      </patternFill>
    </fill>
  </fills>
  <borders count="33">
    <border>
      <left/>
      <right/>
      <top/>
      <bottom/>
      <diagonal/>
    </border>
    <border>
      <left/>
      <right/>
      <top/>
      <bottom style="double">
        <color indexed="64"/>
      </bottom>
      <diagonal/>
    </border>
    <border>
      <left/>
      <right/>
      <top/>
      <bottom style="thin">
        <color indexed="64"/>
      </bottom>
      <diagonal/>
    </border>
    <border>
      <left/>
      <right/>
      <top style="double">
        <color indexed="64"/>
      </top>
      <bottom style="thin">
        <color indexed="64"/>
      </bottom>
      <diagonal/>
    </border>
    <border>
      <left/>
      <right/>
      <top style="thin">
        <color indexed="64"/>
      </top>
      <bottom style="thin">
        <color indexed="64"/>
      </bottom>
      <diagonal/>
    </border>
    <border>
      <left/>
      <right/>
      <top style="thin">
        <color indexed="64"/>
      </top>
      <bottom/>
      <diagonal/>
    </border>
    <border>
      <left/>
      <right/>
      <top style="double">
        <color indexed="64"/>
      </top>
      <bottom/>
      <diagonal/>
    </border>
    <border>
      <left/>
      <right/>
      <top style="double">
        <color indexed="64"/>
      </top>
      <bottom style="double">
        <color indexed="64"/>
      </bottom>
      <diagonal/>
    </border>
    <border>
      <left/>
      <right/>
      <top style="thin">
        <color indexed="64"/>
      </top>
      <bottom style="double">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thin">
        <color indexed="47"/>
      </top>
      <bottom style="thin">
        <color indexed="47"/>
      </bottom>
      <diagonal/>
    </border>
    <border>
      <left style="thin">
        <color indexed="64"/>
      </left>
      <right style="thin">
        <color indexed="64"/>
      </right>
      <top/>
      <bottom style="thin">
        <color indexed="47"/>
      </bottom>
      <diagonal/>
    </border>
    <border>
      <left style="thin">
        <color indexed="64"/>
      </left>
      <right/>
      <top/>
      <bottom style="double">
        <color indexed="64"/>
      </bottom>
      <diagonal/>
    </border>
    <border>
      <left/>
      <right style="thin">
        <color indexed="64"/>
      </right>
      <top/>
      <bottom style="double">
        <color indexed="64"/>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medium">
        <color indexed="64"/>
      </bottom>
      <diagonal/>
    </border>
    <border>
      <left/>
      <right/>
      <top style="medium">
        <color indexed="64"/>
      </top>
      <bottom style="medium">
        <color indexed="64"/>
      </bottom>
      <diagonal/>
    </border>
  </borders>
  <cellStyleXfs count="15">
    <xf numFmtId="0" fontId="0" fillId="0" borderId="0"/>
    <xf numFmtId="9" fontId="1" fillId="0" borderId="0" applyFont="0" applyFill="0" applyBorder="0" applyAlignment="0" applyProtection="0"/>
    <xf numFmtId="0" fontId="1" fillId="0" borderId="0"/>
    <xf numFmtId="0" fontId="8" fillId="0" borderId="0"/>
    <xf numFmtId="164" fontId="1" fillId="0" borderId="0" applyFont="0" applyFill="0" applyBorder="0" applyAlignment="0" applyProtection="0"/>
    <xf numFmtId="164" fontId="8" fillId="0" borderId="0" applyFont="0" applyFill="0" applyBorder="0" applyAlignment="0" applyProtection="0"/>
    <xf numFmtId="170" fontId="39" fillId="0" borderId="0" applyFont="0" applyFill="0" applyBorder="0" applyAlignment="0" applyProtection="0"/>
    <xf numFmtId="0" fontId="1" fillId="0" borderId="0"/>
    <xf numFmtId="0" fontId="8" fillId="0" borderId="0"/>
    <xf numFmtId="43" fontId="1" fillId="0" borderId="0" applyFont="0" applyFill="0" applyBorder="0" applyAlignment="0" applyProtection="0"/>
    <xf numFmtId="0" fontId="8" fillId="0" borderId="0"/>
    <xf numFmtId="43" fontId="8" fillId="0" borderId="0" applyFont="0" applyFill="0" applyBorder="0" applyAlignment="0" applyProtection="0"/>
    <xf numFmtId="164" fontId="1" fillId="0" borderId="0" applyFont="0" applyFill="0" applyBorder="0" applyAlignment="0" applyProtection="0"/>
    <xf numFmtId="0" fontId="23" fillId="0" borderId="0"/>
    <xf numFmtId="0" fontId="75" fillId="0" borderId="0" applyNumberFormat="0" applyFill="0" applyBorder="0" applyAlignment="0" applyProtection="0"/>
  </cellStyleXfs>
  <cellXfs count="884">
    <xf numFmtId="0" fontId="0" fillId="0" borderId="0" xfId="0"/>
    <xf numFmtId="0" fontId="0" fillId="2" borderId="0" xfId="0" applyFill="1"/>
    <xf numFmtId="0" fontId="6" fillId="2" borderId="0" xfId="2" applyFont="1" applyFill="1"/>
    <xf numFmtId="0" fontId="1" fillId="2" borderId="0" xfId="2" applyFill="1" applyAlignment="1">
      <alignment horizontal="center" vertical="center"/>
    </xf>
    <xf numFmtId="0" fontId="1" fillId="2" borderId="0" xfId="2" applyFill="1"/>
    <xf numFmtId="0" fontId="1" fillId="2" borderId="1" xfId="2" applyFill="1" applyBorder="1"/>
    <xf numFmtId="0" fontId="1" fillId="2" borderId="1" xfId="2" applyFill="1" applyBorder="1" applyAlignment="1">
      <alignment horizontal="center" vertical="center"/>
    </xf>
    <xf numFmtId="0" fontId="1" fillId="2" borderId="2" xfId="2" applyFill="1" applyBorder="1"/>
    <xf numFmtId="0" fontId="1" fillId="2" borderId="2" xfId="2" applyFill="1" applyBorder="1" applyAlignment="1">
      <alignment horizontal="center" vertical="center" wrapText="1"/>
    </xf>
    <xf numFmtId="1" fontId="1" fillId="2" borderId="0" xfId="2" applyNumberFormat="1" applyFill="1" applyAlignment="1" applyProtection="1">
      <alignment horizontal="center" vertical="center"/>
      <protection locked="0"/>
    </xf>
    <xf numFmtId="165" fontId="1" fillId="2" borderId="0" xfId="2" applyNumberFormat="1" applyFill="1" applyAlignment="1">
      <alignment horizontal="center" vertical="center"/>
    </xf>
    <xf numFmtId="0" fontId="7" fillId="2" borderId="0" xfId="2" applyFont="1" applyFill="1" applyAlignment="1">
      <alignment horizontal="left" wrapText="1"/>
    </xf>
    <xf numFmtId="1" fontId="1" fillId="2" borderId="0" xfId="2" applyNumberFormat="1" applyFill="1" applyAlignment="1">
      <alignment horizontal="center" vertical="center"/>
    </xf>
    <xf numFmtId="1" fontId="1" fillId="2" borderId="0" xfId="2" applyNumberFormat="1" applyFill="1"/>
    <xf numFmtId="0" fontId="7" fillId="2" borderId="0" xfId="2" applyFont="1" applyFill="1" applyAlignment="1">
      <alignment horizontal="left" indent="1"/>
    </xf>
    <xf numFmtId="1" fontId="1" fillId="2" borderId="1" xfId="2" applyNumberFormat="1" applyFill="1" applyBorder="1" applyAlignment="1">
      <alignment horizontal="center" vertical="center"/>
    </xf>
    <xf numFmtId="165" fontId="1" fillId="2" borderId="1" xfId="2" applyNumberFormat="1" applyFill="1" applyBorder="1" applyAlignment="1">
      <alignment horizontal="center" vertical="center"/>
    </xf>
    <xf numFmtId="0" fontId="9" fillId="2" borderId="0" xfId="3" applyFont="1" applyFill="1"/>
    <xf numFmtId="0" fontId="10" fillId="4" borderId="3" xfId="3" applyFont="1" applyFill="1" applyBorder="1" applyAlignment="1">
      <alignment horizontal="center" vertical="center" wrapText="1"/>
    </xf>
    <xf numFmtId="0" fontId="11" fillId="2" borderId="0" xfId="3" applyFont="1" applyFill="1"/>
    <xf numFmtId="2" fontId="9" fillId="2" borderId="0" xfId="3" applyNumberFormat="1" applyFont="1" applyFill="1"/>
    <xf numFmtId="0" fontId="11" fillId="2" borderId="4" xfId="3" applyFont="1" applyFill="1" applyBorder="1"/>
    <xf numFmtId="1" fontId="9" fillId="2" borderId="0" xfId="3" applyNumberFormat="1" applyFont="1" applyFill="1"/>
    <xf numFmtId="0" fontId="9" fillId="2" borderId="2" xfId="3" applyFont="1" applyFill="1" applyBorder="1"/>
    <xf numFmtId="0" fontId="11" fillId="2" borderId="2" xfId="3" applyFont="1" applyFill="1" applyBorder="1"/>
    <xf numFmtId="2" fontId="9" fillId="2" borderId="2" xfId="3" applyNumberFormat="1" applyFont="1" applyFill="1" applyBorder="1"/>
    <xf numFmtId="1" fontId="9" fillId="2" borderId="2" xfId="3" applyNumberFormat="1" applyFont="1" applyFill="1" applyBorder="1"/>
    <xf numFmtId="0" fontId="9" fillId="2" borderId="3" xfId="3" applyFont="1" applyFill="1" applyBorder="1"/>
    <xf numFmtId="0" fontId="12" fillId="2" borderId="1" xfId="2" applyFont="1" applyFill="1" applyBorder="1"/>
    <xf numFmtId="0" fontId="13" fillId="2" borderId="1" xfId="2" applyFont="1" applyFill="1" applyBorder="1" applyAlignment="1">
      <alignment horizontal="center" vertical="center" wrapText="1"/>
    </xf>
    <xf numFmtId="0" fontId="13" fillId="2" borderId="6" xfId="2" applyFont="1" applyFill="1" applyBorder="1"/>
    <xf numFmtId="0" fontId="14" fillId="2" borderId="3" xfId="3" applyFont="1" applyFill="1" applyBorder="1" applyAlignment="1">
      <alignment horizontal="center" vertical="center"/>
    </xf>
    <xf numFmtId="0" fontId="9" fillId="2" borderId="0" xfId="3" applyFont="1" applyFill="1" applyAlignment="1">
      <alignment horizontal="center"/>
    </xf>
    <xf numFmtId="0" fontId="13" fillId="2" borderId="0" xfId="2" applyFont="1" applyFill="1" applyAlignment="1">
      <alignment wrapText="1"/>
    </xf>
    <xf numFmtId="0" fontId="15" fillId="2" borderId="0" xfId="2" applyFont="1" applyFill="1" applyAlignment="1">
      <alignment horizontal="center" vertical="center"/>
    </xf>
    <xf numFmtId="0" fontId="16" fillId="2" borderId="0" xfId="2" applyFont="1" applyFill="1" applyAlignment="1">
      <alignment horizontal="center" vertical="center"/>
    </xf>
    <xf numFmtId="2" fontId="16" fillId="2" borderId="0" xfId="2" applyNumberFormat="1" applyFont="1" applyFill="1" applyAlignment="1">
      <alignment horizontal="center" vertical="center"/>
    </xf>
    <xf numFmtId="0" fontId="17" fillId="2" borderId="0" xfId="3" applyFont="1" applyFill="1" applyAlignment="1">
      <alignment horizontal="center" vertical="center"/>
    </xf>
    <xf numFmtId="0" fontId="13" fillId="2" borderId="0" xfId="2" applyFont="1" applyFill="1"/>
    <xf numFmtId="0" fontId="16" fillId="2" borderId="0" xfId="2" applyFont="1" applyFill="1" applyAlignment="1">
      <alignment horizontal="left" vertical="center"/>
    </xf>
    <xf numFmtId="166" fontId="16" fillId="2" borderId="0" xfId="2" applyNumberFormat="1" applyFont="1" applyFill="1" applyAlignment="1">
      <alignment horizontal="center" vertical="center"/>
    </xf>
    <xf numFmtId="166" fontId="18" fillId="2" borderId="0" xfId="3" applyNumberFormat="1" applyFont="1" applyFill="1" applyAlignment="1">
      <alignment horizontal="center" vertical="center"/>
    </xf>
    <xf numFmtId="0" fontId="19" fillId="2" borderId="0" xfId="2" applyFont="1" applyFill="1" applyAlignment="1">
      <alignment horizontal="left" indent="1"/>
    </xf>
    <xf numFmtId="2" fontId="15" fillId="2" borderId="0" xfId="2" applyNumberFormat="1" applyFont="1" applyFill="1" applyAlignment="1">
      <alignment horizontal="center" vertical="center"/>
    </xf>
    <xf numFmtId="0" fontId="17" fillId="5" borderId="0" xfId="3" applyFont="1" applyFill="1" applyAlignment="1">
      <alignment horizontal="center" vertical="center"/>
    </xf>
    <xf numFmtId="0" fontId="16" fillId="2" borderId="2" xfId="2" applyFont="1" applyFill="1" applyBorder="1" applyAlignment="1">
      <alignment horizontal="left" vertical="center"/>
    </xf>
    <xf numFmtId="166" fontId="16" fillId="2" borderId="2" xfId="2" applyNumberFormat="1" applyFont="1" applyFill="1" applyBorder="1" applyAlignment="1">
      <alignment horizontal="center" vertical="center"/>
    </xf>
    <xf numFmtId="166" fontId="17" fillId="2" borderId="2" xfId="3" applyNumberFormat="1" applyFont="1" applyFill="1" applyBorder="1" applyAlignment="1">
      <alignment horizontal="center" vertical="center"/>
    </xf>
    <xf numFmtId="0" fontId="9" fillId="5" borderId="0" xfId="3" applyFont="1" applyFill="1"/>
    <xf numFmtId="0" fontId="16" fillId="2" borderId="2" xfId="2" applyFont="1" applyFill="1" applyBorder="1" applyAlignment="1">
      <alignment horizontal="center" vertical="center"/>
    </xf>
    <xf numFmtId="2" fontId="16" fillId="2" borderId="2" xfId="2" applyNumberFormat="1" applyFont="1" applyFill="1" applyBorder="1" applyAlignment="1">
      <alignment horizontal="center" vertical="center"/>
    </xf>
    <xf numFmtId="0" fontId="17" fillId="5" borderId="2" xfId="3" applyFont="1" applyFill="1" applyBorder="1" applyAlignment="1">
      <alignment horizontal="center" vertical="center"/>
    </xf>
    <xf numFmtId="0" fontId="19" fillId="2" borderId="2" xfId="2" applyFont="1" applyFill="1" applyBorder="1" applyAlignment="1">
      <alignment horizontal="left" indent="1"/>
    </xf>
    <xf numFmtId="2" fontId="15" fillId="2" borderId="2" xfId="2" applyNumberFormat="1" applyFont="1" applyFill="1" applyBorder="1" applyAlignment="1">
      <alignment horizontal="center" vertical="center"/>
    </xf>
    <xf numFmtId="0" fontId="15" fillId="2" borderId="2" xfId="2" applyFont="1" applyFill="1" applyBorder="1" applyAlignment="1">
      <alignment horizontal="center" vertical="center"/>
    </xf>
    <xf numFmtId="0" fontId="9" fillId="5" borderId="2" xfId="3" applyFont="1" applyFill="1" applyBorder="1"/>
    <xf numFmtId="0" fontId="16" fillId="2" borderId="1" xfId="2" applyFont="1" applyFill="1" applyBorder="1" applyAlignment="1">
      <alignment horizontal="center" vertical="center"/>
    </xf>
    <xf numFmtId="2" fontId="16" fillId="2" borderId="1" xfId="2" applyNumberFormat="1" applyFont="1" applyFill="1" applyBorder="1" applyAlignment="1">
      <alignment horizontal="center" vertical="center"/>
    </xf>
    <xf numFmtId="0" fontId="17" fillId="5" borderId="1" xfId="3" applyFont="1" applyFill="1" applyBorder="1" applyAlignment="1">
      <alignment horizontal="center" vertical="center"/>
    </xf>
    <xf numFmtId="0" fontId="19" fillId="2" borderId="1" xfId="2" applyFont="1" applyFill="1" applyBorder="1" applyAlignment="1">
      <alignment horizontal="left" indent="1"/>
    </xf>
    <xf numFmtId="2" fontId="15" fillId="2" borderId="1" xfId="2" applyNumberFormat="1" applyFont="1" applyFill="1" applyBorder="1" applyAlignment="1">
      <alignment horizontal="center" vertical="center"/>
    </xf>
    <xf numFmtId="0" fontId="15" fillId="2" borderId="1" xfId="2" applyFont="1" applyFill="1" applyBorder="1" applyAlignment="1">
      <alignment horizontal="center" vertical="center"/>
    </xf>
    <xf numFmtId="0" fontId="9" fillId="5" borderId="1" xfId="3" applyFont="1" applyFill="1" applyBorder="1"/>
    <xf numFmtId="0" fontId="9" fillId="2" borderId="1" xfId="3" applyFont="1" applyFill="1" applyBorder="1"/>
    <xf numFmtId="2" fontId="15" fillId="0" borderId="0" xfId="2" applyNumberFormat="1" applyFont="1" applyAlignment="1">
      <alignment horizontal="center" vertical="center"/>
    </xf>
    <xf numFmtId="2" fontId="16" fillId="0" borderId="0" xfId="2" applyNumberFormat="1" applyFont="1" applyAlignment="1">
      <alignment horizontal="center" vertical="center"/>
    </xf>
    <xf numFmtId="0" fontId="17" fillId="2" borderId="0" xfId="3" applyFont="1" applyFill="1" applyAlignment="1">
      <alignment horizontal="center"/>
    </xf>
    <xf numFmtId="2" fontId="20" fillId="2" borderId="0" xfId="2" applyNumberFormat="1" applyFont="1" applyFill="1" applyAlignment="1">
      <alignment horizontal="center" vertical="center"/>
    </xf>
    <xf numFmtId="2" fontId="17" fillId="2" borderId="0" xfId="2" applyNumberFormat="1" applyFont="1" applyFill="1" applyAlignment="1">
      <alignment horizontal="center" vertical="center"/>
    </xf>
    <xf numFmtId="0" fontId="17" fillId="5" borderId="0" xfId="3" applyFont="1" applyFill="1" applyAlignment="1">
      <alignment horizontal="center"/>
    </xf>
    <xf numFmtId="2" fontId="20" fillId="2" borderId="2" xfId="2" applyNumberFormat="1" applyFont="1" applyFill="1" applyBorder="1" applyAlignment="1">
      <alignment horizontal="center" vertical="center"/>
    </xf>
    <xf numFmtId="2" fontId="17" fillId="2" borderId="2" xfId="2" applyNumberFormat="1" applyFont="1" applyFill="1" applyBorder="1" applyAlignment="1">
      <alignment horizontal="center" vertical="center"/>
    </xf>
    <xf numFmtId="0" fontId="17" fillId="5" borderId="2" xfId="3" applyFont="1" applyFill="1" applyBorder="1" applyAlignment="1">
      <alignment horizontal="center"/>
    </xf>
    <xf numFmtId="166" fontId="16" fillId="0" borderId="0" xfId="2" applyNumberFormat="1" applyFont="1" applyAlignment="1">
      <alignment horizontal="center" vertical="center"/>
    </xf>
    <xf numFmtId="166" fontId="15" fillId="0" borderId="0" xfId="2" applyNumberFormat="1" applyFont="1" applyAlignment="1">
      <alignment horizontal="center" vertical="center"/>
    </xf>
    <xf numFmtId="166" fontId="17" fillId="2" borderId="0" xfId="2" applyNumberFormat="1" applyFont="1" applyFill="1" applyAlignment="1">
      <alignment horizontal="center" vertical="center"/>
    </xf>
    <xf numFmtId="166" fontId="20" fillId="2" borderId="0" xfId="2" applyNumberFormat="1" applyFont="1" applyFill="1" applyAlignment="1">
      <alignment horizontal="center" vertical="center"/>
    </xf>
    <xf numFmtId="166" fontId="17" fillId="2" borderId="1" xfId="2" applyNumberFormat="1" applyFont="1" applyFill="1" applyBorder="1" applyAlignment="1">
      <alignment horizontal="center" vertical="center"/>
    </xf>
    <xf numFmtId="0" fontId="17" fillId="5" borderId="1" xfId="3" applyFont="1" applyFill="1" applyBorder="1" applyAlignment="1">
      <alignment horizontal="center"/>
    </xf>
    <xf numFmtId="166" fontId="20" fillId="2" borderId="1" xfId="2" applyNumberFormat="1" applyFont="1" applyFill="1" applyBorder="1" applyAlignment="1">
      <alignment horizontal="center" vertical="center"/>
    </xf>
    <xf numFmtId="0" fontId="21" fillId="2" borderId="0" xfId="2" applyFont="1" applyFill="1"/>
    <xf numFmtId="166" fontId="22" fillId="2" borderId="0" xfId="2" applyNumberFormat="1" applyFont="1" applyFill="1" applyAlignment="1">
      <alignment horizontal="center" vertical="center"/>
    </xf>
    <xf numFmtId="0" fontId="13" fillId="2" borderId="7" xfId="2" applyFont="1" applyFill="1" applyBorder="1" applyAlignment="1">
      <alignment wrapText="1"/>
    </xf>
    <xf numFmtId="166" fontId="20" fillId="2" borderId="7" xfId="2" applyNumberFormat="1" applyFont="1" applyFill="1" applyBorder="1" applyAlignment="1">
      <alignment horizontal="center" wrapText="1"/>
    </xf>
    <xf numFmtId="0" fontId="22" fillId="2" borderId="0" xfId="2" applyFont="1" applyFill="1" applyAlignment="1">
      <alignment horizontal="left" indent="1"/>
    </xf>
    <xf numFmtId="0" fontId="8" fillId="2" borderId="0" xfId="3" applyFill="1"/>
    <xf numFmtId="0" fontId="22" fillId="2" borderId="0" xfId="2" applyFont="1" applyFill="1"/>
    <xf numFmtId="1" fontId="9" fillId="2" borderId="0" xfId="3" applyNumberFormat="1" applyFont="1" applyFill="1" applyAlignment="1">
      <alignment horizontal="center"/>
    </xf>
    <xf numFmtId="0" fontId="22" fillId="2" borderId="0" xfId="2" applyFont="1" applyFill="1" applyAlignment="1">
      <alignment horizontal="left" vertical="center"/>
    </xf>
    <xf numFmtId="1" fontId="9" fillId="3" borderId="0" xfId="3" applyNumberFormat="1" applyFont="1" applyFill="1" applyAlignment="1">
      <alignment horizontal="center"/>
    </xf>
    <xf numFmtId="0" fontId="22" fillId="2" borderId="0" xfId="2" applyFont="1" applyFill="1" applyAlignment="1">
      <alignment horizontal="left" vertical="center" wrapText="1"/>
    </xf>
    <xf numFmtId="0" fontId="22" fillId="2" borderId="2" xfId="2" applyFont="1" applyFill="1" applyBorder="1"/>
    <xf numFmtId="1" fontId="9" fillId="3" borderId="2" xfId="3" applyNumberFormat="1" applyFont="1" applyFill="1" applyBorder="1" applyAlignment="1">
      <alignment horizontal="center"/>
    </xf>
    <xf numFmtId="0" fontId="23" fillId="2" borderId="0" xfId="2" applyFont="1" applyFill="1"/>
    <xf numFmtId="0" fontId="24" fillId="2" borderId="3" xfId="2" applyFont="1" applyFill="1" applyBorder="1" applyAlignment="1">
      <alignment horizontal="center" vertical="center" wrapText="1"/>
    </xf>
    <xf numFmtId="0" fontId="25" fillId="2" borderId="3" xfId="2" applyFont="1" applyFill="1" applyBorder="1" applyAlignment="1">
      <alignment horizontal="center" vertical="center" wrapText="1"/>
    </xf>
    <xf numFmtId="165" fontId="25" fillId="2" borderId="3" xfId="2" applyNumberFormat="1" applyFont="1" applyFill="1" applyBorder="1" applyAlignment="1">
      <alignment horizontal="center" vertical="center" wrapText="1"/>
    </xf>
    <xf numFmtId="0" fontId="1" fillId="2" borderId="3" xfId="2" applyFill="1" applyBorder="1" applyAlignment="1">
      <alignment horizontal="center" vertical="center" wrapText="1"/>
    </xf>
    <xf numFmtId="0" fontId="1" fillId="2" borderId="0" xfId="2" applyFill="1" applyAlignment="1">
      <alignment wrapText="1"/>
    </xf>
    <xf numFmtId="167" fontId="0" fillId="2" borderId="0" xfId="4" applyNumberFormat="1" applyFont="1" applyFill="1" applyBorder="1" applyAlignment="1">
      <alignment horizontal="center" vertical="center"/>
    </xf>
    <xf numFmtId="165" fontId="26" fillId="2" borderId="0" xfId="2" applyNumberFormat="1" applyFont="1" applyFill="1" applyAlignment="1">
      <alignment horizontal="center" vertical="center"/>
    </xf>
    <xf numFmtId="1" fontId="4" fillId="2" borderId="0" xfId="2" applyNumberFormat="1" applyFont="1" applyFill="1"/>
    <xf numFmtId="166" fontId="1" fillId="2" borderId="0" xfId="2" applyNumberFormat="1" applyFill="1" applyAlignment="1">
      <alignment horizontal="center" vertical="center"/>
    </xf>
    <xf numFmtId="166" fontId="1" fillId="2" borderId="0" xfId="2" applyNumberFormat="1" applyFill="1"/>
    <xf numFmtId="166" fontId="1" fillId="2" borderId="1" xfId="2" applyNumberFormat="1" applyFill="1" applyBorder="1" applyAlignment="1">
      <alignment horizontal="center" vertical="center"/>
    </xf>
    <xf numFmtId="166" fontId="1" fillId="2" borderId="1" xfId="2" applyNumberFormat="1" applyFill="1" applyBorder="1"/>
    <xf numFmtId="1" fontId="4" fillId="2" borderId="1" xfId="2" applyNumberFormat="1" applyFont="1" applyFill="1" applyBorder="1"/>
    <xf numFmtId="49" fontId="1" fillId="2" borderId="0" xfId="2" applyNumberFormat="1" applyFill="1"/>
    <xf numFmtId="1" fontId="1" fillId="2" borderId="2" xfId="2" applyNumberFormat="1" applyFill="1" applyBorder="1" applyAlignment="1">
      <alignment horizontal="center" vertical="center"/>
    </xf>
    <xf numFmtId="1" fontId="1" fillId="2" borderId="2" xfId="2" applyNumberFormat="1" applyFill="1" applyBorder="1"/>
    <xf numFmtId="0" fontId="27" fillId="2" borderId="0" xfId="2" applyFont="1" applyFill="1"/>
    <xf numFmtId="0" fontId="22" fillId="2" borderId="0" xfId="2" applyFont="1" applyFill="1" applyAlignment="1">
      <alignment horizontal="center" vertical="center" wrapText="1"/>
    </xf>
    <xf numFmtId="0" fontId="22" fillId="2" borderId="5" xfId="2" applyFont="1" applyFill="1" applyBorder="1"/>
    <xf numFmtId="0" fontId="21" fillId="2" borderId="0" xfId="2" applyFont="1" applyFill="1" applyAlignment="1">
      <alignment horizontal="center"/>
    </xf>
    <xf numFmtId="0" fontId="21" fillId="2" borderId="4" xfId="2" applyFont="1" applyFill="1" applyBorder="1"/>
    <xf numFmtId="0" fontId="21" fillId="2" borderId="2" xfId="2" applyFont="1" applyFill="1" applyBorder="1"/>
    <xf numFmtId="0" fontId="28" fillId="2" borderId="2" xfId="2" applyFont="1" applyFill="1" applyBorder="1" applyAlignment="1">
      <alignment horizontal="center" vertical="center" wrapText="1"/>
    </xf>
    <xf numFmtId="0" fontId="21" fillId="2" borderId="4" xfId="2" applyFont="1" applyFill="1" applyBorder="1" applyAlignment="1">
      <alignment horizontal="center" vertical="center" wrapText="1"/>
    </xf>
    <xf numFmtId="0" fontId="21" fillId="2" borderId="0" xfId="2" applyFont="1" applyFill="1" applyAlignment="1">
      <alignment horizontal="center" vertical="center" wrapText="1"/>
    </xf>
    <xf numFmtId="0" fontId="29" fillId="2" borderId="0" xfId="2" applyFont="1" applyFill="1"/>
    <xf numFmtId="0" fontId="9" fillId="2" borderId="2" xfId="2" applyFont="1" applyFill="1" applyBorder="1"/>
    <xf numFmtId="0" fontId="9" fillId="2" borderId="0" xfId="2" applyFont="1" applyFill="1"/>
    <xf numFmtId="0" fontId="22" fillId="2" borderId="4" xfId="2" applyFont="1" applyFill="1" applyBorder="1"/>
    <xf numFmtId="0" fontId="30" fillId="2" borderId="4" xfId="2" applyFont="1" applyFill="1" applyBorder="1" applyAlignment="1">
      <alignment horizontal="center" vertical="center" wrapText="1"/>
    </xf>
    <xf numFmtId="0" fontId="31" fillId="2" borderId="0" xfId="2" applyFont="1" applyFill="1" applyAlignment="1">
      <alignment wrapText="1"/>
    </xf>
    <xf numFmtId="0" fontId="22" fillId="2" borderId="4" xfId="2" applyFont="1" applyFill="1" applyBorder="1" applyAlignment="1">
      <alignment horizontal="center" vertical="center" wrapText="1"/>
    </xf>
    <xf numFmtId="0" fontId="22" fillId="2" borderId="0" xfId="2" applyFont="1" applyFill="1" applyAlignment="1">
      <alignment horizontal="center" vertical="center"/>
    </xf>
    <xf numFmtId="166" fontId="22" fillId="2" borderId="5" xfId="2" applyNumberFormat="1" applyFont="1" applyFill="1" applyBorder="1" applyAlignment="1">
      <alignment horizontal="right" vertical="center"/>
    </xf>
    <xf numFmtId="166" fontId="22" fillId="2" borderId="0" xfId="2" applyNumberFormat="1" applyFont="1" applyFill="1" applyAlignment="1">
      <alignment horizontal="right" vertical="center"/>
    </xf>
    <xf numFmtId="2" fontId="22" fillId="2" borderId="0" xfId="2" applyNumberFormat="1" applyFont="1" applyFill="1"/>
    <xf numFmtId="164" fontId="22" fillId="2" borderId="0" xfId="2" applyNumberFormat="1" applyFont="1" applyFill="1" applyAlignment="1">
      <alignment horizontal="right" vertical="center"/>
    </xf>
    <xf numFmtId="164" fontId="22" fillId="2" borderId="0" xfId="2" applyNumberFormat="1" applyFont="1" applyFill="1"/>
    <xf numFmtId="168" fontId="32" fillId="2" borderId="0" xfId="2" applyNumberFormat="1" applyFont="1" applyFill="1"/>
    <xf numFmtId="164" fontId="9" fillId="2" borderId="0" xfId="2" applyNumberFormat="1" applyFont="1" applyFill="1"/>
    <xf numFmtId="1" fontId="22" fillId="2" borderId="5" xfId="2" applyNumberFormat="1" applyFont="1" applyFill="1" applyBorder="1"/>
    <xf numFmtId="167" fontId="33" fillId="2" borderId="5" xfId="4" applyNumberFormat="1" applyFont="1" applyFill="1" applyBorder="1" applyAlignment="1">
      <alignment horizontal="right" vertical="center" wrapText="1"/>
    </xf>
    <xf numFmtId="167" fontId="9" fillId="2" borderId="5" xfId="4" applyNumberFormat="1" applyFont="1" applyFill="1" applyBorder="1"/>
    <xf numFmtId="4" fontId="31" fillId="2" borderId="0" xfId="2" applyNumberFormat="1" applyFont="1" applyFill="1"/>
    <xf numFmtId="0" fontId="31" fillId="2" borderId="0" xfId="2" applyFont="1" applyFill="1"/>
    <xf numFmtId="166" fontId="33" fillId="2" borderId="5" xfId="2" applyNumberFormat="1" applyFont="1" applyFill="1" applyBorder="1" applyAlignment="1">
      <alignment horizontal="right" vertical="center" wrapText="1"/>
    </xf>
    <xf numFmtId="166" fontId="22" fillId="2" borderId="5" xfId="2" applyNumberFormat="1" applyFont="1" applyFill="1" applyBorder="1"/>
    <xf numFmtId="166" fontId="22" fillId="2" borderId="0" xfId="2" applyNumberFormat="1" applyFont="1" applyFill="1"/>
    <xf numFmtId="165" fontId="22" fillId="2" borderId="5" xfId="2" applyNumberFormat="1" applyFont="1" applyFill="1" applyBorder="1"/>
    <xf numFmtId="1" fontId="22" fillId="2" borderId="0" xfId="2" applyNumberFormat="1" applyFont="1" applyFill="1"/>
    <xf numFmtId="167" fontId="9" fillId="2" borderId="0" xfId="4" applyNumberFormat="1" applyFont="1" applyFill="1" applyBorder="1"/>
    <xf numFmtId="0" fontId="34" fillId="2" borderId="0" xfId="2" applyFont="1" applyFill="1"/>
    <xf numFmtId="166" fontId="33" fillId="2" borderId="0" xfId="2" applyNumberFormat="1" applyFont="1" applyFill="1" applyAlignment="1">
      <alignment vertical="center" wrapText="1"/>
    </xf>
    <xf numFmtId="0" fontId="22" fillId="2" borderId="2" xfId="2" applyFont="1" applyFill="1" applyBorder="1" applyAlignment="1">
      <alignment horizontal="center" vertical="center"/>
    </xf>
    <xf numFmtId="169" fontId="22" fillId="2" borderId="2" xfId="2" applyNumberFormat="1" applyFont="1" applyFill="1" applyBorder="1" applyAlignment="1">
      <alignment horizontal="center" vertical="center"/>
    </xf>
    <xf numFmtId="164" fontId="22" fillId="2" borderId="0" xfId="2" applyNumberFormat="1" applyFont="1" applyFill="1" applyAlignment="1">
      <alignment horizontal="center" vertical="center"/>
    </xf>
    <xf numFmtId="164" fontId="32" fillId="2" borderId="0" xfId="2" applyNumberFormat="1" applyFont="1" applyFill="1"/>
    <xf numFmtId="0" fontId="34" fillId="2" borderId="9" xfId="2" applyFont="1" applyFill="1" applyBorder="1" applyAlignment="1">
      <alignment horizontal="right" vertical="center"/>
    </xf>
    <xf numFmtId="164" fontId="22" fillId="2" borderId="0" xfId="5" applyFont="1" applyFill="1" applyBorder="1"/>
    <xf numFmtId="0" fontId="35" fillId="2" borderId="0" xfId="2" applyFont="1" applyFill="1"/>
    <xf numFmtId="0" fontId="36" fillId="2" borderId="0" xfId="2" applyFont="1" applyFill="1"/>
    <xf numFmtId="166" fontId="33" fillId="2" borderId="0" xfId="2" applyNumberFormat="1" applyFont="1" applyFill="1" applyAlignment="1">
      <alignment horizontal="right" vertical="center" wrapText="1"/>
    </xf>
    <xf numFmtId="4" fontId="22" fillId="2" borderId="0" xfId="2" applyNumberFormat="1" applyFont="1" applyFill="1"/>
    <xf numFmtId="1" fontId="22" fillId="2" borderId="2" xfId="2" applyNumberFormat="1" applyFont="1" applyFill="1" applyBorder="1"/>
    <xf numFmtId="167" fontId="9" fillId="2" borderId="2" xfId="4" applyNumberFormat="1" applyFont="1" applyFill="1" applyBorder="1"/>
    <xf numFmtId="166" fontId="33" fillId="2" borderId="2" xfId="2" applyNumberFormat="1" applyFont="1" applyFill="1" applyBorder="1" applyAlignment="1">
      <alignment horizontal="right" vertical="center" wrapText="1"/>
    </xf>
    <xf numFmtId="166" fontId="22" fillId="2" borderId="2" xfId="2" applyNumberFormat="1" applyFont="1" applyFill="1" applyBorder="1"/>
    <xf numFmtId="2" fontId="22" fillId="2" borderId="2" xfId="2" applyNumberFormat="1" applyFont="1" applyFill="1" applyBorder="1"/>
    <xf numFmtId="167" fontId="22" fillId="2" borderId="0" xfId="2" applyNumberFormat="1" applyFont="1" applyFill="1"/>
    <xf numFmtId="164" fontId="9" fillId="2" borderId="0" xfId="4" applyFont="1" applyFill="1"/>
    <xf numFmtId="0" fontId="22" fillId="2" borderId="0" xfId="2" applyFont="1" applyFill="1" applyAlignment="1">
      <alignment horizontal="left" wrapText="1" indent="1"/>
    </xf>
    <xf numFmtId="165" fontId="22" fillId="2" borderId="0" xfId="2" applyNumberFormat="1" applyFont="1" applyFill="1" applyAlignment="1">
      <alignment horizontal="center" vertical="center"/>
    </xf>
    <xf numFmtId="0" fontId="35" fillId="2" borderId="10" xfId="2" applyFont="1" applyFill="1" applyBorder="1" applyAlignment="1">
      <alignment vertical="center"/>
    </xf>
    <xf numFmtId="0" fontId="37" fillId="2" borderId="11" xfId="2" applyFont="1" applyFill="1" applyBorder="1" applyAlignment="1">
      <alignment horizontal="right" vertical="center"/>
    </xf>
    <xf numFmtId="0" fontId="10" fillId="2" borderId="11" xfId="2" applyFont="1" applyFill="1" applyBorder="1" applyAlignment="1">
      <alignment horizontal="right" vertical="center"/>
    </xf>
    <xf numFmtId="9" fontId="10" fillId="2" borderId="11" xfId="2" applyNumberFormat="1" applyFont="1" applyFill="1" applyBorder="1" applyAlignment="1">
      <alignment horizontal="right" vertical="center"/>
    </xf>
    <xf numFmtId="0" fontId="35" fillId="2" borderId="12" xfId="2" applyFont="1" applyFill="1" applyBorder="1" applyAlignment="1">
      <alignment vertical="center"/>
    </xf>
    <xf numFmtId="0" fontId="35" fillId="2" borderId="13" xfId="2" applyFont="1" applyFill="1" applyBorder="1" applyAlignment="1">
      <alignment horizontal="right" vertical="center"/>
    </xf>
    <xf numFmtId="9" fontId="37" fillId="2" borderId="13" xfId="2" applyNumberFormat="1" applyFont="1" applyFill="1" applyBorder="1" applyAlignment="1">
      <alignment horizontal="right" vertical="center"/>
    </xf>
    <xf numFmtId="0" fontId="38" fillId="2" borderId="14" xfId="2" applyFont="1" applyFill="1" applyBorder="1" applyAlignment="1">
      <alignment vertical="center"/>
    </xf>
    <xf numFmtId="0" fontId="38" fillId="2" borderId="9" xfId="2" applyFont="1" applyFill="1" applyBorder="1" applyAlignment="1">
      <alignment horizontal="right" vertical="center"/>
    </xf>
    <xf numFmtId="9" fontId="38" fillId="2" borderId="9" xfId="2" applyNumberFormat="1" applyFont="1" applyFill="1" applyBorder="1" applyAlignment="1">
      <alignment horizontal="right" vertical="center"/>
    </xf>
    <xf numFmtId="0" fontId="35" fillId="2" borderId="14" xfId="2" applyFont="1" applyFill="1" applyBorder="1" applyAlignment="1">
      <alignment vertical="center"/>
    </xf>
    <xf numFmtId="0" fontId="35" fillId="2" borderId="9" xfId="2" applyFont="1" applyFill="1" applyBorder="1" applyAlignment="1">
      <alignment horizontal="right" vertical="center"/>
    </xf>
    <xf numFmtId="9" fontId="37" fillId="2" borderId="9" xfId="2" applyNumberFormat="1" applyFont="1" applyFill="1" applyBorder="1" applyAlignment="1">
      <alignment horizontal="right" vertical="center"/>
    </xf>
    <xf numFmtId="0" fontId="36" fillId="2" borderId="9" xfId="2" applyFont="1" applyFill="1" applyBorder="1" applyAlignment="1">
      <alignment horizontal="right" vertical="center"/>
    </xf>
    <xf numFmtId="0" fontId="37" fillId="2" borderId="9" xfId="2" applyFont="1" applyFill="1" applyBorder="1" applyAlignment="1">
      <alignment horizontal="right" vertical="center"/>
    </xf>
    <xf numFmtId="170" fontId="40" fillId="2" borderId="15" xfId="6" applyFont="1" applyFill="1" applyBorder="1" applyAlignment="1">
      <alignment vertical="center"/>
    </xf>
    <xf numFmtId="4" fontId="40" fillId="2" borderId="16" xfId="4" applyNumberFormat="1" applyFont="1" applyFill="1" applyBorder="1" applyAlignment="1">
      <alignment horizontal="center" vertical="center"/>
    </xf>
    <xf numFmtId="4" fontId="9" fillId="2" borderId="16" xfId="4" applyNumberFormat="1" applyFont="1" applyFill="1" applyBorder="1" applyAlignment="1">
      <alignment horizontal="center" vertical="center"/>
    </xf>
    <xf numFmtId="170" fontId="41" fillId="2" borderId="15" xfId="6" applyFont="1" applyFill="1" applyBorder="1" applyAlignment="1">
      <alignment vertical="center"/>
    </xf>
    <xf numFmtId="4" fontId="41" fillId="2" borderId="16" xfId="4" applyNumberFormat="1" applyFont="1" applyFill="1" applyBorder="1" applyAlignment="1">
      <alignment horizontal="center" vertical="center"/>
    </xf>
    <xf numFmtId="4" fontId="11" fillId="2" borderId="16" xfId="4" applyNumberFormat="1" applyFont="1" applyFill="1" applyBorder="1" applyAlignment="1">
      <alignment horizontal="center" vertical="center"/>
    </xf>
    <xf numFmtId="0" fontId="1" fillId="2" borderId="0" xfId="7" applyFill="1"/>
    <xf numFmtId="0" fontId="42" fillId="2" borderId="0" xfId="3" applyFont="1" applyFill="1" applyAlignment="1">
      <alignment horizontal="center" vertical="center" readingOrder="1"/>
    </xf>
    <xf numFmtId="0" fontId="1" fillId="0" borderId="0" xfId="2"/>
    <xf numFmtId="0" fontId="0" fillId="2" borderId="0" xfId="2" applyFont="1" applyFill="1"/>
    <xf numFmtId="0" fontId="0" fillId="2" borderId="0" xfId="2" applyFont="1" applyFill="1" applyAlignment="1">
      <alignment wrapText="1"/>
    </xf>
    <xf numFmtId="0" fontId="4" fillId="2" borderId="0" xfId="2" applyFont="1" applyFill="1" applyAlignment="1">
      <alignment wrapText="1"/>
    </xf>
    <xf numFmtId="0" fontId="8" fillId="2" borderId="0" xfId="2" applyFont="1" applyFill="1" applyAlignment="1">
      <alignment wrapText="1"/>
    </xf>
    <xf numFmtId="0" fontId="4" fillId="2" borderId="0" xfId="2" applyFont="1" applyFill="1"/>
    <xf numFmtId="0" fontId="1" fillId="2" borderId="1" xfId="2" applyFill="1" applyBorder="1" applyAlignment="1">
      <alignment horizontal="left" wrapText="1" indent="1"/>
    </xf>
    <xf numFmtId="0" fontId="4" fillId="2" borderId="0" xfId="0" applyFont="1" applyFill="1"/>
    <xf numFmtId="0" fontId="0" fillId="2" borderId="1" xfId="0" applyFill="1" applyBorder="1"/>
    <xf numFmtId="0" fontId="0" fillId="2" borderId="1" xfId="0" applyFill="1" applyBorder="1" applyAlignment="1">
      <alignment horizontal="center" vertical="center"/>
    </xf>
    <xf numFmtId="0" fontId="0" fillId="2" borderId="5" xfId="0" applyFill="1" applyBorder="1"/>
    <xf numFmtId="0" fontId="0" fillId="2" borderId="5" xfId="0" applyFill="1" applyBorder="1" applyAlignment="1">
      <alignment horizontal="center" vertical="center"/>
    </xf>
    <xf numFmtId="0" fontId="1" fillId="2" borderId="5" xfId="2" applyFill="1" applyBorder="1" applyAlignment="1">
      <alignment horizontal="left"/>
    </xf>
    <xf numFmtId="0" fontId="1" fillId="2" borderId="0" xfId="2" applyFill="1" applyAlignment="1">
      <alignment horizontal="left"/>
    </xf>
    <xf numFmtId="0" fontId="8" fillId="2" borderId="1" xfId="2" applyFont="1" applyFill="1" applyBorder="1" applyAlignment="1">
      <alignment wrapText="1"/>
    </xf>
    <xf numFmtId="0" fontId="1" fillId="2" borderId="5" xfId="2" applyFill="1" applyBorder="1" applyAlignment="1">
      <alignment horizontal="left" indent="1"/>
    </xf>
    <xf numFmtId="166" fontId="1" fillId="2" borderId="5" xfId="2" applyNumberFormat="1" applyFill="1" applyBorder="1" applyAlignment="1">
      <alignment horizontal="center" vertical="center"/>
    </xf>
    <xf numFmtId="0" fontId="1" fillId="2" borderId="0" xfId="2" applyFill="1" applyAlignment="1">
      <alignment horizontal="left" indent="1"/>
    </xf>
    <xf numFmtId="49" fontId="1" fillId="6" borderId="5" xfId="2" quotePrefix="1" applyNumberFormat="1" applyFill="1" applyBorder="1" applyAlignment="1">
      <alignment horizontal="center" vertical="center"/>
    </xf>
    <xf numFmtId="166" fontId="4" fillId="2" borderId="0" xfId="2" applyNumberFormat="1" applyFont="1" applyFill="1" applyAlignment="1">
      <alignment horizontal="center" vertical="center"/>
    </xf>
    <xf numFmtId="0" fontId="4" fillId="2" borderId="0" xfId="2" applyFont="1" applyFill="1" applyAlignment="1">
      <alignment horizontal="center" vertical="center"/>
    </xf>
    <xf numFmtId="0" fontId="4" fillId="2" borderId="0" xfId="0" applyFont="1" applyFill="1" applyAlignment="1">
      <alignment horizontal="center" vertical="center"/>
    </xf>
    <xf numFmtId="166" fontId="1" fillId="6" borderId="0" xfId="2" applyNumberFormat="1" applyFill="1" applyAlignment="1">
      <alignment horizontal="center" vertical="center"/>
    </xf>
    <xf numFmtId="1" fontId="1" fillId="6" borderId="0" xfId="2" applyNumberFormat="1" applyFill="1" applyAlignment="1" applyProtection="1">
      <alignment horizontal="center" vertical="center"/>
      <protection locked="0"/>
    </xf>
    <xf numFmtId="1" fontId="1" fillId="6" borderId="0" xfId="2" applyNumberFormat="1" applyFill="1" applyAlignment="1">
      <alignment horizontal="center" vertical="center"/>
    </xf>
    <xf numFmtId="1" fontId="0" fillId="2" borderId="0" xfId="0" applyNumberFormat="1" applyFill="1"/>
    <xf numFmtId="0" fontId="3" fillId="2" borderId="1" xfId="2" applyFont="1" applyFill="1" applyBorder="1"/>
    <xf numFmtId="0" fontId="43" fillId="2" borderId="1" xfId="2" applyFont="1" applyFill="1" applyBorder="1" applyAlignment="1">
      <alignment horizontal="center" vertical="center" wrapText="1"/>
    </xf>
    <xf numFmtId="2" fontId="1" fillId="2" borderId="0" xfId="2" applyNumberFormat="1" applyFill="1" applyAlignment="1">
      <alignment horizontal="center" vertical="center"/>
    </xf>
    <xf numFmtId="0" fontId="7" fillId="2" borderId="2" xfId="2" applyFont="1" applyFill="1" applyBorder="1" applyAlignment="1">
      <alignment horizontal="left" indent="1"/>
    </xf>
    <xf numFmtId="0" fontId="1" fillId="2" borderId="2" xfId="2" applyFill="1" applyBorder="1" applyAlignment="1">
      <alignment horizontal="center" vertical="center"/>
    </xf>
    <xf numFmtId="0" fontId="7" fillId="2" borderId="1" xfId="2" applyFont="1" applyFill="1" applyBorder="1" applyAlignment="1">
      <alignment horizontal="left" indent="1"/>
    </xf>
    <xf numFmtId="2" fontId="1" fillId="0" borderId="0" xfId="2" applyNumberFormat="1" applyAlignment="1">
      <alignment horizontal="center" vertical="center"/>
    </xf>
    <xf numFmtId="0" fontId="8" fillId="2" borderId="0" xfId="2" applyFont="1" applyFill="1" applyAlignment="1">
      <alignment horizontal="center" vertical="center"/>
    </xf>
    <xf numFmtId="166" fontId="1" fillId="0" borderId="0" xfId="2" applyNumberFormat="1" applyAlignment="1">
      <alignment horizontal="center" vertical="center"/>
    </xf>
    <xf numFmtId="2" fontId="1" fillId="6" borderId="0" xfId="2" applyNumberFormat="1" applyFill="1" applyAlignment="1">
      <alignment horizontal="center" vertical="center"/>
    </xf>
    <xf numFmtId="2" fontId="1" fillId="6" borderId="2" xfId="2" applyNumberFormat="1" applyFill="1" applyBorder="1" applyAlignment="1">
      <alignment horizontal="center" vertical="center"/>
    </xf>
    <xf numFmtId="2" fontId="1" fillId="6" borderId="1" xfId="2" applyNumberFormat="1" applyFill="1" applyBorder="1" applyAlignment="1">
      <alignment horizontal="center" vertical="center"/>
    </xf>
    <xf numFmtId="2" fontId="8" fillId="6" borderId="0" xfId="2" applyNumberFormat="1" applyFont="1" applyFill="1" applyAlignment="1">
      <alignment horizontal="center" vertical="center"/>
    </xf>
    <xf numFmtId="2" fontId="8" fillId="6" borderId="2" xfId="2" applyNumberFormat="1" applyFont="1" applyFill="1" applyBorder="1" applyAlignment="1">
      <alignment horizontal="center" vertical="center"/>
    </xf>
    <xf numFmtId="0" fontId="6" fillId="7" borderId="0" xfId="0" applyFont="1" applyFill="1"/>
    <xf numFmtId="0" fontId="0" fillId="7" borderId="0" xfId="0" applyFill="1"/>
    <xf numFmtId="0" fontId="6" fillId="7" borderId="0" xfId="2" applyFont="1" applyFill="1"/>
    <xf numFmtId="0" fontId="1" fillId="7" borderId="0" xfId="2" applyFill="1" applyAlignment="1">
      <alignment horizontal="center" vertical="center"/>
    </xf>
    <xf numFmtId="0" fontId="1" fillId="7" borderId="0" xfId="2" applyFill="1"/>
    <xf numFmtId="1" fontId="0" fillId="7" borderId="0" xfId="0" applyNumberFormat="1" applyFill="1"/>
    <xf numFmtId="10" fontId="0" fillId="2" borderId="0" xfId="1" applyNumberFormat="1" applyFont="1" applyFill="1"/>
    <xf numFmtId="0" fontId="4" fillId="0" borderId="0" xfId="2" applyFont="1"/>
    <xf numFmtId="166" fontId="1" fillId="8" borderId="1" xfId="2" applyNumberFormat="1" applyFill="1" applyBorder="1" applyAlignment="1">
      <alignment horizontal="center" vertical="center"/>
    </xf>
    <xf numFmtId="0" fontId="1" fillId="0" borderId="0" xfId="2" applyAlignment="1">
      <alignment horizontal="center" vertical="center"/>
    </xf>
    <xf numFmtId="165" fontId="1" fillId="0" borderId="0" xfId="2" applyNumberFormat="1" applyAlignment="1">
      <alignment horizontal="center" vertical="center"/>
    </xf>
    <xf numFmtId="1" fontId="1" fillId="0" borderId="0" xfId="2" applyNumberFormat="1" applyAlignment="1">
      <alignment horizontal="center" vertical="center"/>
    </xf>
    <xf numFmtId="0" fontId="1" fillId="2" borderId="4" xfId="7" applyFill="1" applyBorder="1" applyAlignment="1">
      <alignment horizontal="center" vertical="center" wrapText="1"/>
    </xf>
    <xf numFmtId="0" fontId="1" fillId="2" borderId="5" xfId="7" applyFill="1" applyBorder="1"/>
    <xf numFmtId="0" fontId="1" fillId="2" borderId="0" xfId="7" applyFill="1" applyAlignment="1">
      <alignment horizontal="center"/>
    </xf>
    <xf numFmtId="166" fontId="1" fillId="2" borderId="0" xfId="7" applyNumberFormat="1" applyFill="1" applyAlignment="1">
      <alignment horizontal="center"/>
    </xf>
    <xf numFmtId="166" fontId="1" fillId="2" borderId="0" xfId="7" applyNumberFormat="1" applyFill="1"/>
    <xf numFmtId="166" fontId="1" fillId="2" borderId="2" xfId="7" applyNumberFormat="1" applyFill="1" applyBorder="1" applyAlignment="1">
      <alignment horizontal="center"/>
    </xf>
    <xf numFmtId="0" fontId="1" fillId="2" borderId="0" xfId="7" applyFill="1" applyAlignment="1">
      <alignment vertical="center"/>
    </xf>
    <xf numFmtId="0" fontId="4" fillId="2" borderId="0" xfId="7" applyFont="1" applyFill="1"/>
    <xf numFmtId="0" fontId="44" fillId="2" borderId="0" xfId="7" applyFont="1" applyFill="1"/>
    <xf numFmtId="0" fontId="45" fillId="2" borderId="0" xfId="7" applyFont="1" applyFill="1"/>
    <xf numFmtId="0" fontId="1" fillId="2" borderId="0" xfId="7" applyFill="1" applyAlignment="1">
      <alignment horizontal="center" vertical="center"/>
    </xf>
    <xf numFmtId="0" fontId="1" fillId="2" borderId="0" xfId="7" applyFill="1" applyProtection="1">
      <protection locked="0"/>
    </xf>
    <xf numFmtId="0" fontId="8" fillId="2" borderId="0" xfId="3" applyFill="1" applyProtection="1">
      <protection locked="0"/>
    </xf>
    <xf numFmtId="2" fontId="1" fillId="2" borderId="0" xfId="7" applyNumberFormat="1" applyFill="1"/>
    <xf numFmtId="2" fontId="1" fillId="2" borderId="0" xfId="7" applyNumberFormat="1" applyFill="1" applyAlignment="1">
      <alignment horizontal="left"/>
    </xf>
    <xf numFmtId="2" fontId="4" fillId="2" borderId="0" xfId="7" applyNumberFormat="1" applyFont="1" applyFill="1"/>
    <xf numFmtId="0" fontId="8" fillId="0" borderId="0" xfId="3"/>
    <xf numFmtId="0" fontId="1" fillId="2" borderId="0" xfId="7" applyFill="1" applyAlignment="1">
      <alignment horizontal="left"/>
    </xf>
    <xf numFmtId="0" fontId="4" fillId="2" borderId="0" xfId="7" applyFont="1" applyFill="1" applyAlignment="1">
      <alignment horizontal="left"/>
    </xf>
    <xf numFmtId="0" fontId="8" fillId="2" borderId="0" xfId="3" applyFill="1" applyAlignment="1" applyProtection="1">
      <alignment horizontal="left"/>
      <protection locked="0"/>
    </xf>
    <xf numFmtId="2" fontId="4" fillId="2" borderId="0" xfId="7" applyNumberFormat="1" applyFont="1" applyFill="1" applyAlignment="1">
      <alignment horizontal="left"/>
    </xf>
    <xf numFmtId="0" fontId="8" fillId="2" borderId="0" xfId="3" applyFill="1" applyAlignment="1">
      <alignment horizontal="left"/>
    </xf>
    <xf numFmtId="0" fontId="22" fillId="2" borderId="4" xfId="7" applyFont="1" applyFill="1" applyBorder="1" applyAlignment="1">
      <alignment horizontal="center"/>
    </xf>
    <xf numFmtId="0" fontId="22" fillId="2" borderId="5" xfId="7" applyFont="1" applyFill="1" applyBorder="1" applyAlignment="1">
      <alignment horizontal="center"/>
    </xf>
    <xf numFmtId="0" fontId="22" fillId="2" borderId="0" xfId="7" applyFont="1" applyFill="1" applyAlignment="1">
      <alignment horizontal="center"/>
    </xf>
    <xf numFmtId="0" fontId="1" fillId="9" borderId="0" xfId="7" applyFill="1"/>
    <xf numFmtId="0" fontId="1" fillId="2" borderId="2" xfId="7" applyFill="1" applyBorder="1"/>
    <xf numFmtId="0" fontId="22" fillId="2" borderId="2" xfId="7" applyFont="1" applyFill="1" applyBorder="1" applyAlignment="1">
      <alignment horizontal="center"/>
    </xf>
    <xf numFmtId="0" fontId="22" fillId="2" borderId="2" xfId="7" applyFont="1" applyFill="1" applyBorder="1" applyAlignment="1" applyProtection="1">
      <alignment horizontal="center"/>
      <protection locked="0"/>
    </xf>
    <xf numFmtId="0" fontId="9" fillId="2" borderId="4" xfId="3" applyFont="1" applyFill="1" applyBorder="1" applyAlignment="1">
      <alignment horizontal="center"/>
    </xf>
    <xf numFmtId="0" fontId="31" fillId="4" borderId="0" xfId="3" applyFont="1" applyFill="1" applyAlignment="1">
      <alignment horizontal="left" vertical="center" wrapText="1"/>
    </xf>
    <xf numFmtId="166" fontId="22" fillId="2" borderId="0" xfId="7" applyNumberFormat="1" applyFont="1" applyFill="1" applyAlignment="1">
      <alignment horizontal="center"/>
    </xf>
    <xf numFmtId="2" fontId="22" fillId="2" borderId="0" xfId="7" applyNumberFormat="1" applyFont="1" applyFill="1" applyAlignment="1">
      <alignment horizontal="center"/>
    </xf>
    <xf numFmtId="2" fontId="22" fillId="2" borderId="0" xfId="7" applyNumberFormat="1" applyFont="1" applyFill="1" applyAlignment="1">
      <alignment horizontal="center" vertical="center"/>
    </xf>
    <xf numFmtId="172" fontId="1" fillId="2" borderId="0" xfId="7" applyNumberFormat="1" applyFill="1" applyAlignment="1">
      <alignment horizontal="left"/>
    </xf>
    <xf numFmtId="171" fontId="1" fillId="2" borderId="0" xfId="7" applyNumberFormat="1" applyFill="1" applyAlignment="1">
      <alignment horizontal="left"/>
    </xf>
    <xf numFmtId="173" fontId="22" fillId="2" borderId="0" xfId="7" applyNumberFormat="1" applyFont="1" applyFill="1" applyAlignment="1">
      <alignment horizontal="center" vertical="center"/>
    </xf>
    <xf numFmtId="173" fontId="1" fillId="2" borderId="0" xfId="7" applyNumberFormat="1" applyFill="1" applyAlignment="1">
      <alignment horizontal="left"/>
    </xf>
    <xf numFmtId="1" fontId="1" fillId="2" borderId="0" xfId="7" applyNumberFormat="1" applyFill="1" applyAlignment="1">
      <alignment horizontal="left"/>
    </xf>
    <xf numFmtId="173" fontId="1" fillId="2" borderId="0" xfId="7" applyNumberFormat="1" applyFill="1"/>
    <xf numFmtId="0" fontId="31" fillId="4" borderId="2" xfId="3" applyFont="1" applyFill="1" applyBorder="1" applyAlignment="1">
      <alignment horizontal="left" vertical="center" wrapText="1"/>
    </xf>
    <xf numFmtId="166" fontId="22" fillId="2" borderId="2" xfId="7" applyNumberFormat="1" applyFont="1" applyFill="1" applyBorder="1" applyAlignment="1">
      <alignment horizontal="center"/>
    </xf>
    <xf numFmtId="4" fontId="22" fillId="2" borderId="2" xfId="7" applyNumberFormat="1" applyFont="1" applyFill="1" applyBorder="1" applyAlignment="1">
      <alignment horizontal="center" vertical="center"/>
    </xf>
    <xf numFmtId="0" fontId="46" fillId="2" borderId="0" xfId="3" applyFont="1" applyFill="1" applyAlignment="1">
      <alignment horizontal="left"/>
    </xf>
    <xf numFmtId="4" fontId="1" fillId="2" borderId="0" xfId="7" applyNumberFormat="1" applyFill="1" applyAlignment="1">
      <alignment horizontal="left"/>
    </xf>
    <xf numFmtId="4" fontId="1" fillId="2" borderId="0" xfId="7" applyNumberFormat="1" applyFill="1"/>
    <xf numFmtId="0" fontId="8" fillId="0" borderId="0" xfId="3" applyAlignment="1">
      <alignment horizontal="left"/>
    </xf>
    <xf numFmtId="0" fontId="48" fillId="2" borderId="0" xfId="3" applyFont="1" applyFill="1"/>
    <xf numFmtId="174" fontId="1" fillId="2" borderId="0" xfId="7" applyNumberFormat="1" applyFill="1" applyAlignment="1">
      <alignment horizontal="left"/>
    </xf>
    <xf numFmtId="0" fontId="48" fillId="2" borderId="0" xfId="3" applyFont="1" applyFill="1" applyAlignment="1">
      <alignment horizontal="left"/>
    </xf>
    <xf numFmtId="0" fontId="1" fillId="2" borderId="0" xfId="2" applyFill="1" applyAlignment="1">
      <alignment vertical="center" wrapText="1"/>
    </xf>
    <xf numFmtId="1" fontId="0" fillId="0" borderId="0" xfId="0" applyNumberFormat="1" applyAlignment="1">
      <alignment horizontal="center" vertical="center"/>
    </xf>
    <xf numFmtId="0" fontId="0" fillId="12" borderId="19" xfId="0" applyFill="1" applyBorder="1"/>
    <xf numFmtId="0" fontId="3" fillId="2" borderId="0" xfId="7" applyFont="1" applyFill="1"/>
    <xf numFmtId="0" fontId="3" fillId="2" borderId="0" xfId="0" applyFont="1" applyFill="1"/>
    <xf numFmtId="0" fontId="0" fillId="2" borderId="0" xfId="0" applyFill="1" applyAlignment="1">
      <alignment horizontal="center" vertical="center"/>
    </xf>
    <xf numFmtId="0" fontId="4" fillId="2" borderId="0" xfId="0" applyFont="1" applyFill="1" applyAlignment="1">
      <alignment horizontal="center" vertical="center" wrapText="1"/>
    </xf>
    <xf numFmtId="0" fontId="1" fillId="2" borderId="20" xfId="7" applyFill="1" applyBorder="1" applyAlignment="1">
      <alignment horizontal="center"/>
    </xf>
    <xf numFmtId="171" fontId="0" fillId="2" borderId="0" xfId="0" applyNumberFormat="1" applyFill="1"/>
    <xf numFmtId="0" fontId="4" fillId="2" borderId="0" xfId="0" applyFont="1" applyFill="1" applyAlignment="1">
      <alignment vertical="center"/>
    </xf>
    <xf numFmtId="0" fontId="5" fillId="2" borderId="0" xfId="0" applyFont="1" applyFill="1"/>
    <xf numFmtId="0" fontId="4" fillId="2" borderId="5" xfId="7" applyFont="1" applyFill="1" applyBorder="1" applyAlignment="1">
      <alignment horizontal="center" vertical="center"/>
    </xf>
    <xf numFmtId="0" fontId="4" fillId="2" borderId="4" xfId="7" applyFont="1" applyFill="1" applyBorder="1" applyAlignment="1">
      <alignment horizontal="center" vertical="center"/>
    </xf>
    <xf numFmtId="0" fontId="1" fillId="2" borderId="21" xfId="7" applyFill="1" applyBorder="1" applyAlignment="1">
      <alignment horizontal="center"/>
    </xf>
    <xf numFmtId="165" fontId="1" fillId="2" borderId="5" xfId="7" applyNumberFormat="1" applyFill="1" applyBorder="1" applyAlignment="1">
      <alignment horizontal="center"/>
    </xf>
    <xf numFmtId="165" fontId="1" fillId="2" borderId="0" xfId="7" applyNumberFormat="1" applyFill="1" applyAlignment="1">
      <alignment horizontal="center"/>
    </xf>
    <xf numFmtId="166" fontId="22" fillId="2" borderId="0" xfId="7" applyNumberFormat="1" applyFont="1" applyFill="1" applyAlignment="1">
      <alignment horizontal="center" vertical="center"/>
    </xf>
    <xf numFmtId="0" fontId="22" fillId="2" borderId="0" xfId="7" applyFont="1" applyFill="1" applyAlignment="1">
      <alignment horizontal="center" vertical="center"/>
    </xf>
    <xf numFmtId="2" fontId="22" fillId="2" borderId="5" xfId="7" applyNumberFormat="1" applyFont="1" applyFill="1" applyBorder="1" applyAlignment="1">
      <alignment horizontal="center" vertical="center"/>
    </xf>
    <xf numFmtId="2" fontId="9" fillId="2" borderId="0" xfId="3" applyNumberFormat="1" applyFont="1" applyFill="1" applyAlignment="1">
      <alignment horizontal="center" vertical="center"/>
    </xf>
    <xf numFmtId="165" fontId="22" fillId="2" borderId="0" xfId="7" applyNumberFormat="1" applyFont="1" applyFill="1" applyAlignment="1">
      <alignment horizontal="center" vertical="center"/>
    </xf>
    <xf numFmtId="2" fontId="22" fillId="2" borderId="2" xfId="7" applyNumberFormat="1" applyFont="1" applyFill="1" applyBorder="1" applyAlignment="1">
      <alignment horizontal="center" vertical="center"/>
    </xf>
    <xf numFmtId="166" fontId="22" fillId="2" borderId="2" xfId="7" applyNumberFormat="1" applyFont="1" applyFill="1" applyBorder="1" applyAlignment="1">
      <alignment horizontal="center" vertical="center"/>
    </xf>
    <xf numFmtId="0" fontId="4" fillId="2" borderId="0" xfId="7" applyFont="1" applyFill="1" applyAlignment="1">
      <alignment horizontal="center" vertical="center"/>
    </xf>
    <xf numFmtId="0" fontId="4" fillId="2" borderId="0" xfId="7" applyFont="1" applyFill="1" applyAlignment="1" applyProtection="1">
      <alignment horizontal="center" vertical="center"/>
      <protection locked="0"/>
    </xf>
    <xf numFmtId="2" fontId="1" fillId="2" borderId="5" xfId="7" applyNumberFormat="1" applyFill="1" applyBorder="1"/>
    <xf numFmtId="0" fontId="53" fillId="2" borderId="0" xfId="0" applyFont="1" applyFill="1" applyAlignment="1">
      <alignment vertical="center"/>
    </xf>
    <xf numFmtId="0" fontId="51" fillId="2" borderId="22" xfId="0" applyFont="1" applyFill="1" applyBorder="1" applyAlignment="1">
      <alignment horizontal="left" wrapText="1" readingOrder="1"/>
    </xf>
    <xf numFmtId="0" fontId="51" fillId="2" borderId="23" xfId="0" applyFont="1" applyFill="1" applyBorder="1" applyAlignment="1">
      <alignment horizontal="center" wrapText="1" readingOrder="1"/>
    </xf>
    <xf numFmtId="0" fontId="52" fillId="2" borderId="24" xfId="0" applyFont="1" applyFill="1" applyBorder="1" applyAlignment="1">
      <alignment horizontal="left" wrapText="1" readingOrder="1"/>
    </xf>
    <xf numFmtId="0" fontId="51" fillId="2" borderId="24" xfId="0" applyFont="1" applyFill="1" applyBorder="1" applyAlignment="1">
      <alignment horizontal="center" wrapText="1" readingOrder="1"/>
    </xf>
    <xf numFmtId="0" fontId="54" fillId="2" borderId="23" xfId="0" applyFont="1" applyFill="1" applyBorder="1" applyAlignment="1">
      <alignment horizontal="center" wrapText="1" readingOrder="1"/>
    </xf>
    <xf numFmtId="166" fontId="51" fillId="2" borderId="22" xfId="0" applyNumberFormat="1" applyFont="1" applyFill="1" applyBorder="1" applyAlignment="1">
      <alignment horizontal="center" wrapText="1" readingOrder="1"/>
    </xf>
    <xf numFmtId="0" fontId="51" fillId="2" borderId="22" xfId="0" applyFont="1" applyFill="1" applyBorder="1" applyAlignment="1">
      <alignment horizontal="center" wrapText="1" readingOrder="1"/>
    </xf>
    <xf numFmtId="0" fontId="54" fillId="2" borderId="22" xfId="0" applyFont="1" applyFill="1" applyBorder="1" applyAlignment="1">
      <alignment horizontal="left" wrapText="1" readingOrder="1"/>
    </xf>
    <xf numFmtId="0" fontId="54" fillId="2" borderId="22" xfId="0" applyFont="1" applyFill="1" applyBorder="1" applyAlignment="1">
      <alignment horizontal="center" wrapText="1" readingOrder="1"/>
    </xf>
    <xf numFmtId="10" fontId="54" fillId="2" borderId="22" xfId="1" applyNumberFormat="1" applyFont="1" applyFill="1" applyBorder="1" applyAlignment="1">
      <alignment horizontal="center" wrapText="1" readingOrder="1"/>
    </xf>
    <xf numFmtId="0" fontId="51" fillId="2" borderId="0" xfId="0" applyFont="1" applyFill="1" applyAlignment="1">
      <alignment horizontal="left" wrapText="1" readingOrder="1"/>
    </xf>
    <xf numFmtId="166" fontId="51" fillId="2" borderId="0" xfId="0" applyNumberFormat="1" applyFont="1" applyFill="1" applyAlignment="1">
      <alignment horizontal="center" wrapText="1" readingOrder="1"/>
    </xf>
    <xf numFmtId="0" fontId="51" fillId="2" borderId="0" xfId="0" applyFont="1" applyFill="1" applyAlignment="1">
      <alignment horizontal="center" wrapText="1" readingOrder="1"/>
    </xf>
    <xf numFmtId="0" fontId="54" fillId="2" borderId="0" xfId="0" applyFont="1" applyFill="1" applyAlignment="1">
      <alignment horizontal="left" wrapText="1" readingOrder="1"/>
    </xf>
    <xf numFmtId="0" fontId="54" fillId="2" borderId="0" xfId="0" applyFont="1" applyFill="1" applyAlignment="1">
      <alignment horizontal="center" wrapText="1" readingOrder="1"/>
    </xf>
    <xf numFmtId="10" fontId="54" fillId="2" borderId="0" xfId="1" applyNumberFormat="1" applyFont="1" applyFill="1" applyAlignment="1">
      <alignment horizontal="center" wrapText="1" readingOrder="1"/>
    </xf>
    <xf numFmtId="0" fontId="51" fillId="2" borderId="24" xfId="0" applyFont="1" applyFill="1" applyBorder="1" applyAlignment="1">
      <alignment horizontal="left" wrapText="1" readingOrder="1"/>
    </xf>
    <xf numFmtId="166" fontId="51" fillId="2" borderId="24" xfId="0" applyNumberFormat="1" applyFont="1" applyFill="1" applyBorder="1" applyAlignment="1">
      <alignment horizontal="center" wrapText="1" readingOrder="1"/>
    </xf>
    <xf numFmtId="0" fontId="54" fillId="2" borderId="24" xfId="0" applyFont="1" applyFill="1" applyBorder="1" applyAlignment="1">
      <alignment horizontal="left" wrapText="1" readingOrder="1"/>
    </xf>
    <xf numFmtId="0" fontId="54" fillId="2" borderId="24" xfId="0" applyFont="1" applyFill="1" applyBorder="1" applyAlignment="1">
      <alignment horizontal="center" wrapText="1" readingOrder="1"/>
    </xf>
    <xf numFmtId="10" fontId="54" fillId="2" borderId="24" xfId="1" applyNumberFormat="1" applyFont="1" applyFill="1" applyBorder="1" applyAlignment="1">
      <alignment horizontal="center" wrapText="1" readingOrder="1"/>
    </xf>
    <xf numFmtId="0" fontId="4" fillId="2" borderId="0" xfId="0" applyFont="1" applyFill="1" applyAlignment="1">
      <alignment horizontal="right"/>
    </xf>
    <xf numFmtId="0" fontId="46" fillId="2" borderId="0" xfId="3" applyFont="1" applyFill="1" applyAlignment="1">
      <alignment horizontal="center" vertical="center"/>
    </xf>
    <xf numFmtId="0" fontId="22" fillId="2" borderId="2" xfId="7" applyFont="1" applyFill="1" applyBorder="1" applyAlignment="1">
      <alignment horizontal="center" vertical="center"/>
    </xf>
    <xf numFmtId="0" fontId="22" fillId="2" borderId="5" xfId="7" applyFont="1" applyFill="1" applyBorder="1"/>
    <xf numFmtId="0" fontId="8" fillId="2" borderId="2" xfId="3" applyFill="1" applyBorder="1"/>
    <xf numFmtId="2" fontId="8" fillId="2" borderId="5" xfId="3" applyNumberFormat="1" applyFill="1" applyBorder="1" applyAlignment="1">
      <alignment horizontal="center" vertical="center"/>
    </xf>
    <xf numFmtId="2" fontId="8" fillId="2" borderId="0" xfId="3" applyNumberFormat="1" applyFill="1" applyAlignment="1">
      <alignment horizontal="center" vertical="center"/>
    </xf>
    <xf numFmtId="2" fontId="8" fillId="2" borderId="2" xfId="3" applyNumberFormat="1" applyFill="1" applyBorder="1" applyAlignment="1">
      <alignment horizontal="center" vertical="center"/>
    </xf>
    <xf numFmtId="0" fontId="22" fillId="2" borderId="25" xfId="7" applyFont="1" applyFill="1" applyBorder="1" applyAlignment="1">
      <alignment horizontal="center" vertical="center"/>
    </xf>
    <xf numFmtId="2" fontId="8" fillId="2" borderId="21" xfId="3" applyNumberFormat="1" applyFill="1" applyBorder="1" applyAlignment="1">
      <alignment horizontal="center" vertical="center"/>
    </xf>
    <xf numFmtId="2" fontId="8" fillId="2" borderId="20" xfId="3" applyNumberFormat="1" applyFill="1" applyBorder="1" applyAlignment="1">
      <alignment horizontal="center" vertical="center"/>
    </xf>
    <xf numFmtId="2" fontId="8" fillId="2" borderId="25" xfId="3" applyNumberFormat="1" applyFill="1" applyBorder="1" applyAlignment="1">
      <alignment horizontal="center" vertical="center"/>
    </xf>
    <xf numFmtId="0" fontId="22" fillId="2" borderId="27" xfId="7" applyFont="1" applyFill="1" applyBorder="1" applyAlignment="1">
      <alignment horizontal="center" vertical="center"/>
    </xf>
    <xf numFmtId="2" fontId="22" fillId="2" borderId="28" xfId="7" applyNumberFormat="1" applyFont="1" applyFill="1" applyBorder="1" applyAlignment="1">
      <alignment horizontal="center" vertical="center"/>
    </xf>
    <xf numFmtId="2" fontId="8" fillId="2" borderId="26" xfId="3" applyNumberFormat="1" applyFill="1" applyBorder="1" applyAlignment="1">
      <alignment horizontal="center" vertical="center"/>
    </xf>
    <xf numFmtId="2" fontId="8" fillId="2" borderId="27" xfId="3" applyNumberFormat="1" applyFill="1" applyBorder="1" applyAlignment="1">
      <alignment horizontal="center" vertical="center"/>
    </xf>
    <xf numFmtId="2" fontId="0" fillId="2" borderId="0" xfId="0" applyNumberFormat="1" applyFill="1"/>
    <xf numFmtId="0" fontId="2" fillId="2" borderId="0" xfId="0" applyFont="1" applyFill="1"/>
    <xf numFmtId="1" fontId="22" fillId="2" borderId="28" xfId="7" applyNumberFormat="1" applyFont="1" applyFill="1" applyBorder="1" applyAlignment="1">
      <alignment horizontal="center" vertical="center"/>
    </xf>
    <xf numFmtId="1" fontId="8" fillId="2" borderId="5" xfId="3" applyNumberFormat="1" applyFill="1" applyBorder="1" applyAlignment="1">
      <alignment horizontal="center" vertical="center"/>
    </xf>
    <xf numFmtId="1" fontId="8" fillId="2" borderId="26" xfId="3" applyNumberFormat="1" applyFill="1" applyBorder="1" applyAlignment="1">
      <alignment horizontal="center" vertical="center"/>
    </xf>
    <xf numFmtId="1" fontId="8" fillId="2" borderId="0" xfId="3" applyNumberFormat="1" applyFill="1" applyAlignment="1">
      <alignment horizontal="center" vertical="center"/>
    </xf>
    <xf numFmtId="1" fontId="8" fillId="2" borderId="27" xfId="3" applyNumberFormat="1" applyFill="1" applyBorder="1" applyAlignment="1">
      <alignment horizontal="center" vertical="center"/>
    </xf>
    <xf numFmtId="1" fontId="8" fillId="2" borderId="2" xfId="3" applyNumberFormat="1" applyFill="1" applyBorder="1" applyAlignment="1">
      <alignment horizontal="center" vertical="center"/>
    </xf>
    <xf numFmtId="0" fontId="0" fillId="2" borderId="0" xfId="7" applyFont="1" applyFill="1" applyAlignment="1">
      <alignment horizontal="center" vertical="center"/>
    </xf>
    <xf numFmtId="0" fontId="45" fillId="12" borderId="19" xfId="0" applyFont="1" applyFill="1" applyBorder="1" applyAlignment="1">
      <alignment vertical="center" wrapText="1" readingOrder="1"/>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29" xfId="0" applyFill="1" applyBorder="1" applyAlignment="1">
      <alignment horizontal="center" vertical="center"/>
    </xf>
    <xf numFmtId="0" fontId="0" fillId="2" borderId="30" xfId="0" applyFill="1" applyBorder="1" applyAlignment="1">
      <alignment horizontal="center" vertical="center"/>
    </xf>
    <xf numFmtId="2" fontId="0" fillId="2" borderId="0" xfId="0" applyNumberFormat="1" applyFill="1" applyAlignment="1">
      <alignment horizontal="center" vertical="center"/>
    </xf>
    <xf numFmtId="0" fontId="0" fillId="2" borderId="0" xfId="7" applyFont="1" applyFill="1" applyAlignment="1">
      <alignment horizontal="left" vertical="center"/>
    </xf>
    <xf numFmtId="0" fontId="47" fillId="2" borderId="0" xfId="0" applyFont="1" applyFill="1"/>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0" fillId="2" borderId="0" xfId="0" applyFill="1" applyAlignment="1">
      <alignment vertical="center"/>
    </xf>
    <xf numFmtId="0" fontId="0" fillId="2" borderId="0" xfId="0" applyFill="1" applyAlignment="1">
      <alignment horizontal="left" vertical="center"/>
    </xf>
    <xf numFmtId="0" fontId="55" fillId="2" borderId="0" xfId="0" applyFont="1" applyFill="1"/>
    <xf numFmtId="0" fontId="4" fillId="2" borderId="4" xfId="0" quotePrefix="1" applyFont="1" applyFill="1" applyBorder="1" applyAlignment="1">
      <alignment horizontal="left" vertical="center"/>
    </xf>
    <xf numFmtId="2" fontId="4" fillId="2" borderId="4" xfId="0" applyNumberFormat="1" applyFont="1" applyFill="1" applyBorder="1" applyAlignment="1">
      <alignment horizontal="center" vertical="center"/>
    </xf>
    <xf numFmtId="0" fontId="4" fillId="2" borderId="4" xfId="0" applyFont="1" applyFill="1" applyBorder="1" applyAlignment="1">
      <alignment horizontal="center" vertical="center"/>
    </xf>
    <xf numFmtId="0" fontId="1" fillId="2" borderId="1" xfId="2" applyFill="1" applyBorder="1" applyAlignment="1">
      <alignment horizontal="left"/>
    </xf>
    <xf numFmtId="1" fontId="1" fillId="2" borderId="26" xfId="2" applyNumberFormat="1" applyFill="1" applyBorder="1" applyAlignment="1">
      <alignment horizontal="center" vertical="center"/>
    </xf>
    <xf numFmtId="1" fontId="1" fillId="2" borderId="17" xfId="2" applyNumberFormat="1" applyFill="1" applyBorder="1" applyAlignment="1">
      <alignment horizontal="center" vertical="center"/>
    </xf>
    <xf numFmtId="9" fontId="1" fillId="2" borderId="0" xfId="1" applyFill="1" applyAlignment="1">
      <alignment horizontal="center" vertical="center"/>
    </xf>
    <xf numFmtId="9" fontId="1" fillId="2" borderId="1" xfId="1" applyFill="1" applyBorder="1" applyAlignment="1">
      <alignment horizontal="center" vertical="center"/>
    </xf>
    <xf numFmtId="175" fontId="22" fillId="2" borderId="0" xfId="2" applyNumberFormat="1" applyFont="1" applyFill="1"/>
    <xf numFmtId="169" fontId="22" fillId="2" borderId="0" xfId="2" applyNumberFormat="1" applyFont="1" applyFill="1" applyAlignment="1">
      <alignment horizontal="center" vertical="center"/>
    </xf>
    <xf numFmtId="166" fontId="22" fillId="2" borderId="2" xfId="2" applyNumberFormat="1" applyFont="1" applyFill="1" applyBorder="1" applyAlignment="1">
      <alignment horizontal="right" vertical="center"/>
    </xf>
    <xf numFmtId="164" fontId="22" fillId="2" borderId="2" xfId="2" applyNumberFormat="1" applyFont="1" applyFill="1" applyBorder="1" applyAlignment="1">
      <alignment horizontal="right" vertical="center"/>
    </xf>
    <xf numFmtId="168" fontId="32" fillId="2" borderId="2" xfId="2" applyNumberFormat="1" applyFont="1" applyFill="1" applyBorder="1"/>
    <xf numFmtId="176" fontId="1" fillId="2" borderId="0" xfId="2" applyNumberFormat="1" applyFill="1" applyAlignment="1">
      <alignment horizontal="center" vertical="center"/>
    </xf>
    <xf numFmtId="0" fontId="4" fillId="2" borderId="26" xfId="0" applyFont="1" applyFill="1" applyBorder="1" applyAlignment="1">
      <alignment horizontal="center" vertical="center"/>
    </xf>
    <xf numFmtId="166" fontId="1" fillId="6" borderId="26" xfId="2" applyNumberFormat="1" applyFill="1" applyBorder="1" applyAlignment="1">
      <alignment horizontal="center" vertical="center"/>
    </xf>
    <xf numFmtId="165" fontId="1" fillId="2" borderId="0" xfId="2" applyNumberFormat="1" applyFill="1"/>
    <xf numFmtId="165" fontId="4" fillId="2" borderId="0" xfId="2" applyNumberFormat="1" applyFont="1" applyFill="1"/>
    <xf numFmtId="165" fontId="1" fillId="2" borderId="1" xfId="2" applyNumberFormat="1" applyFill="1" applyBorder="1"/>
    <xf numFmtId="165" fontId="4" fillId="2" borderId="1" xfId="2" applyNumberFormat="1" applyFont="1" applyFill="1" applyBorder="1"/>
    <xf numFmtId="3" fontId="0" fillId="0" borderId="0" xfId="0" applyNumberFormat="1"/>
    <xf numFmtId="0" fontId="56" fillId="0" borderId="0" xfId="0" applyFont="1" applyAlignment="1">
      <alignment vertical="center" wrapText="1"/>
    </xf>
    <xf numFmtId="0" fontId="45" fillId="0" borderId="0" xfId="0" applyFont="1" applyAlignment="1">
      <alignment horizontal="left"/>
    </xf>
    <xf numFmtId="0" fontId="45" fillId="13" borderId="0" xfId="0" applyFont="1" applyFill="1" applyAlignment="1">
      <alignment horizontal="left"/>
    </xf>
    <xf numFmtId="3" fontId="45" fillId="15" borderId="0" xfId="0" applyNumberFormat="1" applyFont="1" applyFill="1" applyAlignment="1">
      <alignment horizontal="center"/>
    </xf>
    <xf numFmtId="3" fontId="0" fillId="14" borderId="0" xfId="0" applyNumberFormat="1" applyFill="1"/>
    <xf numFmtId="0" fontId="45" fillId="15" borderId="0" xfId="0" applyFont="1" applyFill="1" applyAlignment="1">
      <alignment horizontal="center"/>
    </xf>
    <xf numFmtId="1" fontId="45" fillId="15" borderId="0" xfId="0" applyNumberFormat="1" applyFont="1" applyFill="1" applyAlignment="1">
      <alignment horizontal="center"/>
    </xf>
    <xf numFmtId="0" fontId="0" fillId="0" borderId="0" xfId="0" applyAlignment="1">
      <alignment wrapText="1"/>
    </xf>
    <xf numFmtId="0" fontId="57" fillId="14" borderId="0" xfId="0" applyFont="1" applyFill="1" applyAlignment="1">
      <alignment vertical="center" wrapText="1"/>
    </xf>
    <xf numFmtId="0" fontId="57" fillId="0" borderId="0" xfId="0" applyFont="1" applyAlignment="1">
      <alignment vertical="center" wrapText="1"/>
    </xf>
    <xf numFmtId="3" fontId="45" fillId="0" borderId="0" xfId="0" applyNumberFormat="1" applyFont="1" applyAlignment="1">
      <alignment horizontal="center"/>
    </xf>
    <xf numFmtId="176" fontId="0" fillId="2" borderId="0" xfId="0" applyNumberFormat="1" applyFill="1"/>
    <xf numFmtId="0" fontId="44" fillId="2" borderId="6" xfId="2" applyFont="1" applyFill="1" applyBorder="1"/>
    <xf numFmtId="0" fontId="43" fillId="2" borderId="6" xfId="2" applyFont="1" applyFill="1" applyBorder="1" applyAlignment="1">
      <alignment wrapText="1"/>
    </xf>
    <xf numFmtId="165" fontId="1" fillId="2" borderId="2" xfId="2" applyNumberFormat="1" applyFill="1" applyBorder="1"/>
    <xf numFmtId="165" fontId="1" fillId="2" borderId="2" xfId="2" applyNumberFormat="1" applyFill="1" applyBorder="1" applyAlignment="1">
      <alignment horizontal="center" vertical="center"/>
    </xf>
    <xf numFmtId="0" fontId="0" fillId="19" borderId="0" xfId="0" applyFill="1"/>
    <xf numFmtId="0" fontId="0" fillId="10" borderId="0" xfId="0" applyFill="1"/>
    <xf numFmtId="0" fontId="0" fillId="0" borderId="0" xfId="0" applyAlignment="1">
      <alignment horizontal="center" vertical="center"/>
    </xf>
    <xf numFmtId="0" fontId="0" fillId="19" borderId="0" xfId="0" applyFill="1" applyAlignment="1">
      <alignment horizontal="center" vertical="center" wrapText="1"/>
    </xf>
    <xf numFmtId="0" fontId="0" fillId="10" borderId="0" xfId="0" applyFill="1" applyAlignment="1">
      <alignment horizontal="center" vertical="center" wrapText="1"/>
    </xf>
    <xf numFmtId="0" fontId="0" fillId="0" borderId="0" xfId="0" applyAlignment="1">
      <alignment horizontal="center" vertical="center" wrapText="1"/>
    </xf>
    <xf numFmtId="0" fontId="0" fillId="0" borderId="0" xfId="0" applyAlignment="1">
      <alignment horizontal="left" vertical="center"/>
    </xf>
    <xf numFmtId="0" fontId="0" fillId="14" borderId="0" xfId="0" applyFill="1" applyAlignment="1">
      <alignment horizontal="left" vertical="center"/>
    </xf>
    <xf numFmtId="0" fontId="0" fillId="22" borderId="0" xfId="0" applyFill="1" applyAlignment="1">
      <alignment horizontal="left" vertical="center"/>
    </xf>
    <xf numFmtId="0" fontId="59" fillId="0" borderId="0" xfId="0" applyFont="1" applyAlignment="1">
      <alignment horizontal="center" vertical="center"/>
    </xf>
    <xf numFmtId="0" fontId="5" fillId="23" borderId="0" xfId="0" applyFont="1" applyFill="1" applyAlignment="1">
      <alignment horizontal="center" vertical="center"/>
    </xf>
    <xf numFmtId="0" fontId="5" fillId="23" borderId="0" xfId="0" applyFont="1" applyFill="1" applyAlignment="1">
      <alignment horizontal="left" vertical="center"/>
    </xf>
    <xf numFmtId="0" fontId="5" fillId="24" borderId="0" xfId="0" applyFont="1" applyFill="1" applyAlignment="1">
      <alignment horizontal="center" vertical="center"/>
    </xf>
    <xf numFmtId="0" fontId="5" fillId="24" borderId="0" xfId="0" applyFont="1" applyFill="1" applyAlignment="1">
      <alignment horizontal="left" vertical="center"/>
    </xf>
    <xf numFmtId="0" fontId="5" fillId="25" borderId="0" xfId="0" applyFont="1" applyFill="1" applyAlignment="1">
      <alignment horizontal="left" vertical="center"/>
    </xf>
    <xf numFmtId="0" fontId="0" fillId="26" borderId="0" xfId="0" applyFill="1" applyAlignment="1">
      <alignment horizontal="left" vertical="center"/>
    </xf>
    <xf numFmtId="2" fontId="0" fillId="0" borderId="0" xfId="0" applyNumberFormat="1"/>
    <xf numFmtId="1" fontId="0" fillId="0" borderId="0" xfId="0" applyNumberFormat="1"/>
    <xf numFmtId="0" fontId="0" fillId="0" borderId="0" xfId="0" applyAlignment="1">
      <alignment horizontal="left"/>
    </xf>
    <xf numFmtId="0" fontId="0" fillId="16" borderId="0" xfId="0" applyFill="1"/>
    <xf numFmtId="1" fontId="0" fillId="0" borderId="5" xfId="0" applyNumberFormat="1" applyBorder="1"/>
    <xf numFmtId="17" fontId="0" fillId="0" borderId="0" xfId="0" applyNumberFormat="1" applyAlignment="1">
      <alignment horizontal="right"/>
    </xf>
    <xf numFmtId="0" fontId="3" fillId="0" borderId="0" xfId="0" applyFont="1"/>
    <xf numFmtId="0" fontId="60" fillId="0" borderId="0" xfId="0" applyFont="1"/>
    <xf numFmtId="1" fontId="60" fillId="0" borderId="5" xfId="0" applyNumberFormat="1" applyFont="1" applyBorder="1"/>
    <xf numFmtId="0" fontId="61" fillId="0" borderId="0" xfId="0" applyFont="1"/>
    <xf numFmtId="1" fontId="62" fillId="0" borderId="0" xfId="0" applyNumberFormat="1" applyFont="1"/>
    <xf numFmtId="1" fontId="62" fillId="0" borderId="5" xfId="0" applyNumberFormat="1" applyFont="1" applyBorder="1"/>
    <xf numFmtId="0" fontId="60" fillId="0" borderId="0" xfId="0" applyFont="1" applyAlignment="1">
      <alignment horizontal="left" indent="1"/>
    </xf>
    <xf numFmtId="0" fontId="4" fillId="0" borderId="0" xfId="0" applyFont="1"/>
    <xf numFmtId="0" fontId="63" fillId="0" borderId="0" xfId="0" applyFont="1" applyAlignment="1">
      <alignment horizontal="left"/>
    </xf>
    <xf numFmtId="0" fontId="64" fillId="0" borderId="0" xfId="0" applyFont="1"/>
    <xf numFmtId="0" fontId="63" fillId="0" borderId="0" xfId="0" applyFont="1"/>
    <xf numFmtId="0" fontId="0" fillId="0" borderId="0" xfId="0" applyAlignment="1">
      <alignment horizontal="right"/>
    </xf>
    <xf numFmtId="0" fontId="0" fillId="16" borderId="0" xfId="0" applyFill="1" applyAlignment="1">
      <alignment horizontal="center" vertical="center"/>
    </xf>
    <xf numFmtId="0" fontId="0" fillId="17" borderId="0" xfId="0" applyFill="1" applyAlignment="1">
      <alignment horizontal="center" vertical="center"/>
    </xf>
    <xf numFmtId="0" fontId="5" fillId="18" borderId="0" xfId="0" applyFont="1" applyFill="1" applyAlignment="1">
      <alignment horizontal="center" vertical="center"/>
    </xf>
    <xf numFmtId="0" fontId="0" fillId="10" borderId="0" xfId="0" applyFill="1" applyAlignment="1">
      <alignment horizontal="center" vertical="center"/>
    </xf>
    <xf numFmtId="0" fontId="0" fillId="19" borderId="0" xfId="0" applyFill="1" applyAlignment="1">
      <alignment horizontal="center" vertical="center"/>
    </xf>
    <xf numFmtId="0" fontId="0" fillId="20" borderId="0" xfId="0" applyFill="1" applyAlignment="1">
      <alignment horizontal="center" vertical="center"/>
    </xf>
    <xf numFmtId="1" fontId="0" fillId="0" borderId="0" xfId="0" applyNumberFormat="1" applyAlignment="1">
      <alignment horizontal="center"/>
    </xf>
    <xf numFmtId="9" fontId="0" fillId="0" borderId="0" xfId="1" applyFont="1"/>
    <xf numFmtId="1" fontId="0" fillId="0" borderId="5" xfId="0" applyNumberFormat="1" applyBorder="1" applyAlignment="1">
      <alignment horizontal="center" vertical="center"/>
    </xf>
    <xf numFmtId="0" fontId="0" fillId="0" borderId="5" xfId="0" applyBorder="1" applyAlignment="1">
      <alignment horizontal="center" vertical="center"/>
    </xf>
    <xf numFmtId="0" fontId="3" fillId="0" borderId="2" xfId="0" applyFont="1" applyBorder="1"/>
    <xf numFmtId="0" fontId="60" fillId="0" borderId="2" xfId="0" applyFont="1" applyBorder="1"/>
    <xf numFmtId="0" fontId="61" fillId="0" borderId="2" xfId="0" applyFont="1" applyBorder="1"/>
    <xf numFmtId="0" fontId="0" fillId="0" borderId="2" xfId="0" applyBorder="1" applyAlignment="1">
      <alignment horizontal="center" vertical="center" wrapText="1"/>
    </xf>
    <xf numFmtId="1" fontId="0" fillId="0" borderId="2" xfId="0" applyNumberFormat="1" applyBorder="1" applyAlignment="1">
      <alignment horizontal="center" vertical="center"/>
    </xf>
    <xf numFmtId="0" fontId="0" fillId="0" borderId="2" xfId="0" applyBorder="1" applyAlignment="1">
      <alignment horizontal="center" vertical="center"/>
    </xf>
    <xf numFmtId="0" fontId="4" fillId="2" borderId="2" xfId="0" applyFont="1" applyFill="1" applyBorder="1" applyAlignment="1">
      <alignment vertical="center"/>
    </xf>
    <xf numFmtId="9" fontId="0" fillId="0" borderId="0" xfId="1" applyFont="1" applyAlignment="1">
      <alignment horizontal="center" vertical="center"/>
    </xf>
    <xf numFmtId="0" fontId="4" fillId="0" borderId="0" xfId="0" applyFont="1" applyAlignment="1">
      <alignment horizontal="right"/>
    </xf>
    <xf numFmtId="0" fontId="3" fillId="0" borderId="0" xfId="0" applyFont="1" applyAlignment="1">
      <alignment horizontal="center" vertical="center"/>
    </xf>
    <xf numFmtId="0" fontId="47" fillId="0" borderId="0" xfId="0" applyFont="1"/>
    <xf numFmtId="0" fontId="1" fillId="2" borderId="0" xfId="2" applyFill="1" applyAlignment="1">
      <alignment horizontal="left" vertical="center"/>
    </xf>
    <xf numFmtId="0" fontId="7" fillId="2" borderId="1" xfId="2" applyFont="1" applyFill="1" applyBorder="1" applyAlignment="1">
      <alignment horizontal="left" wrapText="1"/>
    </xf>
    <xf numFmtId="0" fontId="4" fillId="2" borderId="27" xfId="0" applyFont="1" applyFill="1" applyBorder="1" applyAlignment="1">
      <alignment horizontal="center" vertical="center"/>
    </xf>
    <xf numFmtId="0" fontId="4" fillId="2" borderId="2" xfId="0" applyFont="1" applyFill="1" applyBorder="1" applyAlignment="1">
      <alignment horizontal="center" vertical="center"/>
    </xf>
    <xf numFmtId="1" fontId="4" fillId="0" borderId="0" xfId="0" applyNumberFormat="1" applyFont="1"/>
    <xf numFmtId="9" fontId="0" fillId="0" borderId="0" xfId="1" applyFont="1" applyAlignment="1">
      <alignment vertical="center"/>
    </xf>
    <xf numFmtId="165" fontId="1" fillId="6" borderId="26" xfId="2" applyNumberFormat="1" applyFill="1" applyBorder="1" applyAlignment="1">
      <alignment horizontal="center" vertical="center"/>
    </xf>
    <xf numFmtId="165" fontId="0" fillId="6" borderId="0" xfId="0" applyNumberFormat="1" applyFill="1" applyAlignment="1">
      <alignment horizontal="center" vertical="center"/>
    </xf>
    <xf numFmtId="165" fontId="0" fillId="6" borderId="1" xfId="0" applyNumberFormat="1" applyFill="1" applyBorder="1" applyAlignment="1">
      <alignment horizontal="center" vertical="center"/>
    </xf>
    <xf numFmtId="1" fontId="1" fillId="6" borderId="26" xfId="2" applyNumberFormat="1" applyFill="1" applyBorder="1" applyAlignment="1">
      <alignment horizontal="center" vertical="center"/>
    </xf>
    <xf numFmtId="1" fontId="1" fillId="6" borderId="17" xfId="2" applyNumberFormat="1" applyFill="1" applyBorder="1" applyAlignment="1">
      <alignment horizontal="center" vertical="center"/>
    </xf>
    <xf numFmtId="1" fontId="0" fillId="6" borderId="0" xfId="0" applyNumberFormat="1" applyFill="1" applyAlignment="1">
      <alignment horizontal="center" vertical="center"/>
    </xf>
    <xf numFmtId="0" fontId="0" fillId="2" borderId="5" xfId="2" applyFont="1" applyFill="1" applyBorder="1"/>
    <xf numFmtId="1" fontId="1" fillId="2" borderId="28" xfId="2" applyNumberFormat="1" applyFill="1" applyBorder="1" applyAlignment="1">
      <alignment horizontal="center" vertical="center"/>
    </xf>
    <xf numFmtId="1" fontId="0" fillId="2" borderId="5" xfId="0" applyNumberFormat="1" applyFill="1" applyBorder="1" applyAlignment="1">
      <alignment horizontal="center" vertical="center"/>
    </xf>
    <xf numFmtId="1" fontId="0" fillId="2" borderId="0" xfId="0" applyNumberFormat="1" applyFill="1" applyAlignment="1">
      <alignment horizontal="center" vertical="center"/>
    </xf>
    <xf numFmtId="2" fontId="0" fillId="2" borderId="5" xfId="0" applyNumberFormat="1" applyFill="1" applyBorder="1" applyAlignment="1">
      <alignment horizontal="center" vertical="center"/>
    </xf>
    <xf numFmtId="0" fontId="4" fillId="2" borderId="27" xfId="0" applyFont="1" applyFill="1" applyBorder="1" applyAlignment="1">
      <alignment horizontal="center" vertical="center" wrapText="1"/>
    </xf>
    <xf numFmtId="9" fontId="1" fillId="2" borderId="0" xfId="1" applyFill="1" applyBorder="1" applyAlignment="1">
      <alignment horizontal="center" vertical="center"/>
    </xf>
    <xf numFmtId="2" fontId="1" fillId="26" borderId="0" xfId="2" applyNumberFormat="1" applyFill="1" applyAlignment="1">
      <alignment horizontal="center" vertical="center"/>
    </xf>
    <xf numFmtId="2" fontId="1" fillId="31" borderId="0" xfId="2" applyNumberFormat="1" applyFill="1" applyAlignment="1">
      <alignment horizontal="center" vertical="center"/>
    </xf>
    <xf numFmtId="2" fontId="1" fillId="31" borderId="2" xfId="2" applyNumberFormat="1" applyFill="1" applyBorder="1" applyAlignment="1">
      <alignment horizontal="center" vertical="center"/>
    </xf>
    <xf numFmtId="2" fontId="1" fillId="2" borderId="1" xfId="2" applyNumberFormat="1" applyFill="1" applyBorder="1" applyAlignment="1">
      <alignment horizontal="center" vertical="center"/>
    </xf>
    <xf numFmtId="1" fontId="1" fillId="2" borderId="5" xfId="2" applyNumberFormat="1" applyFill="1" applyBorder="1" applyAlignment="1">
      <alignment horizontal="center" vertical="center"/>
    </xf>
    <xf numFmtId="2" fontId="1" fillId="2" borderId="5" xfId="2" applyNumberFormat="1" applyFill="1" applyBorder="1" applyAlignment="1">
      <alignment horizontal="center" vertical="center"/>
    </xf>
    <xf numFmtId="0" fontId="4" fillId="2" borderId="0" xfId="0" applyFont="1" applyFill="1" applyAlignment="1">
      <alignment horizontal="left" vertical="center" wrapText="1"/>
    </xf>
    <xf numFmtId="0" fontId="4" fillId="2" borderId="2" xfId="0" applyFont="1" applyFill="1" applyBorder="1" applyAlignment="1">
      <alignment horizontal="center" vertical="center" wrapText="1"/>
    </xf>
    <xf numFmtId="9" fontId="0" fillId="2" borderId="0" xfId="1" applyFont="1" applyFill="1"/>
    <xf numFmtId="177" fontId="0" fillId="2" borderId="5" xfId="1" applyNumberFormat="1" applyFont="1" applyFill="1" applyBorder="1" applyAlignment="1">
      <alignment horizontal="center" vertical="center"/>
    </xf>
    <xf numFmtId="177" fontId="0" fillId="2" borderId="0" xfId="1" applyNumberFormat="1" applyFont="1" applyFill="1" applyAlignment="1">
      <alignment horizontal="center" vertical="center"/>
    </xf>
    <xf numFmtId="0" fontId="66" fillId="0" borderId="0" xfId="0" applyFont="1"/>
    <xf numFmtId="0" fontId="0" fillId="0" borderId="0" xfId="0" quotePrefix="1"/>
    <xf numFmtId="2" fontId="0" fillId="0" borderId="0" xfId="1" applyNumberFormat="1" applyFont="1"/>
    <xf numFmtId="177" fontId="0" fillId="0" borderId="0" xfId="1" applyNumberFormat="1" applyFont="1" applyAlignment="1">
      <alignment vertical="center"/>
    </xf>
    <xf numFmtId="0" fontId="0" fillId="0" borderId="0" xfId="1" applyNumberFormat="1" applyFont="1"/>
    <xf numFmtId="166" fontId="0" fillId="0" borderId="0" xfId="1" applyNumberFormat="1" applyFont="1"/>
    <xf numFmtId="9" fontId="0" fillId="0" borderId="0" xfId="1" applyFont="1" applyAlignment="1">
      <alignment horizontal="right"/>
    </xf>
    <xf numFmtId="166" fontId="0" fillId="2" borderId="0" xfId="0" applyNumberFormat="1" applyFill="1"/>
    <xf numFmtId="0" fontId="0" fillId="2" borderId="0" xfId="2" applyFont="1" applyFill="1" applyAlignment="1">
      <alignment vertical="center" wrapText="1"/>
    </xf>
    <xf numFmtId="0" fontId="0" fillId="16" borderId="0" xfId="0" applyFill="1" applyAlignment="1">
      <alignment horizontal="left" vertical="center"/>
    </xf>
    <xf numFmtId="0" fontId="0" fillId="17" borderId="0" xfId="0" applyFill="1" applyAlignment="1">
      <alignment horizontal="left" vertical="center"/>
    </xf>
    <xf numFmtId="0" fontId="5" fillId="18" borderId="0" xfId="0" applyFont="1" applyFill="1" applyAlignment="1">
      <alignment horizontal="left" vertical="center"/>
    </xf>
    <xf numFmtId="0" fontId="0" fillId="10" borderId="0" xfId="0" applyFill="1" applyAlignment="1">
      <alignment horizontal="left" vertical="center"/>
    </xf>
    <xf numFmtId="0" fontId="0" fillId="19" borderId="0" xfId="0" applyFill="1" applyAlignment="1">
      <alignment horizontal="left" vertical="center"/>
    </xf>
    <xf numFmtId="165" fontId="0" fillId="14" borderId="0" xfId="1" applyNumberFormat="1" applyFont="1" applyFill="1" applyAlignment="1">
      <alignment horizontal="center" vertical="center"/>
    </xf>
    <xf numFmtId="165" fontId="0" fillId="2" borderId="0" xfId="1" applyNumberFormat="1" applyFont="1" applyFill="1" applyAlignment="1">
      <alignment horizontal="center" vertical="center"/>
    </xf>
    <xf numFmtId="2" fontId="0" fillId="14" borderId="0" xfId="0" applyNumberFormat="1" applyFill="1" applyAlignment="1">
      <alignment horizontal="center" vertical="center"/>
    </xf>
    <xf numFmtId="178" fontId="0" fillId="2" borderId="0" xfId="0" applyNumberFormat="1" applyFill="1"/>
    <xf numFmtId="177" fontId="1" fillId="2" borderId="1" xfId="1" applyNumberFormat="1" applyFill="1" applyBorder="1" applyAlignment="1">
      <alignment horizontal="center" vertical="center"/>
    </xf>
    <xf numFmtId="9" fontId="1" fillId="2" borderId="5" xfId="1" applyFill="1" applyBorder="1" applyAlignment="1">
      <alignment horizontal="center" vertical="center"/>
    </xf>
    <xf numFmtId="2" fontId="0" fillId="14" borderId="1" xfId="0" applyNumberFormat="1" applyFill="1" applyBorder="1" applyAlignment="1">
      <alignment horizontal="center" vertical="center"/>
    </xf>
    <xf numFmtId="166" fontId="1" fillId="6" borderId="28" xfId="2" applyNumberFormat="1" applyFill="1" applyBorder="1" applyAlignment="1">
      <alignment horizontal="center" vertical="center"/>
    </xf>
    <xf numFmtId="2" fontId="1" fillId="0" borderId="0" xfId="2" applyNumberFormat="1"/>
    <xf numFmtId="0" fontId="7" fillId="2" borderId="5" xfId="2" applyFont="1" applyFill="1" applyBorder="1"/>
    <xf numFmtId="0" fontId="7" fillId="2" borderId="1" xfId="2" applyFont="1" applyFill="1" applyBorder="1"/>
    <xf numFmtId="0" fontId="7" fillId="2" borderId="5" xfId="2" applyFont="1" applyFill="1" applyBorder="1" applyAlignment="1">
      <alignment horizontal="left" wrapText="1"/>
    </xf>
    <xf numFmtId="177" fontId="1" fillId="2" borderId="26" xfId="1" applyNumberFormat="1" applyFill="1" applyBorder="1" applyAlignment="1">
      <alignment horizontal="center" vertical="center"/>
    </xf>
    <xf numFmtId="0" fontId="1" fillId="2" borderId="17" xfId="1" applyNumberFormat="1" applyFill="1" applyBorder="1" applyAlignment="1">
      <alignment horizontal="center" vertical="center"/>
    </xf>
    <xf numFmtId="165" fontId="0" fillId="2" borderId="26" xfId="0" applyNumberFormat="1" applyFill="1" applyBorder="1" applyAlignment="1">
      <alignment horizontal="center" vertical="center"/>
    </xf>
    <xf numFmtId="165" fontId="0" fillId="2" borderId="20" xfId="0" applyNumberFormat="1" applyFill="1" applyBorder="1" applyAlignment="1">
      <alignment horizontal="center" vertical="center"/>
    </xf>
    <xf numFmtId="165" fontId="0" fillId="2" borderId="0" xfId="0" applyNumberFormat="1" applyFill="1" applyAlignment="1">
      <alignment horizontal="center" vertical="center"/>
    </xf>
    <xf numFmtId="165" fontId="0" fillId="2" borderId="27" xfId="0" applyNumberFormat="1" applyFill="1" applyBorder="1" applyAlignment="1">
      <alignment horizontal="center" vertical="center"/>
    </xf>
    <xf numFmtId="165" fontId="0" fillId="2" borderId="25" xfId="0" applyNumberFormat="1" applyFill="1" applyBorder="1" applyAlignment="1">
      <alignment horizontal="center" vertical="center"/>
    </xf>
    <xf numFmtId="165" fontId="0" fillId="2" borderId="2" xfId="0" applyNumberFormat="1" applyFill="1" applyBorder="1" applyAlignment="1">
      <alignment horizontal="center" vertical="center"/>
    </xf>
    <xf numFmtId="1" fontId="0" fillId="2" borderId="0" xfId="0" applyNumberFormat="1" applyFill="1" applyAlignment="1">
      <alignment horizontal="center"/>
    </xf>
    <xf numFmtId="1" fontId="0" fillId="2" borderId="1" xfId="0" applyNumberFormat="1" applyFill="1" applyBorder="1" applyAlignment="1">
      <alignment horizontal="center"/>
    </xf>
    <xf numFmtId="166" fontId="8" fillId="2" borderId="21" xfId="3" applyNumberFormat="1" applyFill="1" applyBorder="1" applyAlignment="1">
      <alignment horizontal="center" vertical="center"/>
    </xf>
    <xf numFmtId="166" fontId="8" fillId="2" borderId="20" xfId="3" applyNumberFormat="1" applyFill="1" applyBorder="1" applyAlignment="1">
      <alignment horizontal="center" vertical="center"/>
    </xf>
    <xf numFmtId="166" fontId="8" fillId="2" borderId="25" xfId="3" applyNumberFormat="1" applyFill="1" applyBorder="1" applyAlignment="1">
      <alignment horizontal="center" vertical="center"/>
    </xf>
    <xf numFmtId="166" fontId="3" fillId="2" borderId="0" xfId="0" applyNumberFormat="1" applyFont="1" applyFill="1"/>
    <xf numFmtId="166" fontId="0" fillId="2" borderId="0" xfId="0" applyNumberFormat="1" applyFill="1" applyAlignment="1">
      <alignment horizontal="right" vertical="center"/>
    </xf>
    <xf numFmtId="166" fontId="47" fillId="2" borderId="0" xfId="0" applyNumberFormat="1" applyFont="1" applyFill="1"/>
    <xf numFmtId="166" fontId="3" fillId="2" borderId="0" xfId="0" applyNumberFormat="1" applyFont="1" applyFill="1" applyAlignment="1">
      <alignment horizontal="right" vertical="center"/>
    </xf>
    <xf numFmtId="171" fontId="3" fillId="2" borderId="0" xfId="0" applyNumberFormat="1" applyFont="1" applyFill="1"/>
    <xf numFmtId="0" fontId="61" fillId="2" borderId="5" xfId="0" applyFont="1" applyFill="1" applyBorder="1"/>
    <xf numFmtId="0" fontId="61" fillId="2" borderId="4" xfId="0" applyFont="1" applyFill="1" applyBorder="1" applyAlignment="1">
      <alignment horizontal="center"/>
    </xf>
    <xf numFmtId="0" fontId="61" fillId="2" borderId="5" xfId="0" applyFont="1" applyFill="1" applyBorder="1" applyAlignment="1">
      <alignment horizontal="center"/>
    </xf>
    <xf numFmtId="0" fontId="61" fillId="2" borderId="2" xfId="0" applyFont="1" applyFill="1" applyBorder="1"/>
    <xf numFmtId="0" fontId="61" fillId="2" borderId="4" xfId="0" applyFont="1" applyFill="1" applyBorder="1"/>
    <xf numFmtId="0" fontId="61" fillId="2" borderId="2" xfId="0" applyFont="1" applyFill="1" applyBorder="1" applyAlignment="1">
      <alignment horizontal="center"/>
    </xf>
    <xf numFmtId="0" fontId="61" fillId="2" borderId="0" xfId="0" applyFont="1" applyFill="1"/>
    <xf numFmtId="166" fontId="61" fillId="2" borderId="0" xfId="0" applyNumberFormat="1" applyFont="1" applyFill="1" applyAlignment="1">
      <alignment horizontal="center"/>
    </xf>
    <xf numFmtId="166" fontId="61" fillId="2" borderId="2" xfId="0" applyNumberFormat="1" applyFont="1" applyFill="1" applyBorder="1" applyAlignment="1">
      <alignment horizont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166" fontId="1" fillId="31" borderId="0" xfId="2" applyNumberFormat="1" applyFill="1" applyAlignment="1">
      <alignment horizontal="center" vertical="center"/>
    </xf>
    <xf numFmtId="0" fontId="49" fillId="2" borderId="0" xfId="3" applyFont="1" applyFill="1"/>
    <xf numFmtId="0" fontId="8" fillId="2" borderId="0" xfId="0" applyFont="1" applyFill="1"/>
    <xf numFmtId="164" fontId="0" fillId="2" borderId="0" xfId="0" applyNumberFormat="1" applyFill="1"/>
    <xf numFmtId="49" fontId="0" fillId="2" borderId="0" xfId="0" applyNumberFormat="1" applyFill="1"/>
    <xf numFmtId="49" fontId="8" fillId="2" borderId="0" xfId="0" applyNumberFormat="1" applyFont="1" applyFill="1"/>
    <xf numFmtId="167" fontId="0" fillId="0" borderId="0" xfId="5" applyNumberFormat="1" applyFont="1" applyBorder="1"/>
    <xf numFmtId="172" fontId="0" fillId="0" borderId="0" xfId="0" applyNumberFormat="1"/>
    <xf numFmtId="167" fontId="0" fillId="33" borderId="0" xfId="0" applyNumberFormat="1" applyFill="1"/>
    <xf numFmtId="179" fontId="0" fillId="2" borderId="0" xfId="0" applyNumberFormat="1" applyFill="1"/>
    <xf numFmtId="1" fontId="1" fillId="2" borderId="5" xfId="1" applyNumberFormat="1" applyFill="1" applyBorder="1" applyAlignment="1">
      <alignment horizontal="center" vertical="center"/>
    </xf>
    <xf numFmtId="1" fontId="1" fillId="2" borderId="1" xfId="1" applyNumberFormat="1" applyFill="1" applyBorder="1" applyAlignment="1">
      <alignment horizontal="center" vertical="center"/>
    </xf>
    <xf numFmtId="1" fontId="1" fillId="33" borderId="2" xfId="2" applyNumberFormat="1" applyFill="1" applyBorder="1"/>
    <xf numFmtId="1" fontId="1" fillId="33" borderId="0" xfId="2" applyNumberFormat="1" applyFill="1"/>
    <xf numFmtId="166" fontId="4" fillId="2" borderId="1" xfId="2" applyNumberFormat="1" applyFont="1" applyFill="1" applyBorder="1" applyAlignment="1">
      <alignment horizontal="center" vertical="center"/>
    </xf>
    <xf numFmtId="166" fontId="1" fillId="6" borderId="1" xfId="2" applyNumberFormat="1" applyFill="1" applyBorder="1" applyAlignment="1">
      <alignment horizontal="center" vertical="center"/>
    </xf>
    <xf numFmtId="166" fontId="1" fillId="31" borderId="1" xfId="2" applyNumberFormat="1" applyFill="1" applyBorder="1" applyAlignment="1">
      <alignment horizontal="center" vertical="center"/>
    </xf>
    <xf numFmtId="2" fontId="8" fillId="2" borderId="0" xfId="2" applyNumberFormat="1" applyFont="1" applyFill="1" applyAlignment="1">
      <alignment horizontal="center" vertical="center"/>
    </xf>
    <xf numFmtId="2" fontId="8" fillId="2" borderId="2" xfId="2" applyNumberFormat="1" applyFont="1" applyFill="1" applyBorder="1" applyAlignment="1">
      <alignment horizontal="center" vertical="center"/>
    </xf>
    <xf numFmtId="166" fontId="8" fillId="2" borderId="0" xfId="2" applyNumberFormat="1" applyFont="1" applyFill="1" applyAlignment="1">
      <alignment horizontal="center" vertical="center"/>
    </xf>
    <xf numFmtId="166" fontId="8" fillId="2" borderId="1" xfId="2" applyNumberFormat="1" applyFont="1" applyFill="1" applyBorder="1" applyAlignment="1">
      <alignment horizontal="center" vertical="center"/>
    </xf>
    <xf numFmtId="2" fontId="1" fillId="2" borderId="2" xfId="2" applyNumberFormat="1" applyFill="1" applyBorder="1" applyAlignment="1">
      <alignment horizontal="center" vertical="center"/>
    </xf>
    <xf numFmtId="0" fontId="0" fillId="0" borderId="1" xfId="0" applyBorder="1" applyAlignment="1">
      <alignment horizontal="center" vertical="center"/>
    </xf>
    <xf numFmtId="0" fontId="0" fillId="2" borderId="2" xfId="0" applyFill="1" applyBorder="1"/>
    <xf numFmtId="177" fontId="0" fillId="2" borderId="0" xfId="1" applyNumberFormat="1" applyFont="1" applyFill="1" applyBorder="1" applyAlignment="1">
      <alignment horizontal="center" vertical="center"/>
    </xf>
    <xf numFmtId="1" fontId="1" fillId="34" borderId="5" xfId="2" applyNumberFormat="1" applyFill="1" applyBorder="1" applyAlignment="1">
      <alignment horizontal="center" vertical="center"/>
    </xf>
    <xf numFmtId="1" fontId="1" fillId="34" borderId="1" xfId="2" applyNumberFormat="1" applyFill="1" applyBorder="1" applyAlignment="1">
      <alignment horizontal="center" vertical="center"/>
    </xf>
    <xf numFmtId="0" fontId="0" fillId="0" borderId="28" xfId="0" applyBorder="1" applyAlignment="1">
      <alignment horizontal="center" vertical="center"/>
    </xf>
    <xf numFmtId="0" fontId="0" fillId="34" borderId="5" xfId="0" applyFill="1" applyBorder="1" applyAlignment="1">
      <alignment horizontal="center" vertical="center"/>
    </xf>
    <xf numFmtId="9" fontId="0" fillId="0" borderId="21" xfId="1" applyFont="1" applyFill="1" applyBorder="1" applyAlignment="1">
      <alignment horizontal="center" vertical="center"/>
    </xf>
    <xf numFmtId="0" fontId="0" fillId="35" borderId="26" xfId="0" applyFill="1" applyBorder="1" applyAlignment="1">
      <alignment horizontal="center" vertical="center"/>
    </xf>
    <xf numFmtId="0" fontId="0" fillId="35" borderId="0" xfId="0" applyFill="1" applyAlignment="1">
      <alignment horizontal="center" vertical="center"/>
    </xf>
    <xf numFmtId="9" fontId="0" fillId="0" borderId="20" xfId="1" applyFont="1" applyBorder="1" applyAlignment="1">
      <alignment horizontal="center" vertical="center"/>
    </xf>
    <xf numFmtId="0" fontId="0" fillId="0" borderId="26" xfId="0" applyBorder="1" applyAlignment="1">
      <alignment horizontal="center" vertical="center"/>
    </xf>
    <xf numFmtId="0" fontId="0" fillId="35" borderId="27" xfId="0" applyFill="1" applyBorder="1" applyAlignment="1">
      <alignment horizontal="center" vertical="center"/>
    </xf>
    <xf numFmtId="0" fontId="0" fillId="34" borderId="2" xfId="0" applyFill="1" applyBorder="1" applyAlignment="1">
      <alignment horizontal="center" vertical="center"/>
    </xf>
    <xf numFmtId="9" fontId="0" fillId="0" borderId="25" xfId="1" applyFont="1" applyFill="1" applyBorder="1" applyAlignment="1">
      <alignment horizontal="center" vertical="center"/>
    </xf>
    <xf numFmtId="0" fontId="0" fillId="34" borderId="0" xfId="0" applyFill="1" applyAlignment="1">
      <alignment horizontal="center" vertical="center"/>
    </xf>
    <xf numFmtId="9" fontId="0" fillId="0" borderId="0" xfId="0" applyNumberFormat="1"/>
    <xf numFmtId="9" fontId="0" fillId="0" borderId="0" xfId="0" applyNumberFormat="1" applyAlignment="1">
      <alignment horizontal="center" vertical="center"/>
    </xf>
    <xf numFmtId="164" fontId="0" fillId="2" borderId="0" xfId="12" applyFont="1" applyFill="1"/>
    <xf numFmtId="0" fontId="45" fillId="2" borderId="2" xfId="0" applyFont="1" applyFill="1" applyBorder="1" applyAlignment="1">
      <alignment horizontal="center" wrapText="1" readingOrder="1"/>
    </xf>
    <xf numFmtId="0" fontId="0" fillId="2" borderId="2" xfId="0" applyFill="1" applyBorder="1" applyAlignment="1">
      <alignment horizontal="center"/>
    </xf>
    <xf numFmtId="0" fontId="0" fillId="2" borderId="2" xfId="0" applyFill="1" applyBorder="1" applyAlignment="1">
      <alignment horizontal="center" wrapText="1"/>
    </xf>
    <xf numFmtId="0" fontId="23" fillId="2" borderId="0" xfId="13" applyFill="1"/>
    <xf numFmtId="0" fontId="23" fillId="2" borderId="0" xfId="13" applyFill="1" applyAlignment="1">
      <alignment horizontal="left"/>
    </xf>
    <xf numFmtId="0" fontId="23" fillId="2" borderId="2" xfId="13" applyFill="1" applyBorder="1"/>
    <xf numFmtId="0" fontId="23" fillId="2" borderId="0" xfId="13" applyFill="1" applyAlignment="1">
      <alignment horizontal="center"/>
    </xf>
    <xf numFmtId="0" fontId="68" fillId="2" borderId="2" xfId="13" applyFont="1" applyFill="1" applyBorder="1" applyAlignment="1">
      <alignment horizontal="center"/>
    </xf>
    <xf numFmtId="1" fontId="23" fillId="2" borderId="0" xfId="13" applyNumberFormat="1" applyFill="1"/>
    <xf numFmtId="1" fontId="23" fillId="2" borderId="0" xfId="13" applyNumberFormat="1" applyFill="1" applyAlignment="1">
      <alignment horizontal="center"/>
    </xf>
    <xf numFmtId="0" fontId="23" fillId="36" borderId="0" xfId="13" applyFill="1"/>
    <xf numFmtId="166" fontId="23" fillId="2" borderId="0" xfId="13" applyNumberFormat="1" applyFill="1"/>
    <xf numFmtId="2" fontId="23" fillId="2" borderId="0" xfId="13" applyNumberFormat="1" applyFill="1"/>
    <xf numFmtId="166" fontId="23" fillId="2" borderId="0" xfId="13" applyNumberFormat="1" applyFill="1" applyAlignment="1">
      <alignment horizontal="center"/>
    </xf>
    <xf numFmtId="0" fontId="68" fillId="2" borderId="0" xfId="13" applyFont="1" applyFill="1"/>
    <xf numFmtId="0" fontId="69" fillId="37" borderId="0" xfId="0" applyFont="1" applyFill="1"/>
    <xf numFmtId="0" fontId="23" fillId="2" borderId="2" xfId="13" applyFill="1" applyBorder="1" applyAlignment="1">
      <alignment horizontal="center"/>
    </xf>
    <xf numFmtId="0" fontId="23" fillId="2" borderId="0" xfId="13" applyFill="1" applyAlignment="1">
      <alignment vertical="top"/>
    </xf>
    <xf numFmtId="1" fontId="23" fillId="2" borderId="0" xfId="1" applyNumberFormat="1" applyFont="1" applyFill="1"/>
    <xf numFmtId="1" fontId="23" fillId="2" borderId="0" xfId="13" applyNumberFormat="1" applyFill="1" applyAlignment="1">
      <alignment vertical="top"/>
    </xf>
    <xf numFmtId="0" fontId="23" fillId="2" borderId="0" xfId="13" applyFill="1" applyAlignment="1">
      <alignment vertical="center"/>
    </xf>
    <xf numFmtId="0" fontId="23" fillId="2" borderId="2" xfId="13" applyFill="1" applyBorder="1" applyAlignment="1">
      <alignment vertical="center"/>
    </xf>
    <xf numFmtId="1" fontId="23" fillId="2" borderId="2" xfId="13" applyNumberFormat="1" applyFill="1" applyBorder="1"/>
    <xf numFmtId="0" fontId="0" fillId="2" borderId="8" xfId="0" applyFill="1" applyBorder="1" applyAlignment="1">
      <alignment horizontal="left" vertical="center"/>
    </xf>
    <xf numFmtId="0" fontId="0" fillId="2" borderId="8" xfId="0" applyFill="1" applyBorder="1"/>
    <xf numFmtId="1" fontId="0" fillId="2" borderId="8" xfId="0" applyNumberFormat="1" applyFill="1" applyBorder="1"/>
    <xf numFmtId="0" fontId="71" fillId="2" borderId="0" xfId="2" applyFont="1" applyFill="1" applyAlignment="1">
      <alignment horizontal="center" vertical="center"/>
    </xf>
    <xf numFmtId="0" fontId="23" fillId="2" borderId="31" xfId="13" applyFill="1" applyBorder="1" applyAlignment="1">
      <alignment horizontal="center"/>
    </xf>
    <xf numFmtId="0" fontId="70" fillId="2" borderId="0" xfId="2" applyFont="1" applyFill="1" applyAlignment="1">
      <alignment horizontal="center" vertical="center" wrapText="1"/>
    </xf>
    <xf numFmtId="0" fontId="72" fillId="2" borderId="31" xfId="13" applyFont="1" applyFill="1" applyBorder="1" applyAlignment="1">
      <alignment horizontal="center"/>
    </xf>
    <xf numFmtId="0" fontId="0" fillId="2" borderId="0" xfId="0" applyFill="1" applyAlignment="1">
      <alignment horizontal="center"/>
    </xf>
    <xf numFmtId="2" fontId="71" fillId="36" borderId="0" xfId="2" applyNumberFormat="1" applyFont="1" applyFill="1" applyAlignment="1">
      <alignment horizontal="center" vertical="center"/>
    </xf>
    <xf numFmtId="0" fontId="71" fillId="2" borderId="1" xfId="13" applyFont="1" applyFill="1" applyBorder="1"/>
    <xf numFmtId="0" fontId="70" fillId="2" borderId="1" xfId="2" applyFont="1" applyFill="1" applyBorder="1" applyAlignment="1">
      <alignment horizontal="center" vertical="center" wrapText="1"/>
    </xf>
    <xf numFmtId="0" fontId="44" fillId="2" borderId="0" xfId="2" applyFont="1" applyFill="1"/>
    <xf numFmtId="0" fontId="73" fillId="2" borderId="0" xfId="2" applyFont="1" applyFill="1" applyAlignment="1">
      <alignment wrapText="1"/>
    </xf>
    <xf numFmtId="0" fontId="71" fillId="2" borderId="0" xfId="13" applyFont="1" applyFill="1"/>
    <xf numFmtId="0" fontId="43" fillId="2" borderId="0" xfId="2" applyFont="1" applyFill="1" applyAlignment="1">
      <alignment wrapText="1"/>
    </xf>
    <xf numFmtId="0" fontId="74" fillId="2" borderId="0" xfId="2" applyFont="1" applyFill="1" applyAlignment="1">
      <alignment horizontal="left" indent="1"/>
    </xf>
    <xf numFmtId="2" fontId="71" fillId="2" borderId="0" xfId="2" applyNumberFormat="1" applyFont="1" applyFill="1" applyAlignment="1">
      <alignment horizontal="center" vertical="center"/>
    </xf>
    <xf numFmtId="2" fontId="71" fillId="6" borderId="0" xfId="2" applyNumberFormat="1" applyFont="1" applyFill="1" applyAlignment="1">
      <alignment horizontal="center" vertical="center"/>
    </xf>
    <xf numFmtId="0" fontId="74" fillId="2" borderId="2" xfId="2" applyFont="1" applyFill="1" applyBorder="1" applyAlignment="1">
      <alignment horizontal="left" indent="1"/>
    </xf>
    <xf numFmtId="2" fontId="71" fillId="6" borderId="2" xfId="2" applyNumberFormat="1" applyFont="1" applyFill="1" applyBorder="1" applyAlignment="1">
      <alignment horizontal="center" vertical="center"/>
    </xf>
    <xf numFmtId="0" fontId="71" fillId="2" borderId="2" xfId="2" applyFont="1" applyFill="1" applyBorder="1" applyAlignment="1">
      <alignment horizontal="center" vertical="center"/>
    </xf>
    <xf numFmtId="0" fontId="74" fillId="2" borderId="1" xfId="2" applyFont="1" applyFill="1" applyBorder="1" applyAlignment="1">
      <alignment horizontal="left" indent="1"/>
    </xf>
    <xf numFmtId="2" fontId="71" fillId="6" borderId="1" xfId="2" applyNumberFormat="1" applyFont="1" applyFill="1" applyBorder="1" applyAlignment="1">
      <alignment horizontal="center" vertical="center"/>
    </xf>
    <xf numFmtId="0" fontId="71" fillId="2" borderId="1" xfId="2" applyFont="1" applyFill="1" applyBorder="1" applyAlignment="1">
      <alignment horizontal="center" vertical="center"/>
    </xf>
    <xf numFmtId="2" fontId="71" fillId="0" borderId="0" xfId="2" applyNumberFormat="1" applyFont="1" applyAlignment="1">
      <alignment horizontal="center" vertical="center"/>
    </xf>
    <xf numFmtId="0" fontId="73" fillId="2" borderId="0" xfId="2" applyFont="1" applyFill="1" applyAlignment="1">
      <alignment horizontal="center" vertical="center"/>
    </xf>
    <xf numFmtId="2" fontId="73" fillId="6" borderId="0" xfId="2" applyNumberFormat="1" applyFont="1" applyFill="1" applyAlignment="1">
      <alignment horizontal="center" vertical="center"/>
    </xf>
    <xf numFmtId="2" fontId="73" fillId="6" borderId="2" xfId="2" applyNumberFormat="1" applyFont="1" applyFill="1" applyBorder="1" applyAlignment="1">
      <alignment horizontal="center" vertical="center"/>
    </xf>
    <xf numFmtId="166" fontId="71" fillId="0" borderId="0" xfId="2" applyNumberFormat="1" applyFont="1" applyAlignment="1">
      <alignment horizontal="center" vertical="center"/>
    </xf>
    <xf numFmtId="166" fontId="73" fillId="6" borderId="0" xfId="2" applyNumberFormat="1" applyFont="1" applyFill="1" applyAlignment="1">
      <alignment horizontal="center" vertical="center"/>
    </xf>
    <xf numFmtId="166" fontId="73" fillId="6" borderId="1" xfId="2" applyNumberFormat="1" applyFont="1" applyFill="1" applyBorder="1" applyAlignment="1">
      <alignment horizontal="center" vertical="center"/>
    </xf>
    <xf numFmtId="0" fontId="71" fillId="2" borderId="31" xfId="13" applyFont="1" applyFill="1" applyBorder="1"/>
    <xf numFmtId="166" fontId="71" fillId="2" borderId="31" xfId="2" applyNumberFormat="1" applyFont="1" applyFill="1" applyBorder="1" applyAlignment="1">
      <alignment horizontal="center" vertical="center"/>
    </xf>
    <xf numFmtId="0" fontId="71" fillId="2" borderId="31" xfId="2" applyFont="1" applyFill="1" applyBorder="1" applyAlignment="1">
      <alignment horizontal="center" vertical="center"/>
    </xf>
    <xf numFmtId="0" fontId="70" fillId="2" borderId="0" xfId="2" applyFont="1" applyFill="1" applyAlignment="1">
      <alignment horizontal="center"/>
    </xf>
    <xf numFmtId="0" fontId="0" fillId="2" borderId="0" xfId="0" applyFill="1" applyAlignment="1">
      <alignment wrapText="1"/>
    </xf>
    <xf numFmtId="0" fontId="0" fillId="2" borderId="4" xfId="0" applyFill="1" applyBorder="1" applyAlignment="1">
      <alignment wrapText="1"/>
    </xf>
    <xf numFmtId="0" fontId="3" fillId="2" borderId="0" xfId="0" applyFont="1" applyFill="1" applyAlignment="1">
      <alignment wrapText="1"/>
    </xf>
    <xf numFmtId="0" fontId="0" fillId="34" borderId="0" xfId="0" applyFill="1" applyAlignment="1">
      <alignment horizontal="left" vertical="center"/>
    </xf>
    <xf numFmtId="0" fontId="0" fillId="20" borderId="2" xfId="0" applyFill="1" applyBorder="1" applyAlignment="1">
      <alignment horizontal="left" vertical="center"/>
    </xf>
    <xf numFmtId="1" fontId="0" fillId="2" borderId="2" xfId="0" applyNumberFormat="1" applyFill="1" applyBorder="1" applyAlignment="1">
      <alignment horizontal="center" vertical="center"/>
    </xf>
    <xf numFmtId="165" fontId="0" fillId="14" borderId="2" xfId="1" applyNumberFormat="1" applyFont="1" applyFill="1" applyBorder="1" applyAlignment="1">
      <alignment horizontal="center" vertical="center"/>
    </xf>
    <xf numFmtId="2" fontId="0" fillId="14" borderId="2" xfId="0" applyNumberFormat="1" applyFill="1" applyBorder="1" applyAlignment="1">
      <alignment horizontal="center" vertical="center"/>
    </xf>
    <xf numFmtId="0" fontId="1" fillId="2" borderId="25" xfId="7" applyFill="1" applyBorder="1" applyAlignment="1">
      <alignment horizontal="center"/>
    </xf>
    <xf numFmtId="165" fontId="1" fillId="2" borderId="2" xfId="7" applyNumberFormat="1" applyFill="1" applyBorder="1" applyAlignment="1">
      <alignment horizontal="center"/>
    </xf>
    <xf numFmtId="2" fontId="1" fillId="2" borderId="2" xfId="7" applyNumberFormat="1" applyFill="1" applyBorder="1"/>
    <xf numFmtId="166" fontId="22" fillId="22" borderId="0" xfId="7" applyNumberFormat="1" applyFont="1" applyFill="1" applyAlignment="1">
      <alignment horizontal="center" vertical="center"/>
    </xf>
    <xf numFmtId="2" fontId="9" fillId="22" borderId="0" xfId="3" applyNumberFormat="1" applyFont="1" applyFill="1" applyAlignment="1">
      <alignment horizontal="center" vertical="center"/>
    </xf>
    <xf numFmtId="166" fontId="22" fillId="22" borderId="2" xfId="7" applyNumberFormat="1" applyFont="1" applyFill="1" applyBorder="1" applyAlignment="1">
      <alignment horizontal="center" vertical="center"/>
    </xf>
    <xf numFmtId="2" fontId="9" fillId="22" borderId="2" xfId="3" applyNumberFormat="1" applyFont="1" applyFill="1" applyBorder="1" applyAlignment="1">
      <alignment horizontal="center" vertical="center"/>
    </xf>
    <xf numFmtId="2" fontId="22" fillId="22" borderId="2" xfId="7" applyNumberFormat="1" applyFont="1" applyFill="1" applyBorder="1" applyAlignment="1">
      <alignment horizontal="center" vertical="center"/>
    </xf>
    <xf numFmtId="166" fontId="22" fillId="22" borderId="0" xfId="7" applyNumberFormat="1" applyFont="1" applyFill="1" applyAlignment="1">
      <alignment horizontal="center"/>
    </xf>
    <xf numFmtId="173" fontId="22" fillId="22" borderId="0" xfId="7" applyNumberFormat="1" applyFont="1" applyFill="1" applyAlignment="1">
      <alignment horizontal="center" vertical="center"/>
    </xf>
    <xf numFmtId="0" fontId="0" fillId="32" borderId="0" xfId="0" applyFill="1" applyAlignment="1">
      <alignment horizontal="center" vertical="center"/>
    </xf>
    <xf numFmtId="0" fontId="0" fillId="0" borderId="27" xfId="0" applyBorder="1" applyAlignment="1">
      <alignment horizontal="center" vertical="center"/>
    </xf>
    <xf numFmtId="0" fontId="0" fillId="0" borderId="26" xfId="0" applyBorder="1" applyAlignment="1">
      <alignment horizontal="left" vertical="center"/>
    </xf>
    <xf numFmtId="0" fontId="0" fillId="14" borderId="26" xfId="0" applyFill="1" applyBorder="1" applyAlignment="1">
      <alignment horizontal="center" vertical="center"/>
    </xf>
    <xf numFmtId="0" fontId="0" fillId="0" borderId="28" xfId="0" applyBorder="1" applyAlignment="1">
      <alignment horizontal="left" vertical="center"/>
    </xf>
    <xf numFmtId="0" fontId="0" fillId="0" borderId="27" xfId="0" applyBorder="1" applyAlignment="1">
      <alignment horizontal="left" vertical="center"/>
    </xf>
    <xf numFmtId="0" fontId="75" fillId="0" borderId="26" xfId="14" applyBorder="1" applyAlignment="1">
      <alignment horizontal="left"/>
    </xf>
    <xf numFmtId="0" fontId="75" fillId="0" borderId="26" xfId="14" applyBorder="1" applyAlignment="1">
      <alignment horizontal="left" vertical="center"/>
    </xf>
    <xf numFmtId="0" fontId="0" fillId="14" borderId="4" xfId="0" applyFill="1" applyBorder="1" applyAlignment="1">
      <alignment horizontal="center" vertical="center"/>
    </xf>
    <xf numFmtId="0" fontId="0" fillId="14" borderId="29" xfId="0" applyFill="1" applyBorder="1" applyAlignment="1">
      <alignment horizontal="center" vertical="center"/>
    </xf>
    <xf numFmtId="0" fontId="0" fillId="2" borderId="2" xfId="0" applyFill="1" applyBorder="1" applyAlignment="1">
      <alignment vertical="center"/>
    </xf>
    <xf numFmtId="0" fontId="0" fillId="2" borderId="26" xfId="0" applyFill="1" applyBorder="1" applyAlignment="1">
      <alignment horizontal="center" vertical="center"/>
    </xf>
    <xf numFmtId="0" fontId="0" fillId="2" borderId="30" xfId="0" applyFill="1" applyBorder="1" applyAlignment="1">
      <alignment horizontal="center" vertical="center" wrapText="1"/>
    </xf>
    <xf numFmtId="0" fontId="0" fillId="2" borderId="4" xfId="0" applyFill="1" applyBorder="1" applyAlignment="1">
      <alignment horizontal="center" vertical="center" wrapText="1"/>
    </xf>
    <xf numFmtId="0" fontId="0" fillId="2" borderId="29" xfId="0" applyFill="1" applyBorder="1" applyAlignment="1">
      <alignment horizontal="center" vertical="center" wrapText="1"/>
    </xf>
    <xf numFmtId="0" fontId="23" fillId="2" borderId="0" xfId="13" applyFill="1" applyAlignment="1">
      <alignment wrapText="1"/>
    </xf>
    <xf numFmtId="0" fontId="77" fillId="2" borderId="1" xfId="0" applyFont="1" applyFill="1" applyBorder="1" applyProtection="1">
      <protection locked="0"/>
    </xf>
    <xf numFmtId="0" fontId="77" fillId="2" borderId="1" xfId="0" applyFont="1" applyFill="1" applyBorder="1" applyAlignment="1" applyProtection="1">
      <alignment horizontal="center"/>
      <protection locked="0"/>
    </xf>
    <xf numFmtId="0" fontId="77" fillId="2" borderId="0" xfId="0" applyFont="1" applyFill="1" applyProtection="1">
      <protection locked="0"/>
    </xf>
    <xf numFmtId="1" fontId="80" fillId="2" borderId="0" xfId="0" applyNumberFormat="1" applyFont="1" applyFill="1" applyAlignment="1" applyProtection="1">
      <alignment horizontal="center"/>
      <protection locked="0"/>
    </xf>
    <xf numFmtId="3" fontId="77" fillId="2" borderId="0" xfId="0" applyNumberFormat="1" applyFont="1" applyFill="1" applyAlignment="1" applyProtection="1">
      <alignment horizontal="center"/>
      <protection locked="0"/>
    </xf>
    <xf numFmtId="1" fontId="77" fillId="2" borderId="0" xfId="0" applyNumberFormat="1" applyFont="1" applyFill="1" applyAlignment="1" applyProtection="1">
      <alignment horizontal="center"/>
      <protection locked="0"/>
    </xf>
    <xf numFmtId="0" fontId="79" fillId="2" borderId="0" xfId="0" applyFont="1" applyFill="1" applyProtection="1">
      <protection locked="0"/>
    </xf>
    <xf numFmtId="0" fontId="79" fillId="2" borderId="2" xfId="0" applyFont="1" applyFill="1" applyBorder="1" applyProtection="1">
      <protection locked="0"/>
    </xf>
    <xf numFmtId="1" fontId="77" fillId="2" borderId="0" xfId="0" applyNumberFormat="1" applyFont="1" applyFill="1" applyProtection="1">
      <protection locked="0"/>
    </xf>
    <xf numFmtId="0" fontId="79" fillId="2" borderId="4" xfId="0" applyFont="1" applyFill="1" applyBorder="1" applyProtection="1">
      <protection locked="0"/>
    </xf>
    <xf numFmtId="37" fontId="78" fillId="2" borderId="4" xfId="12" applyNumberFormat="1" applyFont="1" applyFill="1" applyBorder="1" applyAlignment="1" applyProtection="1">
      <alignment horizontal="center"/>
      <protection locked="0"/>
    </xf>
    <xf numFmtId="3" fontId="77" fillId="2" borderId="4" xfId="0" applyNumberFormat="1" applyFont="1" applyFill="1" applyBorder="1" applyAlignment="1" applyProtection="1">
      <alignment horizontal="center"/>
      <protection locked="0"/>
    </xf>
    <xf numFmtId="180" fontId="0" fillId="0" borderId="4" xfId="0" applyNumberFormat="1" applyBorder="1" applyAlignment="1" applyProtection="1">
      <alignment horizontal="center"/>
      <protection locked="0"/>
    </xf>
    <xf numFmtId="0" fontId="79" fillId="2" borderId="3" xfId="0" applyFont="1" applyFill="1" applyBorder="1" applyAlignment="1" applyProtection="1">
      <alignment horizontal="center" vertical="center" wrapText="1"/>
      <protection locked="0"/>
    </xf>
    <xf numFmtId="0" fontId="78" fillId="2" borderId="3" xfId="0" applyFont="1" applyFill="1" applyBorder="1" applyAlignment="1" applyProtection="1">
      <alignment horizontal="center" vertical="center" wrapText="1"/>
      <protection locked="0"/>
    </xf>
    <xf numFmtId="1" fontId="81" fillId="2" borderId="3" xfId="0" applyNumberFormat="1" applyFont="1" applyFill="1" applyBorder="1" applyAlignment="1" applyProtection="1">
      <alignment horizontal="center" vertical="center" wrapText="1"/>
      <protection locked="0"/>
    </xf>
    <xf numFmtId="166" fontId="8" fillId="31" borderId="1" xfId="2" applyNumberFormat="1" applyFont="1" applyFill="1" applyBorder="1" applyAlignment="1">
      <alignment horizontal="center" vertical="center"/>
    </xf>
    <xf numFmtId="0" fontId="8" fillId="10" borderId="0" xfId="3" applyFill="1" applyAlignment="1">
      <alignment horizontal="center"/>
    </xf>
    <xf numFmtId="0" fontId="8" fillId="11" borderId="0" xfId="3" applyFill="1" applyAlignment="1">
      <alignment horizontal="center"/>
    </xf>
    <xf numFmtId="1" fontId="1" fillId="0" borderId="0" xfId="2" applyNumberFormat="1"/>
    <xf numFmtId="181" fontId="1" fillId="2" borderId="0" xfId="1" applyNumberFormat="1" applyFill="1" applyAlignment="1" applyProtection="1">
      <alignment horizontal="center" vertical="center"/>
      <protection locked="0"/>
    </xf>
    <xf numFmtId="2" fontId="3" fillId="2" borderId="0" xfId="0" applyNumberFormat="1" applyFont="1" applyFill="1" applyAlignment="1">
      <alignment horizontal="center" vertical="center"/>
    </xf>
    <xf numFmtId="177" fontId="3" fillId="2" borderId="0" xfId="1" applyNumberFormat="1" applyFont="1" applyFill="1" applyBorder="1" applyAlignment="1">
      <alignment horizontal="center" vertical="center"/>
    </xf>
    <xf numFmtId="166" fontId="1" fillId="38" borderId="0" xfId="2" applyNumberFormat="1" applyFill="1" applyAlignment="1">
      <alignment horizontal="center" vertical="center"/>
    </xf>
    <xf numFmtId="2" fontId="1" fillId="38" borderId="0" xfId="2" applyNumberFormat="1" applyFill="1" applyAlignment="1">
      <alignment horizontal="center" vertical="center"/>
    </xf>
    <xf numFmtId="165" fontId="0" fillId="2" borderId="0" xfId="0" applyNumberFormat="1" applyFill="1"/>
    <xf numFmtId="3" fontId="0" fillId="2" borderId="0" xfId="0" applyNumberFormat="1" applyFill="1"/>
    <xf numFmtId="0" fontId="82" fillId="2" borderId="0" xfId="0" applyFont="1" applyFill="1"/>
    <xf numFmtId="0" fontId="83" fillId="2" borderId="0" xfId="0" applyFont="1" applyFill="1"/>
    <xf numFmtId="0" fontId="84" fillId="2" borderId="27" xfId="0" applyFont="1" applyFill="1" applyBorder="1" applyAlignment="1">
      <alignment horizontal="center" vertical="center"/>
    </xf>
    <xf numFmtId="0" fontId="84" fillId="2" borderId="2" xfId="0" applyFont="1" applyFill="1" applyBorder="1" applyAlignment="1">
      <alignment horizontal="center" vertical="center"/>
    </xf>
    <xf numFmtId="1" fontId="83" fillId="34" borderId="26" xfId="2" applyNumberFormat="1" applyFont="1" applyFill="1" applyBorder="1" applyAlignment="1">
      <alignment horizontal="center" vertical="center"/>
    </xf>
    <xf numFmtId="0" fontId="83" fillId="2" borderId="0" xfId="0" applyFont="1" applyFill="1" applyAlignment="1">
      <alignment horizontal="center" vertical="center"/>
    </xf>
    <xf numFmtId="0" fontId="83" fillId="2" borderId="0" xfId="2" applyFont="1" applyFill="1" applyAlignment="1">
      <alignment horizontal="center" vertical="center"/>
    </xf>
    <xf numFmtId="2" fontId="83" fillId="34" borderId="26" xfId="2" applyNumberFormat="1" applyFont="1" applyFill="1" applyBorder="1" applyAlignment="1">
      <alignment horizontal="center" vertical="center"/>
    </xf>
    <xf numFmtId="1" fontId="83" fillId="34" borderId="0" xfId="0" applyNumberFormat="1" applyFont="1" applyFill="1" applyAlignment="1">
      <alignment horizontal="center" vertical="center"/>
    </xf>
    <xf numFmtId="166" fontId="83" fillId="34" borderId="0" xfId="0" applyNumberFormat="1" applyFont="1" applyFill="1" applyAlignment="1">
      <alignment horizontal="center" vertical="center"/>
    </xf>
    <xf numFmtId="1" fontId="83" fillId="34" borderId="17" xfId="2" applyNumberFormat="1" applyFont="1" applyFill="1" applyBorder="1" applyAlignment="1">
      <alignment horizontal="center" vertical="center"/>
    </xf>
    <xf numFmtId="166" fontId="83" fillId="34" borderId="1" xfId="0" applyNumberFormat="1" applyFont="1" applyFill="1" applyBorder="1" applyAlignment="1">
      <alignment horizontal="center" vertical="center"/>
    </xf>
    <xf numFmtId="0" fontId="85" fillId="2" borderId="0" xfId="0" applyFont="1" applyFill="1"/>
    <xf numFmtId="0" fontId="85" fillId="2" borderId="0" xfId="0" applyFont="1" applyFill="1" applyAlignment="1">
      <alignment horizontal="center" vertical="center"/>
    </xf>
    <xf numFmtId="0" fontId="85" fillId="2" borderId="0" xfId="7" applyFont="1" applyFill="1" applyProtection="1">
      <protection locked="0"/>
    </xf>
    <xf numFmtId="1" fontId="1" fillId="6" borderId="5" xfId="2" applyNumberFormat="1" applyFill="1" applyBorder="1" applyAlignment="1">
      <alignment horizontal="center" vertical="center"/>
    </xf>
    <xf numFmtId="165" fontId="1" fillId="6" borderId="1" xfId="2" applyNumberFormat="1" applyFill="1" applyBorder="1" applyAlignment="1">
      <alignment horizontal="center" vertical="center"/>
    </xf>
    <xf numFmtId="0" fontId="5" fillId="2" borderId="0" xfId="7" applyFont="1" applyFill="1"/>
    <xf numFmtId="0" fontId="5" fillId="2" borderId="0" xfId="7" applyFont="1" applyFill="1" applyProtection="1">
      <protection locked="0"/>
    </xf>
    <xf numFmtId="0" fontId="86" fillId="2" borderId="0" xfId="3" applyFont="1" applyFill="1" applyProtection="1">
      <protection locked="0"/>
    </xf>
    <xf numFmtId="3" fontId="1" fillId="2" borderId="5" xfId="2" applyNumberFormat="1" applyFill="1" applyBorder="1" applyAlignment="1">
      <alignment horizontal="center" vertical="center"/>
    </xf>
    <xf numFmtId="0" fontId="87" fillId="0" borderId="0" xfId="0" applyFont="1" applyAlignment="1">
      <alignment horizontal="center" vertical="center" wrapText="1" readingOrder="1"/>
    </xf>
    <xf numFmtId="0" fontId="88" fillId="2" borderId="0" xfId="0" applyFont="1" applyFill="1" applyAlignment="1">
      <alignment wrapText="1"/>
    </xf>
    <xf numFmtId="0" fontId="0" fillId="2" borderId="0" xfId="0" applyFill="1" applyAlignment="1">
      <alignment horizontal="right"/>
    </xf>
    <xf numFmtId="2" fontId="0" fillId="2" borderId="0" xfId="0" applyNumberFormat="1" applyFill="1" applyAlignment="1">
      <alignment horizontal="center"/>
    </xf>
    <xf numFmtId="0" fontId="0" fillId="2" borderId="2" xfId="0" applyFill="1" applyBorder="1" applyAlignment="1">
      <alignment horizontal="right"/>
    </xf>
    <xf numFmtId="2" fontId="0" fillId="2" borderId="2" xfId="0" applyNumberFormat="1" applyFill="1" applyBorder="1" applyAlignment="1">
      <alignment horizontal="center" vertical="center"/>
    </xf>
    <xf numFmtId="0" fontId="4" fillId="2" borderId="2" xfId="2" applyFont="1" applyFill="1" applyBorder="1" applyAlignment="1">
      <alignment horizontal="center" vertical="center"/>
    </xf>
    <xf numFmtId="0" fontId="4" fillId="2" borderId="27" xfId="2" applyFont="1" applyFill="1" applyBorder="1" applyAlignment="1">
      <alignment horizontal="center" vertical="center"/>
    </xf>
    <xf numFmtId="2" fontId="0" fillId="2" borderId="26" xfId="0" applyNumberFormat="1" applyFill="1" applyBorder="1" applyAlignment="1">
      <alignment horizontal="center" vertical="center"/>
    </xf>
    <xf numFmtId="2" fontId="0" fillId="2" borderId="27" xfId="0" applyNumberFormat="1" applyFill="1" applyBorder="1" applyAlignment="1">
      <alignment horizontal="center" vertical="center"/>
    </xf>
    <xf numFmtId="2" fontId="0" fillId="2" borderId="26" xfId="0" applyNumberFormat="1" applyFill="1" applyBorder="1" applyAlignment="1">
      <alignment horizontal="center"/>
    </xf>
    <xf numFmtId="0" fontId="4" fillId="2" borderId="25" xfId="0" applyFont="1" applyFill="1" applyBorder="1" applyAlignment="1">
      <alignment horizontal="center"/>
    </xf>
    <xf numFmtId="0" fontId="0" fillId="2" borderId="0" xfId="0" quotePrefix="1" applyFill="1" applyAlignment="1">
      <alignment horizontal="left" vertical="center"/>
    </xf>
    <xf numFmtId="2" fontId="8" fillId="6" borderId="1" xfId="2" applyNumberFormat="1" applyFont="1" applyFill="1" applyBorder="1" applyAlignment="1">
      <alignment horizontal="center" vertical="center"/>
    </xf>
    <xf numFmtId="2" fontId="1" fillId="38" borderId="1" xfId="2" applyNumberFormat="1" applyFill="1" applyBorder="1" applyAlignment="1">
      <alignment horizontal="center" vertical="center"/>
    </xf>
    <xf numFmtId="0" fontId="1" fillId="20" borderId="0" xfId="2" applyFill="1" applyAlignment="1">
      <alignment horizontal="center" vertical="center" wrapText="1"/>
    </xf>
    <xf numFmtId="0" fontId="1" fillId="0" borderId="0" xfId="2" applyAlignment="1">
      <alignment horizontal="center" vertical="center" wrapText="1"/>
    </xf>
    <xf numFmtId="0" fontId="1" fillId="34" borderId="0" xfId="2" applyFill="1" applyAlignment="1">
      <alignment horizontal="center" vertical="center" wrapText="1"/>
    </xf>
    <xf numFmtId="0" fontId="1" fillId="35" borderId="0" xfId="2" applyFill="1" applyAlignment="1">
      <alignment horizontal="center" vertical="center" wrapText="1"/>
    </xf>
    <xf numFmtId="0" fontId="1" fillId="33" borderId="0" xfId="2" applyFill="1" applyAlignment="1">
      <alignment horizontal="center" vertical="center" wrapText="1"/>
    </xf>
    <xf numFmtId="0" fontId="1" fillId="22" borderId="0" xfId="2" applyFill="1" applyAlignment="1">
      <alignment horizontal="center" vertical="center" wrapText="1"/>
    </xf>
    <xf numFmtId="0" fontId="1" fillId="32" borderId="0" xfId="2" applyFill="1" applyAlignment="1">
      <alignment horizontal="center" vertical="center" wrapText="1"/>
    </xf>
    <xf numFmtId="0" fontId="60" fillId="2" borderId="0" xfId="0" applyFont="1" applyFill="1"/>
    <xf numFmtId="0" fontId="89" fillId="2" borderId="0" xfId="3" applyFont="1" applyFill="1"/>
    <xf numFmtId="2" fontId="60" fillId="2" borderId="0" xfId="0" applyNumberFormat="1" applyFont="1" applyFill="1"/>
    <xf numFmtId="0" fontId="90" fillId="2" borderId="0" xfId="0" applyFont="1" applyFill="1" applyAlignment="1">
      <alignment wrapText="1"/>
    </xf>
    <xf numFmtId="165" fontId="3" fillId="2" borderId="0" xfId="0" applyNumberFormat="1" applyFont="1" applyFill="1" applyAlignment="1">
      <alignment horizontal="center" vertical="center"/>
    </xf>
    <xf numFmtId="2" fontId="47" fillId="2" borderId="0" xfId="0" applyNumberFormat="1" applyFont="1" applyFill="1" applyAlignment="1">
      <alignment horizontal="center" vertical="center"/>
    </xf>
    <xf numFmtId="2" fontId="47" fillId="2" borderId="2" xfId="0" applyNumberFormat="1" applyFont="1" applyFill="1" applyBorder="1" applyAlignment="1">
      <alignment horizontal="center" vertical="center"/>
    </xf>
    <xf numFmtId="177" fontId="47" fillId="2" borderId="0" xfId="1" applyNumberFormat="1" applyFont="1" applyFill="1" applyAlignment="1">
      <alignment horizontal="center" vertical="center"/>
    </xf>
    <xf numFmtId="177" fontId="47" fillId="2" borderId="0" xfId="1" applyNumberFormat="1" applyFont="1" applyFill="1" applyBorder="1" applyAlignment="1">
      <alignment horizontal="center" vertical="center"/>
    </xf>
    <xf numFmtId="177" fontId="47" fillId="2" borderId="1" xfId="1" applyNumberFormat="1" applyFont="1" applyFill="1" applyBorder="1" applyAlignment="1">
      <alignment horizontal="center" vertical="center"/>
    </xf>
    <xf numFmtId="177" fontId="3" fillId="2" borderId="0" xfId="1" applyNumberFormat="1" applyFont="1" applyFill="1" applyAlignment="1">
      <alignment horizontal="center" vertical="center"/>
    </xf>
    <xf numFmtId="171" fontId="3" fillId="2" borderId="0" xfId="0" applyNumberFormat="1" applyFont="1" applyFill="1" applyAlignment="1">
      <alignment horizontal="center" vertical="center"/>
    </xf>
    <xf numFmtId="10" fontId="3" fillId="2" borderId="0" xfId="1" applyNumberFormat="1" applyFont="1" applyFill="1" applyBorder="1" applyAlignment="1">
      <alignment horizontal="center" vertical="center"/>
    </xf>
    <xf numFmtId="0" fontId="0" fillId="2" borderId="4" xfId="0" applyFill="1" applyBorder="1"/>
    <xf numFmtId="0" fontId="14" fillId="2" borderId="7" xfId="2" applyFont="1" applyFill="1" applyBorder="1" applyAlignment="1">
      <alignment horizontal="center" wrapText="1"/>
    </xf>
    <xf numFmtId="0" fontId="13" fillId="2" borderId="0" xfId="2" applyFont="1" applyFill="1" applyAlignment="1">
      <alignment horizontal="left" wrapText="1"/>
    </xf>
    <xf numFmtId="0" fontId="14" fillId="2" borderId="0" xfId="3" applyFont="1" applyFill="1" applyAlignment="1">
      <alignment horizontal="center" vertical="center"/>
    </xf>
    <xf numFmtId="0" fontId="14" fillId="2" borderId="2" xfId="3" applyFont="1" applyFill="1" applyBorder="1" applyAlignment="1">
      <alignment horizontal="center" vertical="center"/>
    </xf>
    <xf numFmtId="0" fontId="14" fillId="2" borderId="5" xfId="3" applyFont="1" applyFill="1" applyBorder="1" applyAlignment="1">
      <alignment horizontal="center" vertical="center"/>
    </xf>
    <xf numFmtId="0" fontId="14" fillId="2" borderId="1" xfId="3" applyFont="1" applyFill="1" applyBorder="1" applyAlignment="1">
      <alignment horizontal="center" vertical="center"/>
    </xf>
    <xf numFmtId="0" fontId="11" fillId="2" borderId="3" xfId="3" applyFont="1" applyFill="1" applyBorder="1" applyAlignment="1">
      <alignment horizontal="center"/>
    </xf>
    <xf numFmtId="0" fontId="13" fillId="2" borderId="6" xfId="2" applyFont="1" applyFill="1" applyBorder="1" applyAlignment="1">
      <alignment horizontal="left"/>
    </xf>
    <xf numFmtId="0" fontId="14" fillId="2" borderId="7" xfId="3" applyFont="1" applyFill="1" applyBorder="1" applyAlignment="1">
      <alignment horizontal="left"/>
    </xf>
    <xf numFmtId="2" fontId="9" fillId="2" borderId="5" xfId="3" applyNumberFormat="1" applyFont="1" applyFill="1" applyBorder="1" applyAlignment="1">
      <alignment horizontal="center"/>
    </xf>
    <xf numFmtId="2" fontId="9" fillId="2" borderId="0" xfId="3" applyNumberFormat="1" applyFont="1" applyFill="1" applyAlignment="1">
      <alignment horizontal="center"/>
    </xf>
    <xf numFmtId="2" fontId="9" fillId="2" borderId="2" xfId="3" applyNumberFormat="1" applyFont="1" applyFill="1" applyBorder="1" applyAlignment="1">
      <alignment horizontal="center"/>
    </xf>
    <xf numFmtId="0" fontId="0" fillId="0" borderId="26"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 xfId="0" applyBorder="1" applyAlignment="1">
      <alignment horizontal="center" vertical="center" wrapText="1"/>
    </xf>
    <xf numFmtId="0" fontId="0" fillId="16" borderId="0" xfId="0" applyFill="1" applyAlignment="1">
      <alignment horizontal="center" vertical="center" wrapText="1"/>
    </xf>
    <xf numFmtId="0" fontId="0" fillId="27" borderId="0" xfId="0" applyFill="1" applyAlignment="1">
      <alignment horizontal="center" vertical="center" wrapText="1"/>
    </xf>
    <xf numFmtId="0" fontId="0" fillId="27" borderId="0" xfId="0" applyFill="1" applyAlignment="1">
      <alignment horizontal="center" vertical="center"/>
    </xf>
    <xf numFmtId="0" fontId="0" fillId="20" borderId="0" xfId="0" applyFill="1" applyAlignment="1">
      <alignment horizontal="center" vertical="center" wrapText="1"/>
    </xf>
    <xf numFmtId="0" fontId="5" fillId="21" borderId="0" xfId="0" applyFont="1" applyFill="1" applyAlignment="1">
      <alignment horizontal="center" vertical="center"/>
    </xf>
    <xf numFmtId="0" fontId="0" fillId="17" borderId="0" xfId="0" applyFill="1" applyAlignment="1">
      <alignment horizontal="center" vertical="center" wrapText="1"/>
    </xf>
    <xf numFmtId="0" fontId="5" fillId="18" borderId="0" xfId="0" applyFont="1" applyFill="1" applyAlignment="1">
      <alignment horizontal="center" vertical="center" wrapText="1"/>
    </xf>
    <xf numFmtId="0" fontId="2" fillId="29" borderId="2" xfId="0" applyFont="1" applyFill="1" applyBorder="1" applyAlignment="1">
      <alignment horizontal="center"/>
    </xf>
    <xf numFmtId="0" fontId="4" fillId="0" borderId="30" xfId="0" applyFont="1" applyBorder="1" applyAlignment="1">
      <alignment horizontal="center"/>
    </xf>
    <xf numFmtId="0" fontId="4" fillId="0" borderId="4" xfId="0" applyFont="1" applyBorder="1" applyAlignment="1">
      <alignment horizontal="center"/>
    </xf>
    <xf numFmtId="0" fontId="4" fillId="0" borderId="29" xfId="0" applyFont="1" applyBorder="1" applyAlignment="1">
      <alignment horizontal="center"/>
    </xf>
    <xf numFmtId="0" fontId="0" fillId="20" borderId="0" xfId="0" applyFill="1" applyAlignment="1">
      <alignment horizontal="center"/>
    </xf>
    <xf numFmtId="0" fontId="0" fillId="27" borderId="0" xfId="0" applyFill="1" applyAlignment="1">
      <alignment horizontal="center"/>
    </xf>
    <xf numFmtId="0" fontId="0" fillId="17" borderId="0" xfId="0" applyFill="1" applyAlignment="1">
      <alignment horizontal="center"/>
    </xf>
    <xf numFmtId="0" fontId="5" fillId="18" borderId="0" xfId="0" applyFont="1" applyFill="1" applyAlignment="1">
      <alignment horizontal="center"/>
    </xf>
    <xf numFmtId="0" fontId="5" fillId="28" borderId="0" xfId="0" applyFont="1" applyFill="1" applyAlignment="1">
      <alignment horizontal="center"/>
    </xf>
    <xf numFmtId="0" fontId="2" fillId="29" borderId="26" xfId="0" applyFont="1" applyFill="1" applyBorder="1" applyAlignment="1">
      <alignment horizontal="center"/>
    </xf>
    <xf numFmtId="0" fontId="2" fillId="29" borderId="0" xfId="0" applyFont="1" applyFill="1" applyAlignment="1">
      <alignment horizontal="center"/>
    </xf>
    <xf numFmtId="0" fontId="2" fillId="30" borderId="30" xfId="0" applyFont="1" applyFill="1" applyBorder="1" applyAlignment="1">
      <alignment horizontal="center"/>
    </xf>
    <xf numFmtId="0" fontId="2" fillId="30" borderId="4" xfId="0" applyFont="1" applyFill="1" applyBorder="1" applyAlignment="1">
      <alignment horizontal="center"/>
    </xf>
    <xf numFmtId="0" fontId="2" fillId="30" borderId="29" xfId="0" applyFont="1" applyFill="1" applyBorder="1" applyAlignment="1">
      <alignment horizontal="center"/>
    </xf>
    <xf numFmtId="0" fontId="0" fillId="0" borderId="0" xfId="0" applyAlignment="1">
      <alignment horizontal="center"/>
    </xf>
    <xf numFmtId="0" fontId="0" fillId="2" borderId="2" xfId="0" applyFill="1" applyBorder="1" applyAlignment="1">
      <alignment horizontal="center"/>
    </xf>
    <xf numFmtId="0" fontId="0" fillId="2" borderId="0" xfId="0" applyFill="1" applyAlignment="1">
      <alignment horizontal="center" wrapText="1"/>
    </xf>
    <xf numFmtId="0" fontId="0" fillId="2" borderId="2" xfId="0" applyFill="1" applyBorder="1" applyAlignment="1">
      <alignment horizontal="center" wrapText="1"/>
    </xf>
    <xf numFmtId="0" fontId="0" fillId="2" borderId="0" xfId="0" applyFill="1" applyAlignment="1">
      <alignment horizontal="center" vertical="center" wrapText="1"/>
    </xf>
    <xf numFmtId="0" fontId="0" fillId="2" borderId="2" xfId="0" applyFill="1" applyBorder="1" applyAlignment="1">
      <alignment horizontal="center" vertical="center" wrapText="1"/>
    </xf>
    <xf numFmtId="0" fontId="24" fillId="2" borderId="8" xfId="2" applyFont="1" applyFill="1" applyBorder="1" applyAlignment="1">
      <alignment horizontal="left" vertical="center" wrapText="1"/>
    </xf>
    <xf numFmtId="0" fontId="24" fillId="2" borderId="4" xfId="2" applyFont="1" applyFill="1" applyBorder="1" applyAlignment="1">
      <alignment horizontal="left" vertical="center" wrapText="1"/>
    </xf>
    <xf numFmtId="0" fontId="24" fillId="2" borderId="2" xfId="2" applyFont="1" applyFill="1" applyBorder="1" applyAlignment="1">
      <alignment horizontal="left" vertical="center" wrapText="1"/>
    </xf>
    <xf numFmtId="0" fontId="21" fillId="2" borderId="4" xfId="2" applyFont="1" applyFill="1" applyBorder="1" applyAlignment="1">
      <alignment horizontal="center"/>
    </xf>
    <xf numFmtId="0" fontId="8" fillId="10" borderId="0" xfId="3" applyFill="1" applyAlignment="1">
      <alignment horizontal="center"/>
    </xf>
    <xf numFmtId="0" fontId="8" fillId="11" borderId="0" xfId="3" applyFill="1" applyAlignment="1">
      <alignment horizontal="center"/>
    </xf>
    <xf numFmtId="0" fontId="4" fillId="0" borderId="0" xfId="0" applyFont="1" applyAlignment="1">
      <alignment horizontal="center"/>
    </xf>
    <xf numFmtId="0" fontId="0" fillId="0" borderId="0" xfId="0" applyAlignment="1">
      <alignment horizontal="center" vertical="center"/>
    </xf>
    <xf numFmtId="0" fontId="4" fillId="2" borderId="1" xfId="2" applyFont="1" applyFill="1" applyBorder="1" applyAlignment="1">
      <alignment horizontal="center" vertical="center"/>
    </xf>
    <xf numFmtId="0" fontId="4" fillId="2" borderId="17" xfId="2" applyFont="1" applyFill="1" applyBorder="1" applyAlignment="1">
      <alignment horizontal="center" vertical="center"/>
    </xf>
    <xf numFmtId="0" fontId="1" fillId="2" borderId="0" xfId="2" applyFill="1" applyAlignment="1">
      <alignment horizontal="left" vertical="center" wrapText="1"/>
    </xf>
    <xf numFmtId="0" fontId="4" fillId="2" borderId="18" xfId="2" applyFont="1" applyFill="1" applyBorder="1" applyAlignment="1">
      <alignment horizontal="center" vertical="center"/>
    </xf>
    <xf numFmtId="0" fontId="76" fillId="2" borderId="0" xfId="0" applyFont="1" applyFill="1" applyAlignment="1" applyProtection="1">
      <alignment horizontal="center"/>
      <protection locked="0"/>
    </xf>
    <xf numFmtId="0" fontId="0" fillId="2" borderId="0" xfId="0" applyFill="1" applyAlignment="1">
      <alignment horizontal="left" vertical="center"/>
    </xf>
    <xf numFmtId="0" fontId="0" fillId="2" borderId="0" xfId="0" quotePrefix="1" applyFill="1" applyAlignment="1">
      <alignment horizontal="left" vertical="center"/>
    </xf>
    <xf numFmtId="0" fontId="0" fillId="2" borderId="2" xfId="0" applyFill="1" applyBorder="1" applyAlignment="1">
      <alignment horizontal="left" vertical="center"/>
    </xf>
    <xf numFmtId="0" fontId="0" fillId="2" borderId="0" xfId="0" applyFill="1" applyAlignment="1">
      <alignment horizontal="left" vertical="center" indent="2"/>
    </xf>
    <xf numFmtId="0" fontId="4" fillId="2" borderId="0" xfId="0" applyFont="1" applyFill="1" applyAlignment="1">
      <alignment horizontal="center"/>
    </xf>
    <xf numFmtId="0" fontId="0" fillId="2" borderId="1" xfId="0" applyFill="1" applyBorder="1" applyAlignment="1">
      <alignment horizontal="left" vertical="center"/>
    </xf>
    <xf numFmtId="0" fontId="0" fillId="2" borderId="2" xfId="0" quotePrefix="1" applyFill="1" applyBorder="1" applyAlignment="1">
      <alignment horizontal="left" vertical="center"/>
    </xf>
    <xf numFmtId="0" fontId="0" fillId="2" borderId="0" xfId="0" quotePrefix="1" applyFill="1" applyAlignment="1">
      <alignment horizontal="left" vertical="center" indent="2"/>
    </xf>
    <xf numFmtId="0" fontId="67" fillId="7" borderId="0" xfId="0" applyFont="1" applyFill="1" applyAlignment="1">
      <alignment horizontal="center"/>
    </xf>
    <xf numFmtId="0" fontId="0" fillId="2" borderId="0" xfId="0" applyFill="1" applyAlignment="1">
      <alignment horizontal="left" vertical="center" wrapText="1"/>
    </xf>
    <xf numFmtId="0" fontId="0" fillId="2" borderId="0" xfId="2" applyFont="1" applyFill="1" applyAlignment="1">
      <alignment horizontal="left"/>
    </xf>
    <xf numFmtId="0" fontId="44" fillId="2" borderId="0" xfId="2" applyFont="1" applyFill="1" applyAlignment="1">
      <alignment horizontal="left"/>
    </xf>
    <xf numFmtId="0" fontId="43" fillId="2" borderId="0" xfId="2" applyFont="1" applyFill="1" applyAlignment="1">
      <alignment horizontal="left" wrapText="1"/>
    </xf>
    <xf numFmtId="0" fontId="43" fillId="2" borderId="1" xfId="2" applyFont="1" applyFill="1" applyBorder="1" applyAlignment="1">
      <alignment horizontal="left" vertical="center" wrapText="1"/>
    </xf>
    <xf numFmtId="0" fontId="4" fillId="2" borderId="6" xfId="2" applyFont="1" applyFill="1" applyBorder="1" applyAlignment="1">
      <alignment horizontal="left"/>
    </xf>
    <xf numFmtId="0" fontId="8" fillId="2" borderId="0" xfId="2" applyFont="1" applyFill="1" applyAlignment="1">
      <alignment horizontal="center" vertical="center" wrapText="1"/>
    </xf>
    <xf numFmtId="0" fontId="8" fillId="2" borderId="2" xfId="2" applyFont="1" applyFill="1" applyBorder="1" applyAlignment="1">
      <alignment horizontal="center" vertical="center" wrapText="1"/>
    </xf>
    <xf numFmtId="0" fontId="8" fillId="2" borderId="5" xfId="2" applyFont="1" applyFill="1" applyBorder="1" applyAlignment="1">
      <alignment horizontal="center" vertical="center" wrapText="1"/>
    </xf>
    <xf numFmtId="0" fontId="8" fillId="2" borderId="1" xfId="2" applyFont="1" applyFill="1" applyBorder="1" applyAlignment="1">
      <alignment horizontal="center" vertical="center" wrapText="1"/>
    </xf>
    <xf numFmtId="0" fontId="88" fillId="2" borderId="0" xfId="0" applyFont="1" applyFill="1" applyAlignment="1">
      <alignment horizontal="center" vertical="center" wrapText="1"/>
    </xf>
    <xf numFmtId="0" fontId="0" fillId="2" borderId="0" xfId="2" applyFont="1" applyFill="1" applyAlignment="1">
      <alignment horizontal="left" wrapText="1"/>
    </xf>
    <xf numFmtId="0" fontId="0" fillId="2" borderId="5" xfId="0" applyFill="1" applyBorder="1" applyAlignment="1">
      <alignment horizontal="left" vertical="center"/>
    </xf>
    <xf numFmtId="0" fontId="7" fillId="2" borderId="2" xfId="2" applyFont="1" applyFill="1" applyBorder="1" applyAlignment="1">
      <alignment horizontal="left" wrapText="1"/>
    </xf>
    <xf numFmtId="0" fontId="7" fillId="2" borderId="0" xfId="2" applyFont="1" applyFill="1" applyAlignment="1">
      <alignment horizontal="left" wrapText="1"/>
    </xf>
    <xf numFmtId="0" fontId="7" fillId="2" borderId="1" xfId="2" applyFont="1" applyFill="1" applyBorder="1" applyAlignment="1">
      <alignment horizontal="left"/>
    </xf>
    <xf numFmtId="0" fontId="1" fillId="2" borderId="0" xfId="2" applyFill="1" applyAlignment="1">
      <alignment horizontal="left" indent="2"/>
    </xf>
    <xf numFmtId="0" fontId="1" fillId="2" borderId="1" xfId="2" applyFill="1" applyBorder="1" applyAlignment="1">
      <alignment horizontal="left" indent="2"/>
    </xf>
    <xf numFmtId="0" fontId="4" fillId="2" borderId="2" xfId="2" applyFont="1" applyFill="1" applyBorder="1" applyAlignment="1">
      <alignment horizontal="left"/>
    </xf>
    <xf numFmtId="0" fontId="1" fillId="2" borderId="5" xfId="2" applyFill="1" applyBorder="1" applyAlignment="1">
      <alignment horizontal="left"/>
    </xf>
    <xf numFmtId="0" fontId="1" fillId="2" borderId="0" xfId="2" applyFill="1" applyAlignment="1">
      <alignment horizontal="left"/>
    </xf>
    <xf numFmtId="0" fontId="1" fillId="2" borderId="1" xfId="2" applyFill="1" applyBorder="1" applyAlignment="1">
      <alignment horizontal="left"/>
    </xf>
    <xf numFmtId="0" fontId="22" fillId="2" borderId="4" xfId="7" applyFont="1" applyFill="1" applyBorder="1" applyAlignment="1">
      <alignment horizontal="center"/>
    </xf>
    <xf numFmtId="0" fontId="4" fillId="2" borderId="4" xfId="7" applyFont="1" applyFill="1" applyBorder="1" applyAlignment="1">
      <alignment horizontal="center" vertical="center"/>
    </xf>
    <xf numFmtId="0" fontId="4" fillId="2" borderId="5" xfId="7" applyFont="1" applyFill="1" applyBorder="1" applyAlignment="1">
      <alignment horizontal="center" vertical="center"/>
    </xf>
    <xf numFmtId="0" fontId="4" fillId="2" borderId="0" xfId="7" applyFont="1" applyFill="1" applyAlignment="1">
      <alignment horizontal="center" vertical="center"/>
    </xf>
    <xf numFmtId="0" fontId="8" fillId="2" borderId="26" xfId="3" applyFill="1" applyBorder="1" applyAlignment="1">
      <alignment horizontal="center"/>
    </xf>
    <xf numFmtId="0" fontId="8" fillId="2" borderId="0" xfId="3" applyFill="1" applyAlignment="1">
      <alignment horizontal="center"/>
    </xf>
    <xf numFmtId="0" fontId="8" fillId="2" borderId="20" xfId="3" applyFill="1" applyBorder="1" applyAlignment="1">
      <alignment horizontal="center"/>
    </xf>
    <xf numFmtId="0" fontId="51" fillId="2" borderId="23" xfId="0" applyFont="1" applyFill="1" applyBorder="1" applyAlignment="1">
      <alignment horizontal="center" wrapText="1" readingOrder="1"/>
    </xf>
    <xf numFmtId="0" fontId="54" fillId="2" borderId="23" xfId="0" applyFont="1" applyFill="1" applyBorder="1" applyAlignment="1">
      <alignment horizontal="center" vertical="center" wrapText="1" readingOrder="1"/>
    </xf>
    <xf numFmtId="0" fontId="54" fillId="12" borderId="23" xfId="0" applyFont="1" applyFill="1" applyBorder="1" applyAlignment="1">
      <alignment horizontal="center" vertical="center" wrapText="1" readingOrder="1"/>
    </xf>
    <xf numFmtId="0" fontId="54" fillId="2" borderId="22" xfId="0" applyFont="1" applyFill="1" applyBorder="1" applyAlignment="1">
      <alignment horizontal="center" vertical="center" wrapText="1" readingOrder="1"/>
    </xf>
    <xf numFmtId="0" fontId="54" fillId="2" borderId="24" xfId="0" applyFont="1" applyFill="1" applyBorder="1" applyAlignment="1">
      <alignment horizontal="center" vertical="center" wrapText="1" readingOrder="1"/>
    </xf>
    <xf numFmtId="0" fontId="0" fillId="2" borderId="27" xfId="0" applyFill="1" applyBorder="1" applyAlignment="1">
      <alignment horizontal="center" vertical="center"/>
    </xf>
    <xf numFmtId="0" fontId="0" fillId="2" borderId="25" xfId="0" applyFill="1" applyBorder="1" applyAlignment="1">
      <alignment horizontal="center" vertical="center"/>
    </xf>
    <xf numFmtId="0" fontId="0" fillId="2" borderId="2" xfId="0" applyFill="1" applyBorder="1" applyAlignment="1">
      <alignment horizontal="center" vertical="center"/>
    </xf>
    <xf numFmtId="0" fontId="0" fillId="2" borderId="4" xfId="0" applyFill="1" applyBorder="1" applyAlignment="1">
      <alignment horizontal="center" vertical="center"/>
    </xf>
    <xf numFmtId="0" fontId="0" fillId="2" borderId="5" xfId="0" applyFill="1" applyBorder="1" applyAlignment="1">
      <alignment horizontal="center" vertical="center" wrapText="1"/>
    </xf>
    <xf numFmtId="0" fontId="23" fillId="36" borderId="0" xfId="13" applyFill="1" applyAlignment="1">
      <alignment horizontal="center"/>
    </xf>
    <xf numFmtId="0" fontId="68" fillId="2" borderId="2" xfId="13" applyFont="1" applyFill="1" applyBorder="1" applyAlignment="1">
      <alignment horizontal="center"/>
    </xf>
    <xf numFmtId="0" fontId="23" fillId="2" borderId="0" xfId="13" applyFill="1" applyAlignment="1">
      <alignment horizontal="center" vertical="center"/>
    </xf>
    <xf numFmtId="0" fontId="23" fillId="2" borderId="0" xfId="13" applyFill="1" applyAlignment="1">
      <alignment horizontal="center"/>
    </xf>
    <xf numFmtId="0" fontId="23" fillId="2" borderId="0" xfId="13" applyFill="1" applyAlignment="1">
      <alignment horizontal="center" vertical="top"/>
    </xf>
    <xf numFmtId="0" fontId="70" fillId="2" borderId="6" xfId="2" applyFont="1" applyFill="1" applyBorder="1" applyAlignment="1">
      <alignment horizontal="center"/>
    </xf>
    <xf numFmtId="0" fontId="70" fillId="2" borderId="0" xfId="2" applyFont="1" applyFill="1" applyAlignment="1">
      <alignment horizontal="center" vertical="center" wrapText="1"/>
    </xf>
    <xf numFmtId="0" fontId="72" fillId="2" borderId="32" xfId="13" applyFont="1" applyFill="1" applyBorder="1" applyAlignment="1">
      <alignment horizontal="center"/>
    </xf>
    <xf numFmtId="0" fontId="71" fillId="2" borderId="0" xfId="2" applyFont="1" applyFill="1" applyAlignment="1">
      <alignment horizontal="center" vertical="center"/>
    </xf>
  </cellXfs>
  <cellStyles count="15">
    <cellStyle name="Comma 2" xfId="4" xr:uid="{00000000-0005-0000-0000-000000000000}"/>
    <cellStyle name="Comma 2 2" xfId="9" xr:uid="{00000000-0005-0000-0000-000001000000}"/>
    <cellStyle name="Hipervínculo" xfId="14" builtinId="8"/>
    <cellStyle name="Millares" xfId="12" builtinId="3"/>
    <cellStyle name="Millares 2" xfId="5" xr:uid="{00000000-0005-0000-0000-000002000000}"/>
    <cellStyle name="Millares 3" xfId="11" xr:uid="{00000000-0005-0000-0000-000003000000}"/>
    <cellStyle name="Milliers 5" xfId="6" xr:uid="{00000000-0005-0000-0000-000004000000}"/>
    <cellStyle name="Normal" xfId="0" builtinId="0"/>
    <cellStyle name="Normal 2" xfId="3" xr:uid="{00000000-0005-0000-0000-000006000000}"/>
    <cellStyle name="Normal 2 2" xfId="7" xr:uid="{00000000-0005-0000-0000-000007000000}"/>
    <cellStyle name="Normal 3" xfId="8" xr:uid="{00000000-0005-0000-0000-000008000000}"/>
    <cellStyle name="Normal 4" xfId="2" xr:uid="{00000000-0005-0000-0000-000009000000}"/>
    <cellStyle name="Normal 5" xfId="10" xr:uid="{00000000-0005-0000-0000-00000A000000}"/>
    <cellStyle name="Normal 6" xfId="13" xr:uid="{F991D085-7889-4C4A-B7A2-FEE4AC1E3C5A}"/>
    <cellStyle name="Porcentaje" xfId="1" builtinId="5"/>
  </cellStyles>
  <dxfs count="3">
    <dxf>
      <border>
        <bottom style="thin">
          <color auto="1"/>
        </bottom>
        <vertical/>
        <horizontal/>
      </border>
    </dxf>
    <dxf>
      <border>
        <bottom style="thin">
          <color auto="1"/>
        </bottom>
        <vertical/>
        <horizontal/>
      </border>
    </dxf>
    <dxf>
      <fill>
        <patternFill>
          <bgColor theme="0" tint="-4.88906521805475E-2"/>
        </patternFill>
      </fill>
    </dxf>
  </dxfs>
  <tableStyles count="0" defaultTableStyle="TableStyleMedium2" defaultPivotStyle="PivotStyleLight16"/>
  <colors>
    <mruColors>
      <color rgb="FFB7EE8E"/>
      <color rgb="FFFFD966"/>
      <color rgb="FF70AD47"/>
      <color rgb="FFA0CAF4"/>
      <color rgb="FF8D42C6"/>
      <color rgb="FFFFC000"/>
      <color rgb="FFED7D31"/>
      <color rgb="FF92D050"/>
      <color rgb="FF84B272"/>
      <color rgb="FF5B9BD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5.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3.xml"/><Relationship Id="rId40" Type="http://schemas.openxmlformats.org/officeDocument/2006/relationships/theme" Target="theme/theme1.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1.xml"/><Relationship Id="rId43"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5.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6.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7.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8.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9.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20.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1.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2.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3.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30.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7.xml"/><Relationship Id="rId1" Type="http://schemas.microsoft.com/office/2011/relationships/chartStyle" Target="style27.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8.xml"/><Relationship Id="rId1" Type="http://schemas.microsoft.com/office/2011/relationships/chartStyle" Target="style28.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9.xml"/><Relationship Id="rId1" Type="http://schemas.microsoft.com/office/2011/relationships/chartStyle" Target="style29.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30.xml"/><Relationship Id="rId1" Type="http://schemas.microsoft.com/office/2011/relationships/chartStyle" Target="style30.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31.xml"/><Relationship Id="rId1" Type="http://schemas.microsoft.com/office/2011/relationships/chartStyle" Target="style31.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32.xml"/><Relationship Id="rId1" Type="http://schemas.microsoft.com/office/2011/relationships/chartStyle" Target="style32.xml"/></Relationships>
</file>

<file path=xl/charts/_rels/chart37.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8.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9.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40.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41.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42.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43.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4.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40.xml"/><Relationship Id="rId1" Type="http://schemas.microsoft.com/office/2011/relationships/chartStyle" Target="style40.xml"/></Relationships>
</file>

<file path=xl/charts/_rels/chart45.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41.xml"/><Relationship Id="rId1" Type="http://schemas.microsoft.com/office/2011/relationships/chartStyle" Target="style41.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9.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10.xml"/></Relationships>
</file>

<file path=xl/charts/_rels/chart48.xml.rels><?xml version="1.0" encoding="UTF-8" standalone="yes"?>
<Relationships xmlns="http://schemas.openxmlformats.org/package/2006/relationships"><Relationship Id="rId1" Type="http://schemas.openxmlformats.org/officeDocument/2006/relationships/themeOverride" Target="../theme/themeOverride11.xml"/></Relationships>
</file>

<file path=xl/charts/_rels/chart49.xml.rels><?xml version="1.0" encoding="UTF-8" standalone="yes"?>
<Relationships xmlns="http://schemas.openxmlformats.org/package/2006/relationships"><Relationship Id="rId1" Type="http://schemas.openxmlformats.org/officeDocument/2006/relationships/themeOverride" Target="../theme/themeOverride12.xml"/></Relationships>
</file>

<file path=xl/charts/_rels/chart50.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51.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52.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53.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54.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55.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56.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57.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8.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9.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60.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61.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62.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Hoja1!$C$52:$C$70</c:f>
              <c:numCache>
                <c:formatCode>#,##0</c:formatCode>
                <c:ptCount val="19"/>
                <c:pt idx="0">
                  <c:v>144372000</c:v>
                </c:pt>
                <c:pt idx="1">
                  <c:v>141453640</c:v>
                </c:pt>
                <c:pt idx="2">
                  <c:v>134962040</c:v>
                </c:pt>
                <c:pt idx="3">
                  <c:v>136472800</c:v>
                </c:pt>
                <c:pt idx="4">
                  <c:v>135297980</c:v>
                </c:pt>
                <c:pt idx="5">
                  <c:v>133977340</c:v>
                </c:pt>
                <c:pt idx="6">
                  <c:v>148717200</c:v>
                </c:pt>
                <c:pt idx="7">
                  <c:v>153674908</c:v>
                </c:pt>
                <c:pt idx="8">
                  <c:v>157676300</c:v>
                </c:pt>
                <c:pt idx="9">
                  <c:v>163041000</c:v>
                </c:pt>
                <c:pt idx="10">
                  <c:v>184193000</c:v>
                </c:pt>
                <c:pt idx="11">
                  <c:v>177436000</c:v>
                </c:pt>
                <c:pt idx="12">
                  <c:v>200359000</c:v>
                </c:pt>
                <c:pt idx="13">
                  <c:v>230690000</c:v>
                </c:pt>
                <c:pt idx="14">
                  <c:v>267485000</c:v>
                </c:pt>
              </c:numCache>
            </c:numRef>
          </c:val>
          <c:smooth val="0"/>
          <c:extLst>
            <c:ext xmlns:c16="http://schemas.microsoft.com/office/drawing/2014/chart" uri="{C3380CC4-5D6E-409C-BE32-E72D297353CC}">
              <c16:uniqueId val="{00000000-AADB-49C3-B6F9-80B35EC09C7C}"/>
            </c:ext>
          </c:extLst>
        </c:ser>
        <c:ser>
          <c:idx val="1"/>
          <c:order val="1"/>
          <c:spPr>
            <a:ln w="28575" cap="rnd">
              <a:solidFill>
                <a:schemeClr val="accent2"/>
              </a:solidFill>
              <a:round/>
            </a:ln>
            <a:effectLst/>
          </c:spPr>
          <c:marker>
            <c:symbol val="none"/>
          </c:marker>
          <c:val>
            <c:numRef>
              <c:f>Hoja1!$G$52:$G$70</c:f>
              <c:numCache>
                <c:formatCode>#,##0</c:formatCode>
                <c:ptCount val="19"/>
                <c:pt idx="12">
                  <c:v>201190000</c:v>
                </c:pt>
                <c:pt idx="13">
                  <c:v>230810000</c:v>
                </c:pt>
                <c:pt idx="14">
                  <c:v>269203000</c:v>
                </c:pt>
                <c:pt idx="15">
                  <c:v>305396000</c:v>
                </c:pt>
                <c:pt idx="16">
                  <c:v>352975000</c:v>
                </c:pt>
                <c:pt idx="17">
                  <c:v>355021000</c:v>
                </c:pt>
                <c:pt idx="18">
                  <c:v>426074000</c:v>
                </c:pt>
              </c:numCache>
            </c:numRef>
          </c:val>
          <c:smooth val="0"/>
          <c:extLst>
            <c:ext xmlns:c16="http://schemas.microsoft.com/office/drawing/2014/chart" uri="{C3380CC4-5D6E-409C-BE32-E72D297353CC}">
              <c16:uniqueId val="{00000001-AADB-49C3-B6F9-80B35EC09C7C}"/>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Hoja1!$D$52:$D$70</c:f>
              <c:numCache>
                <c:formatCode>#,##0</c:formatCode>
                <c:ptCount val="19"/>
                <c:pt idx="0">
                  <c:v>437805000</c:v>
                </c:pt>
                <c:pt idx="1">
                  <c:v>511806140</c:v>
                </c:pt>
                <c:pt idx="2">
                  <c:v>422282240</c:v>
                </c:pt>
                <c:pt idx="3">
                  <c:v>542013440</c:v>
                </c:pt>
                <c:pt idx="4">
                  <c:v>619842830</c:v>
                </c:pt>
                <c:pt idx="5">
                  <c:v>542841050</c:v>
                </c:pt>
                <c:pt idx="6">
                  <c:v>593987990</c:v>
                </c:pt>
                <c:pt idx="7">
                  <c:v>719341947</c:v>
                </c:pt>
                <c:pt idx="8">
                  <c:v>816344262</c:v>
                </c:pt>
                <c:pt idx="9">
                  <c:v>850488000</c:v>
                </c:pt>
                <c:pt idx="10">
                  <c:v>823715000</c:v>
                </c:pt>
                <c:pt idx="11">
                  <c:v>890594000</c:v>
                </c:pt>
                <c:pt idx="12">
                  <c:v>936056000</c:v>
                </c:pt>
                <c:pt idx="13">
                  <c:v>1067121000</c:v>
                </c:pt>
                <c:pt idx="14">
                  <c:v>1121991733</c:v>
                </c:pt>
              </c:numCache>
            </c:numRef>
          </c:val>
          <c:smooth val="0"/>
          <c:extLst>
            <c:ext xmlns:c16="http://schemas.microsoft.com/office/drawing/2014/chart" uri="{C3380CC4-5D6E-409C-BE32-E72D297353CC}">
              <c16:uniqueId val="{00000000-8E82-4719-8024-F50432677934}"/>
            </c:ext>
          </c:extLst>
        </c:ser>
        <c:ser>
          <c:idx val="1"/>
          <c:order val="1"/>
          <c:spPr>
            <a:ln w="28575" cap="rnd">
              <a:solidFill>
                <a:schemeClr val="accent2"/>
              </a:solidFill>
              <a:round/>
            </a:ln>
            <a:effectLst/>
          </c:spPr>
          <c:marker>
            <c:symbol val="none"/>
          </c:marker>
          <c:val>
            <c:numRef>
              <c:f>Hoja1!$K$52:$K$70</c:f>
              <c:numCache>
                <c:formatCode>General</c:formatCode>
                <c:ptCount val="19"/>
                <c:pt idx="12" formatCode="#,##0">
                  <c:v>849667000</c:v>
                </c:pt>
                <c:pt idx="13" formatCode="#,##0">
                  <c:v>1032051000</c:v>
                </c:pt>
                <c:pt idx="14" formatCode="#,##0">
                  <c:v>1122094000</c:v>
                </c:pt>
                <c:pt idx="15" formatCode="#,##0">
                  <c:v>1206639000</c:v>
                </c:pt>
                <c:pt idx="16" formatCode="#,##0">
                  <c:v>1313142000</c:v>
                </c:pt>
                <c:pt idx="17" formatCode="#,##0">
                  <c:v>1267314000</c:v>
                </c:pt>
                <c:pt idx="18" formatCode="#,##0">
                  <c:v>1313891000</c:v>
                </c:pt>
              </c:numCache>
            </c:numRef>
          </c:val>
          <c:smooth val="0"/>
          <c:extLst>
            <c:ext xmlns:c16="http://schemas.microsoft.com/office/drawing/2014/chart" uri="{C3380CC4-5D6E-409C-BE32-E72D297353CC}">
              <c16:uniqueId val="{00000001-8E82-4719-8024-F50432677934}"/>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Hoja1!$B$52:$B$70</c:f>
              <c:numCache>
                <c:formatCode>#,##0</c:formatCode>
                <c:ptCount val="19"/>
                <c:pt idx="0">
                  <c:v>25160000</c:v>
                </c:pt>
                <c:pt idx="1">
                  <c:v>20732000</c:v>
                </c:pt>
                <c:pt idx="2">
                  <c:v>11612600</c:v>
                </c:pt>
                <c:pt idx="3">
                  <c:v>9823000</c:v>
                </c:pt>
                <c:pt idx="4">
                  <c:v>6088000</c:v>
                </c:pt>
                <c:pt idx="5">
                  <c:v>4581400</c:v>
                </c:pt>
                <c:pt idx="6">
                  <c:v>5617960</c:v>
                </c:pt>
                <c:pt idx="7">
                  <c:v>4189000</c:v>
                </c:pt>
                <c:pt idx="8">
                  <c:v>4704000</c:v>
                </c:pt>
                <c:pt idx="9">
                  <c:v>3386000</c:v>
                </c:pt>
                <c:pt idx="10">
                  <c:v>3736000</c:v>
                </c:pt>
                <c:pt idx="11">
                  <c:v>3907000</c:v>
                </c:pt>
                <c:pt idx="13">
                  <c:v>4314000</c:v>
                </c:pt>
                <c:pt idx="14">
                  <c:v>4236500</c:v>
                </c:pt>
              </c:numCache>
            </c:numRef>
          </c:val>
          <c:smooth val="0"/>
          <c:extLst>
            <c:ext xmlns:c16="http://schemas.microsoft.com/office/drawing/2014/chart" uri="{C3380CC4-5D6E-409C-BE32-E72D297353CC}">
              <c16:uniqueId val="{00000000-FB28-4AC8-B16C-2CC107401ECE}"/>
            </c:ext>
          </c:extLst>
        </c:ser>
        <c:ser>
          <c:idx val="1"/>
          <c:order val="1"/>
          <c:spPr>
            <a:ln w="28575" cap="rnd">
              <a:solidFill>
                <a:schemeClr val="accent2"/>
              </a:solidFill>
              <a:round/>
            </a:ln>
            <a:effectLst/>
          </c:spPr>
          <c:marker>
            <c:symbol val="none"/>
          </c:marker>
          <c:val>
            <c:numRef>
              <c:f>Hoja1!$L$52:$L$70</c:f>
              <c:numCache>
                <c:formatCode>General</c:formatCode>
                <c:ptCount val="19"/>
                <c:pt idx="12" formatCode="#,##0">
                  <c:v>100437960.00000001</c:v>
                </c:pt>
                <c:pt idx="13" formatCode="#,##0">
                  <c:v>91669200.000000015</c:v>
                </c:pt>
                <c:pt idx="14" formatCode="#,##0">
                  <c:v>83901720.000000015</c:v>
                </c:pt>
                <c:pt idx="15" formatCode="#,##0">
                  <c:v>94830960.000000015</c:v>
                </c:pt>
                <c:pt idx="16" formatCode="#,##0">
                  <c:v>94827600.000000015</c:v>
                </c:pt>
                <c:pt idx="17" formatCode="#,##0">
                  <c:v>93202200.000000015</c:v>
                </c:pt>
                <c:pt idx="18" formatCode="#,##0">
                  <c:v>90266400.000000015</c:v>
                </c:pt>
              </c:numCache>
            </c:numRef>
          </c:val>
          <c:smooth val="0"/>
          <c:extLst>
            <c:ext xmlns:c16="http://schemas.microsoft.com/office/drawing/2014/chart" uri="{C3380CC4-5D6E-409C-BE32-E72D297353CC}">
              <c16:uniqueId val="{00000001-FB28-4AC8-B16C-2CC107401ECE}"/>
            </c:ext>
          </c:extLst>
        </c:ser>
        <c:dLbls>
          <c:showLegendKey val="0"/>
          <c:showVal val="0"/>
          <c:showCatName val="0"/>
          <c:showSerName val="0"/>
          <c:showPercent val="0"/>
          <c:showBubbleSize val="0"/>
        </c:dLbls>
        <c:smooth val="0"/>
        <c:axId val="437715936"/>
        <c:axId val="437711776"/>
      </c:lineChart>
      <c:catAx>
        <c:axId val="437715936"/>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1776"/>
        <c:crosses val="autoZero"/>
        <c:auto val="1"/>
        <c:lblAlgn val="ctr"/>
        <c:lblOffset val="100"/>
        <c:noMultiLvlLbl val="0"/>
      </c:catAx>
      <c:valAx>
        <c:axId val="437711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7715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0"/>
          <c:order val="0"/>
          <c:tx>
            <c:strRef>
              <c:f>VolumesFuels!$BC$10</c:f>
              <c:strCache>
                <c:ptCount val="1"/>
                <c:pt idx="0">
                  <c:v>autres</c:v>
                </c:pt>
              </c:strCache>
            </c:strRef>
          </c:tx>
          <c:spPr>
            <a:solidFill>
              <a:schemeClr val="accent1"/>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VolumesFuels!$BC$14:$BC$20</c:f>
              <c:numCache>
                <c:formatCode>General</c:formatCode>
                <c:ptCount val="7"/>
                <c:pt idx="0">
                  <c:v>4250</c:v>
                </c:pt>
                <c:pt idx="1">
                  <c:v>6000</c:v>
                </c:pt>
                <c:pt idx="2">
                  <c:v>7750</c:v>
                </c:pt>
                <c:pt idx="3">
                  <c:v>8900</c:v>
                </c:pt>
                <c:pt idx="4">
                  <c:v>10000</c:v>
                </c:pt>
                <c:pt idx="5">
                  <c:v>11650</c:v>
                </c:pt>
                <c:pt idx="6">
                  <c:v>14100</c:v>
                </c:pt>
              </c:numCache>
            </c:numRef>
          </c:val>
          <c:extLst>
            <c:ext xmlns:c16="http://schemas.microsoft.com/office/drawing/2014/chart" uri="{C3380CC4-5D6E-409C-BE32-E72D297353CC}">
              <c16:uniqueId val="{00000000-5AB2-43B1-9943-6E8682133CE4}"/>
            </c:ext>
          </c:extLst>
        </c:ser>
        <c:ser>
          <c:idx val="1"/>
          <c:order val="1"/>
          <c:tx>
            <c:strRef>
              <c:f>VolumesFuels!$BD$10</c:f>
              <c:strCache>
                <c:ptCount val="1"/>
                <c:pt idx="0">
                  <c:v>Senegal</c:v>
                </c:pt>
              </c:strCache>
            </c:strRef>
          </c:tx>
          <c:spPr>
            <a:solidFill>
              <a:schemeClr val="accent2"/>
            </a:solidFill>
            <a:ln>
              <a:noFill/>
            </a:ln>
            <a:effectLst/>
          </c:spPr>
          <c:invertIfNegative val="0"/>
          <c:cat>
            <c:numRef>
              <c:f>VolumesFuels!$BB$14:$BB$20</c:f>
              <c:numCache>
                <c:formatCode>General</c:formatCode>
                <c:ptCount val="7"/>
                <c:pt idx="0">
                  <c:v>1983</c:v>
                </c:pt>
                <c:pt idx="1">
                  <c:v>1984</c:v>
                </c:pt>
                <c:pt idx="2">
                  <c:v>1985</c:v>
                </c:pt>
                <c:pt idx="3">
                  <c:v>1986</c:v>
                </c:pt>
                <c:pt idx="4">
                  <c:v>1987</c:v>
                </c:pt>
                <c:pt idx="5">
                  <c:v>1988</c:v>
                </c:pt>
                <c:pt idx="6">
                  <c:v>1989</c:v>
                </c:pt>
              </c:numCache>
            </c:numRef>
          </c:cat>
          <c:val>
            <c:numRef>
              <c:f>VolumesFuels!$BD$14:$BD$20</c:f>
              <c:numCache>
                <c:formatCode>General</c:formatCode>
                <c:ptCount val="7"/>
                <c:pt idx="0">
                  <c:v>13280</c:v>
                </c:pt>
                <c:pt idx="1">
                  <c:v>13600</c:v>
                </c:pt>
                <c:pt idx="2">
                  <c:v>15300</c:v>
                </c:pt>
                <c:pt idx="3">
                  <c:v>15400</c:v>
                </c:pt>
                <c:pt idx="4">
                  <c:v>16100</c:v>
                </c:pt>
                <c:pt idx="5">
                  <c:v>23200</c:v>
                </c:pt>
                <c:pt idx="6">
                  <c:v>27200</c:v>
                </c:pt>
              </c:numCache>
            </c:numRef>
          </c:val>
          <c:extLst>
            <c:ext xmlns:c16="http://schemas.microsoft.com/office/drawing/2014/chart" uri="{C3380CC4-5D6E-409C-BE32-E72D297353CC}">
              <c16:uniqueId val="{00000001-5AB2-43B1-9943-6E8682133CE4}"/>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5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VolumesFuels!$BD$10</c:f>
              <c:strCache>
                <c:ptCount val="1"/>
                <c:pt idx="0">
                  <c:v>Senegal</c:v>
                </c:pt>
              </c:strCache>
            </c:strRef>
          </c:tx>
          <c:spPr>
            <a:solidFill>
              <a:schemeClr val="accent2"/>
            </a:solidFill>
            <a:ln>
              <a:noFill/>
            </a:ln>
            <a:effectLst/>
          </c:spPr>
          <c:invertIfNegative val="0"/>
          <c:cat>
            <c:numRef>
              <c:f>VolumesFuels!$BB$11:$BB$20</c:f>
              <c:numCache>
                <c:formatCode>General</c:formatCode>
                <c:ptCount val="10"/>
                <c:pt idx="0">
                  <c:v>1980</c:v>
                </c:pt>
                <c:pt idx="1">
                  <c:v>1981</c:v>
                </c:pt>
                <c:pt idx="2">
                  <c:v>1982</c:v>
                </c:pt>
                <c:pt idx="3">
                  <c:v>1983</c:v>
                </c:pt>
                <c:pt idx="4">
                  <c:v>1984</c:v>
                </c:pt>
                <c:pt idx="5">
                  <c:v>1985</c:v>
                </c:pt>
                <c:pt idx="6">
                  <c:v>1986</c:v>
                </c:pt>
                <c:pt idx="7">
                  <c:v>1987</c:v>
                </c:pt>
                <c:pt idx="8">
                  <c:v>1988</c:v>
                </c:pt>
                <c:pt idx="9">
                  <c:v>1989</c:v>
                </c:pt>
              </c:numCache>
            </c:numRef>
          </c:cat>
          <c:val>
            <c:numRef>
              <c:f>VolumesFuels!$BD$11:$BD$20</c:f>
              <c:numCache>
                <c:formatCode>General</c:formatCode>
                <c:ptCount val="10"/>
                <c:pt idx="0">
                  <c:v>10000</c:v>
                </c:pt>
                <c:pt idx="1">
                  <c:v>10200</c:v>
                </c:pt>
                <c:pt idx="2">
                  <c:v>11600</c:v>
                </c:pt>
                <c:pt idx="3">
                  <c:v>13280</c:v>
                </c:pt>
                <c:pt idx="4">
                  <c:v>13600</c:v>
                </c:pt>
                <c:pt idx="5">
                  <c:v>15300</c:v>
                </c:pt>
                <c:pt idx="6">
                  <c:v>15400</c:v>
                </c:pt>
                <c:pt idx="7">
                  <c:v>16100</c:v>
                </c:pt>
                <c:pt idx="8">
                  <c:v>23200</c:v>
                </c:pt>
                <c:pt idx="9">
                  <c:v>27200</c:v>
                </c:pt>
              </c:numCache>
            </c:numRef>
          </c:val>
          <c:extLst>
            <c:ext xmlns:c16="http://schemas.microsoft.com/office/drawing/2014/chart" uri="{C3380CC4-5D6E-409C-BE32-E72D297353CC}">
              <c16:uniqueId val="{00000001-A88D-4FB5-949B-0DED029EA7F0}"/>
            </c:ext>
          </c:extLst>
        </c:ser>
        <c:dLbls>
          <c:showLegendKey val="0"/>
          <c:showVal val="0"/>
          <c:showCatName val="0"/>
          <c:showSerName val="0"/>
          <c:showPercent val="0"/>
          <c:showBubbleSize val="0"/>
        </c:dLbls>
        <c:gapWidth val="150"/>
        <c:overlap val="100"/>
        <c:axId val="245682848"/>
        <c:axId val="564955968"/>
      </c:barChart>
      <c:catAx>
        <c:axId val="245682848"/>
        <c:scaling>
          <c:orientation val="minMax"/>
        </c:scaling>
        <c:delete val="0"/>
        <c:axPos val="b"/>
        <c:numFmt formatCode="General" sourceLinked="1"/>
        <c:majorTickMark val="none"/>
        <c:minorTickMark val="none"/>
        <c:tickLblPos val="nextTo"/>
        <c:spPr>
          <a:noFill/>
          <a:ln w="9525" cap="flat" cmpd="sng" algn="ctr">
            <a:solidFill>
              <a:srgbClr val="FF0000"/>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955968"/>
        <c:crosses val="autoZero"/>
        <c:auto val="1"/>
        <c:lblAlgn val="ctr"/>
        <c:lblOffset val="100"/>
        <c:noMultiLvlLbl val="0"/>
      </c:catAx>
      <c:valAx>
        <c:axId val="564955968"/>
        <c:scaling>
          <c:orientation val="minMax"/>
          <c:max val="300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solidFill>
              <a:srgbClr val="FF0000"/>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682848"/>
        <c:crosses val="autoZero"/>
        <c:crossBetween val="between"/>
        <c:majorUnit val="5000"/>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FF">
        <a:alpha val="10196"/>
      </a:srgb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Butane (GPL) -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VolumesFuels!$B$4</c:f>
              <c:strCache>
                <c:ptCount val="1"/>
                <c:pt idx="0">
                  <c:v>Bouteilles GPL vendues (38, 12,5, 9, 6, 2,7kg)</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VolumesFuels!$B$27:$B$69</c:f>
              <c:numCache>
                <c:formatCode>General</c:formatCode>
                <c:ptCount val="43"/>
                <c:pt idx="35" formatCode="0">
                  <c:v>120176.68712099698</c:v>
                </c:pt>
                <c:pt idx="36" formatCode="0">
                  <c:v>136221.82435035298</c:v>
                </c:pt>
                <c:pt idx="37" formatCode="0">
                  <c:v>149925.10341154327</c:v>
                </c:pt>
                <c:pt idx="38" formatCode="0">
                  <c:v>164000</c:v>
                </c:pt>
                <c:pt idx="39" formatCode="0">
                  <c:v>173123.25472853123</c:v>
                </c:pt>
                <c:pt idx="40" formatCode="0">
                  <c:v>180268.3076993475</c:v>
                </c:pt>
                <c:pt idx="41" formatCode="0">
                  <c:v>198199.41498811572</c:v>
                </c:pt>
                <c:pt idx="42" formatCode="0">
                  <c:v>165154.38045250045</c:v>
                </c:pt>
              </c:numCache>
            </c:numRef>
          </c:val>
          <c:smooth val="0"/>
          <c:extLst>
            <c:ext xmlns:c16="http://schemas.microsoft.com/office/drawing/2014/chart" uri="{C3380CC4-5D6E-409C-BE32-E72D297353CC}">
              <c16:uniqueId val="{00000001-C7D3-4F35-904C-39BC76AD68D6}"/>
            </c:ext>
          </c:extLst>
        </c:ser>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C7D3-4F35-904C-39BC76AD68D6}"/>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C7D3-4F35-904C-39BC76AD68D6}"/>
            </c:ext>
          </c:extLst>
        </c:ser>
        <c:ser>
          <c:idx val="4"/>
          <c:order val="3"/>
          <c:tx>
            <c:strRef>
              <c:f>VolumesFuels!$E$4</c:f>
              <c:strCache>
                <c:ptCount val="1"/>
                <c:pt idx="0">
                  <c:v>Consommations annuelles de GPL </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VolumesFuels!$E$27:$E$69</c:f>
              <c:numCache>
                <c:formatCode>General</c:formatCode>
                <c:ptCount val="43"/>
                <c:pt idx="0">
                  <c:v>10000</c:v>
                </c:pt>
                <c:pt idx="1">
                  <c:v>10200</c:v>
                </c:pt>
                <c:pt idx="2">
                  <c:v>11600</c:v>
                </c:pt>
                <c:pt idx="3">
                  <c:v>13280</c:v>
                </c:pt>
                <c:pt idx="4">
                  <c:v>13600</c:v>
                </c:pt>
                <c:pt idx="5">
                  <c:v>15300</c:v>
                </c:pt>
                <c:pt idx="6">
                  <c:v>15400</c:v>
                </c:pt>
                <c:pt idx="7">
                  <c:v>16100</c:v>
                </c:pt>
                <c:pt idx="8">
                  <c:v>23200</c:v>
                </c:pt>
                <c:pt idx="9">
                  <c:v>27200</c:v>
                </c:pt>
              </c:numCache>
            </c:numRef>
          </c:val>
          <c:smooth val="0"/>
          <c:extLst>
            <c:ext xmlns:c16="http://schemas.microsoft.com/office/drawing/2014/chart" uri="{C3380CC4-5D6E-409C-BE32-E72D297353CC}">
              <c16:uniqueId val="{00000004-C7D3-4F35-904C-39BC76AD68D6}"/>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Petrole Lampant - Liters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1"/>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1-26A3-4240-928C-D75263617B62}"/>
            </c:ext>
          </c:extLst>
        </c:ser>
        <c:ser>
          <c:idx val="3"/>
          <c:order val="2"/>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2-26A3-4240-928C-D75263617B62}"/>
            </c:ext>
          </c:extLst>
        </c:ser>
        <c:dLbls>
          <c:showLegendKey val="0"/>
          <c:showVal val="0"/>
          <c:showCatName val="0"/>
          <c:showSerName val="0"/>
          <c:showPercent val="0"/>
          <c:showBubbleSize val="0"/>
        </c:dLbls>
        <c:marker val="1"/>
        <c:smooth val="0"/>
        <c:axId val="203373648"/>
        <c:axId val="203374896"/>
      </c:lineChart>
      <c:lineChart>
        <c:grouping val="stacked"/>
        <c:varyColors val="0"/>
        <c:ser>
          <c:idx val="4"/>
          <c:order val="3"/>
          <c:tx>
            <c:strRef>
              <c:f>VolumesFuels!$F$4</c:f>
              <c:strCache>
                <c:ptCount val="1"/>
                <c:pt idx="0">
                  <c:v>Consommation de petrole lampant</c:v>
                </c:pt>
              </c:strCache>
            </c:strRef>
          </c:tx>
          <c:spPr>
            <a:ln w="28575" cap="rnd">
              <a:solidFill>
                <a:schemeClr val="accent5"/>
              </a:solidFill>
              <a:round/>
            </a:ln>
            <a:effectLst/>
          </c:spPr>
          <c:marker>
            <c:symbol val="none"/>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VolumesFuels!$F$27:$F$64</c:f>
              <c:numCache>
                <c:formatCode>General</c:formatCode>
                <c:ptCount val="38"/>
                <c:pt idx="0">
                  <c:v>15245000</c:v>
                </c:pt>
                <c:pt idx="1">
                  <c:v>14653000</c:v>
                </c:pt>
                <c:pt idx="2">
                  <c:v>15228000</c:v>
                </c:pt>
                <c:pt idx="3">
                  <c:v>14430000</c:v>
                </c:pt>
                <c:pt idx="4">
                  <c:v>14000000</c:v>
                </c:pt>
                <c:pt idx="5">
                  <c:v>13569000</c:v>
                </c:pt>
                <c:pt idx="6">
                  <c:v>11360000</c:v>
                </c:pt>
                <c:pt idx="7">
                  <c:v>13106000</c:v>
                </c:pt>
                <c:pt idx="8">
                  <c:v>13365000</c:v>
                </c:pt>
                <c:pt idx="9">
                  <c:v>12558000</c:v>
                </c:pt>
                <c:pt idx="10">
                  <c:v>12421000</c:v>
                </c:pt>
                <c:pt idx="11">
                  <c:v>12108000</c:v>
                </c:pt>
                <c:pt idx="12">
                  <c:v>12979000</c:v>
                </c:pt>
                <c:pt idx="13">
                  <c:v>11323000</c:v>
                </c:pt>
                <c:pt idx="14">
                  <c:v>12482000</c:v>
                </c:pt>
                <c:pt idx="15">
                  <c:v>13178000</c:v>
                </c:pt>
                <c:pt idx="16">
                  <c:v>12805000</c:v>
                </c:pt>
                <c:pt idx="17">
                  <c:v>14244000</c:v>
                </c:pt>
                <c:pt idx="18">
                  <c:v>17769000</c:v>
                </c:pt>
                <c:pt idx="19">
                  <c:v>24208000</c:v>
                </c:pt>
                <c:pt idx="20">
                  <c:v>23088000</c:v>
                </c:pt>
                <c:pt idx="21">
                  <c:v>24360000</c:v>
                </c:pt>
                <c:pt idx="22">
                  <c:v>25782000</c:v>
                </c:pt>
                <c:pt idx="23">
                  <c:v>25160000</c:v>
                </c:pt>
                <c:pt idx="24">
                  <c:v>20732000</c:v>
                </c:pt>
                <c:pt idx="25">
                  <c:v>11612600</c:v>
                </c:pt>
                <c:pt idx="26">
                  <c:v>9823000</c:v>
                </c:pt>
                <c:pt idx="27">
                  <c:v>6088000</c:v>
                </c:pt>
                <c:pt idx="28">
                  <c:v>4581400</c:v>
                </c:pt>
                <c:pt idx="29">
                  <c:v>5617960</c:v>
                </c:pt>
                <c:pt idx="30">
                  <c:v>4189000</c:v>
                </c:pt>
                <c:pt idx="31">
                  <c:v>4704000</c:v>
                </c:pt>
                <c:pt idx="32">
                  <c:v>3386000</c:v>
                </c:pt>
                <c:pt idx="33">
                  <c:v>3736000</c:v>
                </c:pt>
                <c:pt idx="34">
                  <c:v>3907000</c:v>
                </c:pt>
                <c:pt idx="36">
                  <c:v>4314000</c:v>
                </c:pt>
                <c:pt idx="37">
                  <c:v>4236500</c:v>
                </c:pt>
              </c:numCache>
            </c:numRef>
          </c:val>
          <c:smooth val="0"/>
          <c:extLst>
            <c:ext xmlns:c16="http://schemas.microsoft.com/office/drawing/2014/chart" uri="{C3380CC4-5D6E-409C-BE32-E72D297353CC}">
              <c16:uniqueId val="{00000003-26A3-4240-928C-D75263617B62}"/>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0"/>
          <c:tx>
            <c:strRef>
              <c:f>VolumesFuels!$H$4</c:f>
              <c:strCache>
                <c:ptCount val="1"/>
                <c:pt idx="0">
                  <c:v>Ventes de petrole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VolumesFuels!$H$27:$H$69</c:f>
              <c:numCache>
                <c:formatCode>General</c:formatCode>
                <c:ptCount val="43"/>
                <c:pt idx="25">
                  <c:v>12684479.166666668</c:v>
                </c:pt>
                <c:pt idx="42">
                  <c:v>4761000</c:v>
                </c:pt>
              </c:numCache>
            </c:numRef>
          </c:val>
          <c:smooth val="0"/>
          <c:extLst>
            <c:ext xmlns:c16="http://schemas.microsoft.com/office/drawing/2014/chart" uri="{C3380CC4-5D6E-409C-BE32-E72D297353CC}">
              <c16:uniqueId val="{00000000-26A3-4240-928C-D75263617B62}"/>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Diesel/gasoil/gazole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C-EDC6-4C15-B9CA-2EDF0074F9CB}"/>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D-EDC6-4C15-B9CA-2EDF0074F9CB}"/>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5-EDC6-4C15-B9CA-2EDF0074F9CB}"/>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7-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VolumesFuels!$J$4</c:f>
              <c:strCache>
                <c:ptCount val="1"/>
                <c:pt idx="0">
                  <c:v>Consommation de gazole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VolumesFuels!$J$27:$J$64</c:f>
              <c:numCache>
                <c:formatCode>General</c:formatCode>
                <c:ptCount val="38"/>
                <c:pt idx="0">
                  <c:v>162226000</c:v>
                </c:pt>
                <c:pt idx="1">
                  <c:v>157799440</c:v>
                </c:pt>
                <c:pt idx="2">
                  <c:v>174694840</c:v>
                </c:pt>
                <c:pt idx="3">
                  <c:v>199583800</c:v>
                </c:pt>
                <c:pt idx="4">
                  <c:v>205753840</c:v>
                </c:pt>
                <c:pt idx="5">
                  <c:v>221434720</c:v>
                </c:pt>
                <c:pt idx="6">
                  <c:v>208229280</c:v>
                </c:pt>
                <c:pt idx="7">
                  <c:v>165782560</c:v>
                </c:pt>
                <c:pt idx="8">
                  <c:v>180291840</c:v>
                </c:pt>
                <c:pt idx="9">
                  <c:v>191717840</c:v>
                </c:pt>
                <c:pt idx="10">
                  <c:v>211297480</c:v>
                </c:pt>
                <c:pt idx="11">
                  <c:v>221215480</c:v>
                </c:pt>
                <c:pt idx="12">
                  <c:v>229696240</c:v>
                </c:pt>
                <c:pt idx="13">
                  <c:v>227872720</c:v>
                </c:pt>
                <c:pt idx="14">
                  <c:v>227115240</c:v>
                </c:pt>
                <c:pt idx="15">
                  <c:v>238203680</c:v>
                </c:pt>
                <c:pt idx="16">
                  <c:v>266467080</c:v>
                </c:pt>
                <c:pt idx="17">
                  <c:v>293345440</c:v>
                </c:pt>
                <c:pt idx="18">
                  <c:v>321619280</c:v>
                </c:pt>
                <c:pt idx="19">
                  <c:v>359961920</c:v>
                </c:pt>
                <c:pt idx="20">
                  <c:v>464774880</c:v>
                </c:pt>
                <c:pt idx="21">
                  <c:v>425243240</c:v>
                </c:pt>
                <c:pt idx="22">
                  <c:v>474951560</c:v>
                </c:pt>
                <c:pt idx="23">
                  <c:v>507853800</c:v>
                </c:pt>
                <c:pt idx="24">
                  <c:v>593695122.39999998</c:v>
                </c:pt>
                <c:pt idx="25">
                  <c:v>489847398.39999998</c:v>
                </c:pt>
                <c:pt idx="26">
                  <c:v>628735590.39999998</c:v>
                </c:pt>
                <c:pt idx="27">
                  <c:v>719017682.79999995</c:v>
                </c:pt>
                <c:pt idx="28">
                  <c:v>629695618</c:v>
                </c:pt>
                <c:pt idx="29">
                  <c:v>689026068.39999998</c:v>
                </c:pt>
                <c:pt idx="30">
                  <c:v>834436658.5200001</c:v>
                </c:pt>
                <c:pt idx="31">
                  <c:v>946959343.91999996</c:v>
                </c:pt>
                <c:pt idx="32">
                  <c:v>986566080</c:v>
                </c:pt>
                <c:pt idx="33">
                  <c:v>955509400</c:v>
                </c:pt>
                <c:pt idx="34">
                  <c:v>1033089040</c:v>
                </c:pt>
                <c:pt idx="35">
                  <c:v>1085824960</c:v>
                </c:pt>
                <c:pt idx="36">
                  <c:v>1237860360</c:v>
                </c:pt>
                <c:pt idx="37">
                  <c:v>1301510410.28</c:v>
                </c:pt>
              </c:numCache>
            </c:numRef>
          </c:val>
          <c:smooth val="0"/>
          <c:extLst>
            <c:ext xmlns:c16="http://schemas.microsoft.com/office/drawing/2014/chart" uri="{C3380CC4-5D6E-409C-BE32-E72D297353CC}">
              <c16:uniqueId val="{0000000E-EDC6-4C15-B9CA-2EDF0074F9CB}"/>
            </c:ext>
          </c:extLst>
        </c:ser>
        <c:ser>
          <c:idx val="7"/>
          <c:order val="3"/>
          <c:tx>
            <c:strRef>
              <c:f>VolumesFuels!$L$4</c:f>
              <c:strCache>
                <c:ptCount val="1"/>
                <c:pt idx="0">
                  <c:v>Ventes de gasoil</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VolumesFuels!$L$27:$L$69</c:f>
              <c:numCache>
                <c:formatCode>General</c:formatCode>
                <c:ptCount val="43"/>
                <c:pt idx="25">
                  <c:v>529979881.18811876</c:v>
                </c:pt>
                <c:pt idx="35">
                  <c:v>849667000</c:v>
                </c:pt>
                <c:pt idx="36">
                  <c:v>1032051000</c:v>
                </c:pt>
                <c:pt idx="37">
                  <c:v>1122094000</c:v>
                </c:pt>
                <c:pt idx="38">
                  <c:v>1206639000</c:v>
                </c:pt>
                <c:pt idx="39">
                  <c:v>1313142000</c:v>
                </c:pt>
                <c:pt idx="40">
                  <c:v>1267314000</c:v>
                </c:pt>
                <c:pt idx="41">
                  <c:v>1313891000</c:v>
                </c:pt>
                <c:pt idx="42">
                  <c:v>1480685025.9999995</c:v>
                </c:pt>
              </c:numCache>
            </c:numRef>
          </c:val>
          <c:smooth val="0"/>
          <c:extLst>
            <c:ext xmlns:c16="http://schemas.microsoft.com/office/drawing/2014/chart" uri="{C3380CC4-5D6E-409C-BE32-E72D297353CC}">
              <c16:uniqueId val="{0000000F-EDC6-4C15-B9CA-2EDF0074F9CB}"/>
            </c:ext>
          </c:extLst>
        </c:ser>
        <c:ser>
          <c:idx val="4"/>
          <c:order val="7"/>
          <c:tx>
            <c:strRef>
              <c:f>VolumesFuels!$Q$4</c:f>
              <c:strCache>
                <c:ptCount val="1"/>
                <c:pt idx="0">
                  <c:v>Consommation de diesel-oil </c:v>
                </c:pt>
              </c:strCache>
            </c:strRef>
          </c:tx>
          <c:spPr>
            <a:ln w="28575" cap="rnd">
              <a:solidFill>
                <a:schemeClr val="accent5"/>
              </a:solidFill>
              <a:round/>
            </a:ln>
            <a:effectLst/>
          </c:spP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9-EDC6-4C15-B9CA-2EDF0074F9CB}"/>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B-EDC6-4C15-B9CA-2EDF0074F9CB}"/>
            </c:ext>
          </c:extLst>
        </c:ser>
        <c:ser>
          <c:idx val="8"/>
          <c:order val="8"/>
          <c:tx>
            <c:strRef>
              <c:f>VolumesFuels!$R$4</c:f>
              <c:strCache>
                <c:ptCount val="1"/>
                <c:pt idx="0">
                  <c:v>Volume automobile diesel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VolumesFuels!$R$27:$R$69</c:f>
              <c:numCache>
                <c:formatCode>General</c:formatCode>
                <c:ptCount val="43"/>
                <c:pt idx="35">
                  <c:v>849667000</c:v>
                </c:pt>
                <c:pt idx="36">
                  <c:v>1032051000</c:v>
                </c:pt>
                <c:pt idx="37">
                  <c:v>1122094000</c:v>
                </c:pt>
                <c:pt idx="38">
                  <c:v>1206639000</c:v>
                </c:pt>
                <c:pt idx="39">
                  <c:v>1313142000</c:v>
                </c:pt>
                <c:pt idx="40">
                  <c:v>1267314000</c:v>
                </c:pt>
                <c:pt idx="41">
                  <c:v>1313891000</c:v>
                </c:pt>
              </c:numCache>
            </c:numRef>
          </c:val>
          <c:smooth val="0"/>
          <c:extLst>
            <c:ext xmlns:c16="http://schemas.microsoft.com/office/drawing/2014/chart" uri="{C3380CC4-5D6E-409C-BE32-E72D297353CC}">
              <c16:uniqueId val="{00000010-EDC6-4C15-B9CA-2EDF0074F9CB}"/>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Only Diesel</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4F54-4C0F-95D9-23FB69808BB1}"/>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4F54-4C0F-95D9-23FB69808BB1}"/>
            </c:ext>
          </c:extLst>
        </c:ser>
        <c:ser>
          <c:idx val="2"/>
          <c:order val="3"/>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4F54-4C0F-95D9-23FB69808BB1}"/>
            </c:ext>
          </c:extLst>
        </c:ser>
        <c:ser>
          <c:idx val="3"/>
          <c:order val="4"/>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4"/>
          <c:order val="5"/>
          <c:tx>
            <c:strRef>
              <c:f>VolumesFuels!$Q$4</c:f>
              <c:strCache>
                <c:ptCount val="1"/>
                <c:pt idx="0">
                  <c:v>Consommation de diesel-oil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VolumesFuels!$Q$27:$Q$64</c:f>
              <c:numCache>
                <c:formatCode>General</c:formatCode>
                <c:ptCount val="38"/>
                <c:pt idx="0">
                  <c:v>53158160</c:v>
                </c:pt>
                <c:pt idx="1">
                  <c:v>51796320</c:v>
                </c:pt>
                <c:pt idx="2">
                  <c:v>44023160</c:v>
                </c:pt>
                <c:pt idx="3">
                  <c:v>49979760</c:v>
                </c:pt>
                <c:pt idx="4">
                  <c:v>75133200</c:v>
                </c:pt>
                <c:pt idx="5">
                  <c:v>67428480</c:v>
                </c:pt>
                <c:pt idx="6">
                  <c:v>59149560</c:v>
                </c:pt>
                <c:pt idx="7">
                  <c:v>66573560</c:v>
                </c:pt>
                <c:pt idx="8">
                  <c:v>75064760</c:v>
                </c:pt>
                <c:pt idx="9">
                  <c:v>70327320</c:v>
                </c:pt>
                <c:pt idx="10">
                  <c:v>71601000</c:v>
                </c:pt>
                <c:pt idx="11">
                  <c:v>69922480</c:v>
                </c:pt>
                <c:pt idx="12">
                  <c:v>88263240</c:v>
                </c:pt>
                <c:pt idx="13">
                  <c:v>95503960</c:v>
                </c:pt>
                <c:pt idx="14">
                  <c:v>85951360</c:v>
                </c:pt>
                <c:pt idx="15">
                  <c:v>77043720</c:v>
                </c:pt>
                <c:pt idx="16">
                  <c:v>77826720</c:v>
                </c:pt>
                <c:pt idx="17">
                  <c:v>118694680</c:v>
                </c:pt>
                <c:pt idx="18">
                  <c:v>149350000</c:v>
                </c:pt>
                <c:pt idx="19">
                  <c:v>172949040</c:v>
                </c:pt>
                <c:pt idx="20">
                  <c:v>154306680</c:v>
                </c:pt>
                <c:pt idx="21">
                  <c:v>196910000</c:v>
                </c:pt>
                <c:pt idx="22">
                  <c:v>192444000</c:v>
                </c:pt>
                <c:pt idx="23">
                  <c:v>198204560</c:v>
                </c:pt>
                <c:pt idx="24">
                  <c:v>153451586</c:v>
                </c:pt>
                <c:pt idx="25">
                  <c:v>281536651.60000002</c:v>
                </c:pt>
                <c:pt idx="26">
                  <c:v>186829890</c:v>
                </c:pt>
                <c:pt idx="27">
                  <c:v>89546107.200000003</c:v>
                </c:pt>
                <c:pt idx="28">
                  <c:v>118883052.40000001</c:v>
                </c:pt>
                <c:pt idx="29">
                  <c:v>104143570.40000001</c:v>
                </c:pt>
                <c:pt idx="30">
                  <c:v>68079642.519999996</c:v>
                </c:pt>
                <c:pt idx="31">
                  <c:v>75990959.679999992</c:v>
                </c:pt>
                <c:pt idx="32">
                  <c:v>49673520</c:v>
                </c:pt>
                <c:pt idx="33">
                  <c:v>61932400</c:v>
                </c:pt>
                <c:pt idx="34">
                  <c:v>50231480</c:v>
                </c:pt>
                <c:pt idx="35">
                  <c:v>46741040</c:v>
                </c:pt>
                <c:pt idx="36">
                  <c:v>57196120</c:v>
                </c:pt>
                <c:pt idx="37">
                  <c:v>47670965.600000001</c:v>
                </c:pt>
              </c:numCache>
            </c:numRef>
          </c:val>
          <c:smooth val="0"/>
          <c:extLst>
            <c:ext xmlns:c16="http://schemas.microsoft.com/office/drawing/2014/chart" uri="{C3380CC4-5D6E-409C-BE32-E72D297353CC}">
              <c16:uniqueId val="{00000006-4F54-4C0F-95D9-23FB69808BB1}"/>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2"/>
          <c:tx>
            <c:strRef>
              <c:f>VolumesFuels!$N$4</c:f>
              <c:strCache>
                <c:ptCount val="1"/>
                <c:pt idx="0">
                  <c:v>Diesel autres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VolumesFuels!$N$27:$N$69</c:f>
              <c:numCache>
                <c:formatCode>General</c:formatCode>
                <c:ptCount val="43"/>
                <c:pt idx="42">
                  <c:v>41443368.333333336</c:v>
                </c:pt>
              </c:numCache>
            </c:numRef>
          </c:val>
          <c:smooth val="0"/>
          <c:extLst>
            <c:ext xmlns:c16="http://schemas.microsoft.com/office/drawing/2014/chart" uri="{C3380CC4-5D6E-409C-BE32-E72D297353CC}">
              <c16:uniqueId val="{00000007-4F54-4C0F-95D9-23FB69808BB1}"/>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Essences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EC37-4980-AB2C-E2167067D517}"/>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EC37-4980-AB2C-E2167067D517}"/>
            </c:ext>
          </c:extLst>
        </c:ser>
        <c:ser>
          <c:idx val="2"/>
          <c:order val="5"/>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EC37-4980-AB2C-E2167067D517}"/>
            </c:ext>
          </c:extLst>
        </c:ser>
        <c:ser>
          <c:idx val="3"/>
          <c:order val="6"/>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VolumesFuels!$T$4</c:f>
              <c:strCache>
                <c:ptCount val="1"/>
                <c:pt idx="0">
                  <c:v>Consommation d'essence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VolumesFuels!$T$27:$T$64</c:f>
              <c:numCache>
                <c:formatCode>General</c:formatCode>
                <c:ptCount val="38"/>
                <c:pt idx="0">
                  <c:v>234976593</c:v>
                </c:pt>
                <c:pt idx="1">
                  <c:v>214450243</c:v>
                </c:pt>
                <c:pt idx="2">
                  <c:v>206110641</c:v>
                </c:pt>
                <c:pt idx="3">
                  <c:v>204125283</c:v>
                </c:pt>
                <c:pt idx="4">
                  <c:v>190167365</c:v>
                </c:pt>
                <c:pt idx="5">
                  <c:v>169337582</c:v>
                </c:pt>
                <c:pt idx="6">
                  <c:v>163772813</c:v>
                </c:pt>
                <c:pt idx="7">
                  <c:v>161346722</c:v>
                </c:pt>
                <c:pt idx="8">
                  <c:v>154594308</c:v>
                </c:pt>
                <c:pt idx="9">
                  <c:v>148043725</c:v>
                </c:pt>
                <c:pt idx="10">
                  <c:v>145792005</c:v>
                </c:pt>
                <c:pt idx="11">
                  <c:v>140783301</c:v>
                </c:pt>
                <c:pt idx="12">
                  <c:v>140555383</c:v>
                </c:pt>
                <c:pt idx="13">
                  <c:v>122733843</c:v>
                </c:pt>
                <c:pt idx="14">
                  <c:v>120966792</c:v>
                </c:pt>
                <c:pt idx="15">
                  <c:v>127590144</c:v>
                </c:pt>
                <c:pt idx="16">
                  <c:v>138068880</c:v>
                </c:pt>
                <c:pt idx="17">
                  <c:v>142947149</c:v>
                </c:pt>
                <c:pt idx="18">
                  <c:v>152181947</c:v>
                </c:pt>
                <c:pt idx="19">
                  <c:v>151933434</c:v>
                </c:pt>
                <c:pt idx="20">
                  <c:v>168229571</c:v>
                </c:pt>
                <c:pt idx="21">
                  <c:v>177435536</c:v>
                </c:pt>
                <c:pt idx="22">
                  <c:v>190045168</c:v>
                </c:pt>
                <c:pt idx="23">
                  <c:v>198222756</c:v>
                </c:pt>
                <c:pt idx="24">
                  <c:v>194215847.72000003</c:v>
                </c:pt>
                <c:pt idx="25">
                  <c:v>185302880.92000002</c:v>
                </c:pt>
                <c:pt idx="26">
                  <c:v>187377154.39999998</c:v>
                </c:pt>
                <c:pt idx="27">
                  <c:v>185764126.54000002</c:v>
                </c:pt>
                <c:pt idx="28">
                  <c:v>183950887.81999999</c:v>
                </c:pt>
                <c:pt idx="29">
                  <c:v>204188715.60000002</c:v>
                </c:pt>
                <c:pt idx="30">
                  <c:v>210995648.68399999</c:v>
                </c:pt>
                <c:pt idx="31">
                  <c:v>216489559.89999998</c:v>
                </c:pt>
                <c:pt idx="32">
                  <c:v>223855293</c:v>
                </c:pt>
                <c:pt idx="33">
                  <c:v>252896989</c:v>
                </c:pt>
                <c:pt idx="34">
                  <c:v>243619628</c:v>
                </c:pt>
                <c:pt idx="35">
                  <c:v>275092907</c:v>
                </c:pt>
                <c:pt idx="36">
                  <c:v>316737370</c:v>
                </c:pt>
                <c:pt idx="37">
                  <c:v>367256905</c:v>
                </c:pt>
              </c:numCache>
            </c:numRef>
          </c:val>
          <c:smooth val="0"/>
          <c:extLst>
            <c:ext xmlns:c16="http://schemas.microsoft.com/office/drawing/2014/chart" uri="{C3380CC4-5D6E-409C-BE32-E72D297353CC}">
              <c16:uniqueId val="{00000004-EC37-4980-AB2C-E2167067D517}"/>
            </c:ext>
          </c:extLst>
        </c:ser>
        <c:ser>
          <c:idx val="7"/>
          <c:order val="3"/>
          <c:tx>
            <c:strRef>
              <c:f>VolumesFuels!$W$4</c:f>
              <c:strCache>
                <c:ptCount val="1"/>
                <c:pt idx="0">
                  <c:v>Ventes d'essence (pirogue seulement?)</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VolumesFuels!$W$27:$W$69</c:f>
              <c:numCache>
                <c:formatCode>General</c:formatCode>
                <c:ptCount val="43"/>
                <c:pt idx="35">
                  <c:v>73902907</c:v>
                </c:pt>
                <c:pt idx="36">
                  <c:v>85927370</c:v>
                </c:pt>
                <c:pt idx="37">
                  <c:v>98053905</c:v>
                </c:pt>
                <c:pt idx="42">
                  <c:v>88745430.000000015</c:v>
                </c:pt>
              </c:numCache>
            </c:numRef>
          </c:val>
          <c:smooth val="0"/>
          <c:extLst>
            <c:ext xmlns:c16="http://schemas.microsoft.com/office/drawing/2014/chart" uri="{C3380CC4-5D6E-409C-BE32-E72D297353CC}">
              <c16:uniqueId val="{00000005-EC37-4980-AB2C-E2167067D517}"/>
            </c:ext>
          </c:extLst>
        </c:ser>
        <c:ser>
          <c:idx val="4"/>
          <c:order val="7"/>
          <c:tx>
            <c:strRef>
              <c:f>VolumesFuels!$Z$4</c:f>
              <c:strCache>
                <c:ptCount val="1"/>
                <c:pt idx="0">
                  <c:v>Volume d’essence Super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VolumesFuels!$Z$27:$Z$68</c:f>
              <c:numCache>
                <c:formatCode>General</c:formatCode>
                <c:ptCount val="42"/>
                <c:pt idx="35">
                  <c:v>143451000</c:v>
                </c:pt>
                <c:pt idx="36">
                  <c:v>167612000</c:v>
                </c:pt>
                <c:pt idx="37">
                  <c:v>198157000</c:v>
                </c:pt>
                <c:pt idx="38">
                  <c:v>236860000</c:v>
                </c:pt>
                <c:pt idx="39">
                  <c:v>274307000</c:v>
                </c:pt>
                <c:pt idx="40">
                  <c:v>275091000</c:v>
                </c:pt>
                <c:pt idx="41">
                  <c:v>344447000</c:v>
                </c:pt>
              </c:numCache>
            </c:numRef>
          </c:val>
          <c:smooth val="0"/>
          <c:extLst>
            <c:ext xmlns:c16="http://schemas.microsoft.com/office/drawing/2014/chart" uri="{C3380CC4-5D6E-409C-BE32-E72D297353CC}">
              <c16:uniqueId val="{00000006-EC37-4980-AB2C-E2167067D517}"/>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4"/>
          <c:tx>
            <c:strRef>
              <c:f>VolumesFuels!$AA$4</c:f>
              <c:strCache>
                <c:ptCount val="1"/>
                <c:pt idx="0">
                  <c:v>Ventes de super</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VolumesFuels!$AA$27:$AA$69</c:f>
              <c:numCache>
                <c:formatCode>General</c:formatCode>
                <c:ptCount val="43"/>
                <c:pt idx="42">
                  <c:v>402404903.00000006</c:v>
                </c:pt>
              </c:numCache>
            </c:numRef>
          </c:val>
          <c:smooth val="0"/>
          <c:extLst>
            <c:ext xmlns:c16="http://schemas.microsoft.com/office/drawing/2014/chart" uri="{C3380CC4-5D6E-409C-BE32-E72D297353CC}">
              <c16:uniqueId val="{00000007-EC37-4980-AB2C-E2167067D517}"/>
            </c:ext>
          </c:extLst>
        </c:ser>
        <c:ser>
          <c:idx val="8"/>
          <c:order val="8"/>
          <c:tx>
            <c:strRef>
              <c:f>VolumesFuels!$Y$4</c:f>
              <c:strCache>
                <c:ptCount val="1"/>
                <c:pt idx="0">
                  <c:v>Volume d’essence ordinaire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VolumesFuels!$Y$27:$Y$69</c:f>
              <c:numCache>
                <c:formatCode>General</c:formatCode>
                <c:ptCount val="43"/>
                <c:pt idx="35">
                  <c:v>57739000</c:v>
                </c:pt>
                <c:pt idx="36">
                  <c:v>63198000</c:v>
                </c:pt>
                <c:pt idx="37">
                  <c:v>71046000</c:v>
                </c:pt>
                <c:pt idx="38">
                  <c:v>68536000</c:v>
                </c:pt>
                <c:pt idx="39">
                  <c:v>78668000</c:v>
                </c:pt>
                <c:pt idx="40">
                  <c:v>79930000</c:v>
                </c:pt>
                <c:pt idx="41">
                  <c:v>81627000</c:v>
                </c:pt>
                <c:pt idx="42">
                  <c:v>0</c:v>
                </c:pt>
              </c:numCache>
            </c:numRef>
          </c:val>
          <c:smooth val="0"/>
          <c:extLst>
            <c:ext xmlns:c16="http://schemas.microsoft.com/office/drawing/2014/chart" uri="{C3380CC4-5D6E-409C-BE32-E72D297353CC}">
              <c16:uniqueId val="{00000008-EC37-4980-AB2C-E2167067D517}"/>
            </c:ext>
          </c:extLst>
        </c:ser>
        <c:ser>
          <c:idx val="9"/>
          <c:order val="9"/>
          <c:tx>
            <c:strRef>
              <c:f>VolumesFuels!$S$4</c:f>
              <c:strCache>
                <c:ptCount val="1"/>
                <c:pt idx="0">
                  <c:v>Essence ordinaire + pirogue + super carburant (assuming pirogue =approx. ordinaire)</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VolumesFuels!$S$27:$S$69</c:f>
              <c:numCache>
                <c:formatCode>General</c:formatCode>
                <c:ptCount val="43"/>
                <c:pt idx="25">
                  <c:v>157212929.03225806</c:v>
                </c:pt>
                <c:pt idx="35">
                  <c:v>275092907</c:v>
                </c:pt>
                <c:pt idx="36">
                  <c:v>316737370</c:v>
                </c:pt>
                <c:pt idx="37">
                  <c:v>367256905</c:v>
                </c:pt>
                <c:pt idx="38">
                  <c:v>305396000</c:v>
                </c:pt>
                <c:pt idx="39">
                  <c:v>352975000</c:v>
                </c:pt>
                <c:pt idx="40">
                  <c:v>355021000</c:v>
                </c:pt>
                <c:pt idx="41">
                  <c:v>426074000</c:v>
                </c:pt>
                <c:pt idx="42">
                  <c:v>0</c:v>
                </c:pt>
              </c:numCache>
            </c:numRef>
          </c:val>
          <c:smooth val="0"/>
          <c:extLst>
            <c:ext xmlns:c16="http://schemas.microsoft.com/office/drawing/2014/chart" uri="{C3380CC4-5D6E-409C-BE32-E72D297353CC}">
              <c16:uniqueId val="{00000009-EC37-4980-AB2C-E2167067D517}"/>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Fuel oil &amp; others (liters)</a:t>
            </a:r>
          </a:p>
        </c:rich>
      </c:tx>
      <c:overlay val="0"/>
      <c:spPr>
        <a:noFill/>
        <a:ln>
          <a:noFill/>
        </a:ln>
        <a:effectLst/>
      </c:spPr>
    </c:title>
    <c:autoTitleDeleted val="0"/>
    <c:plotArea>
      <c:layout/>
      <c:lineChart>
        <c:grouping val="standard"/>
        <c:varyColors val="0"/>
        <c:ser>
          <c:idx val="0"/>
          <c:order val="0"/>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0-919F-4020-A31C-AE0D9161082E}"/>
            </c:ext>
          </c:extLst>
        </c:ser>
        <c:ser>
          <c:idx val="5"/>
          <c:order val="1"/>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1-919F-4020-A31C-AE0D9161082E}"/>
            </c:ext>
          </c:extLst>
        </c:ser>
        <c:ser>
          <c:idx val="2"/>
          <c:order val="4"/>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VolumesFuels!$C$27:$C$69</c:f>
              <c:numCache>
                <c:formatCode>General</c:formatCode>
                <c:ptCount val="43"/>
                <c:pt idx="35">
                  <c:v>19473138</c:v>
                </c:pt>
                <c:pt idx="36">
                  <c:v>22073053</c:v>
                </c:pt>
                <c:pt idx="37">
                  <c:v>24293499</c:v>
                </c:pt>
                <c:pt idx="38">
                  <c:v>26574161</c:v>
                </c:pt>
                <c:pt idx="39">
                  <c:v>28052471</c:v>
                </c:pt>
                <c:pt idx="40">
                  <c:v>29210238</c:v>
                </c:pt>
                <c:pt idx="41">
                  <c:v>32115751</c:v>
                </c:pt>
                <c:pt idx="42">
                  <c:v>26761214</c:v>
                </c:pt>
              </c:numCache>
            </c:numRef>
          </c:val>
          <c:smooth val="0"/>
          <c:extLst>
            <c:ext xmlns:c16="http://schemas.microsoft.com/office/drawing/2014/chart" uri="{C3380CC4-5D6E-409C-BE32-E72D297353CC}">
              <c16:uniqueId val="{00000002-919F-4020-A31C-AE0D9161082E}"/>
            </c:ext>
          </c:extLst>
        </c:ser>
        <c:ser>
          <c:idx val="3"/>
          <c:order val="5"/>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VolumesFuels!$D$27:$D$69</c:f>
              <c:numCache>
                <c:formatCode>General</c:formatCode>
                <c:ptCount val="43"/>
                <c:pt idx="0">
                  <c:v>17391304.34782609</c:v>
                </c:pt>
                <c:pt idx="1">
                  <c:v>17739130.434782613</c:v>
                </c:pt>
                <c:pt idx="2">
                  <c:v>20173913.043478265</c:v>
                </c:pt>
                <c:pt idx="3">
                  <c:v>23095652.173913047</c:v>
                </c:pt>
                <c:pt idx="4">
                  <c:v>23652173.91304348</c:v>
                </c:pt>
                <c:pt idx="5">
                  <c:v>26608695.652173918</c:v>
                </c:pt>
                <c:pt idx="6">
                  <c:v>26782608.695652179</c:v>
                </c:pt>
                <c:pt idx="7">
                  <c:v>28000000.000000004</c:v>
                </c:pt>
                <c:pt idx="8">
                  <c:v>40347826.086956531</c:v>
                </c:pt>
                <c:pt idx="9">
                  <c:v>47304347.826086961</c:v>
                </c:pt>
              </c:numCache>
            </c:numRef>
          </c:val>
          <c:smooth val="0"/>
          <c:extLst>
            <c:ext xmlns:c16="http://schemas.microsoft.com/office/drawing/2014/chart" uri="{C3380CC4-5D6E-409C-BE32-E72D297353CC}">
              <c16:uniqueId val="{00000003-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6"/>
          <c:order val="2"/>
          <c:tx>
            <c:strRef>
              <c:f>VolumesFuels!$AC$4</c:f>
              <c:strCache>
                <c:ptCount val="1"/>
                <c:pt idx="0">
                  <c:v>Consommation de fuel-oil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VolumesFuels!$AC$27:$AC$64</c:f>
              <c:numCache>
                <c:formatCode>General</c:formatCode>
                <c:ptCount val="38"/>
                <c:pt idx="0">
                  <c:v>312475000</c:v>
                </c:pt>
                <c:pt idx="1">
                  <c:v>320483000</c:v>
                </c:pt>
                <c:pt idx="2">
                  <c:v>299451000</c:v>
                </c:pt>
                <c:pt idx="3">
                  <c:v>322677000</c:v>
                </c:pt>
                <c:pt idx="4">
                  <c:v>341042000</c:v>
                </c:pt>
                <c:pt idx="5">
                  <c:v>326687000</c:v>
                </c:pt>
                <c:pt idx="6">
                  <c:v>299093000</c:v>
                </c:pt>
                <c:pt idx="7">
                  <c:v>327481000</c:v>
                </c:pt>
                <c:pt idx="8">
                  <c:v>333595000</c:v>
                </c:pt>
                <c:pt idx="9">
                  <c:v>335516000</c:v>
                </c:pt>
                <c:pt idx="10">
                  <c:v>335654000</c:v>
                </c:pt>
                <c:pt idx="11">
                  <c:v>327920000</c:v>
                </c:pt>
                <c:pt idx="12">
                  <c:v>357315000</c:v>
                </c:pt>
                <c:pt idx="13">
                  <c:v>342461000</c:v>
                </c:pt>
                <c:pt idx="14">
                  <c:v>353538000</c:v>
                </c:pt>
                <c:pt idx="15">
                  <c:v>364661000</c:v>
                </c:pt>
                <c:pt idx="16">
                  <c:v>380621000</c:v>
                </c:pt>
                <c:pt idx="17">
                  <c:v>417372000</c:v>
                </c:pt>
                <c:pt idx="18">
                  <c:v>411140000</c:v>
                </c:pt>
                <c:pt idx="19">
                  <c:v>425884000</c:v>
                </c:pt>
                <c:pt idx="20">
                  <c:v>370209000</c:v>
                </c:pt>
                <c:pt idx="21">
                  <c:v>407046000</c:v>
                </c:pt>
                <c:pt idx="22">
                  <c:v>419223000</c:v>
                </c:pt>
                <c:pt idx="23">
                  <c:v>393535000</c:v>
                </c:pt>
                <c:pt idx="24">
                  <c:v>453775130</c:v>
                </c:pt>
                <c:pt idx="25">
                  <c:v>474786660</c:v>
                </c:pt>
                <c:pt idx="26">
                  <c:v>391701910</c:v>
                </c:pt>
                <c:pt idx="27">
                  <c:v>465649280</c:v>
                </c:pt>
                <c:pt idx="28">
                  <c:v>475449480</c:v>
                </c:pt>
                <c:pt idx="29">
                  <c:v>568442700</c:v>
                </c:pt>
                <c:pt idx="30">
                  <c:v>582382381</c:v>
                </c:pt>
                <c:pt idx="31">
                  <c:v>506714149</c:v>
                </c:pt>
                <c:pt idx="32">
                  <c:v>518603000</c:v>
                </c:pt>
                <c:pt idx="33">
                  <c:v>596465000</c:v>
                </c:pt>
                <c:pt idx="34">
                  <c:v>668565000</c:v>
                </c:pt>
                <c:pt idx="35">
                  <c:v>736729000</c:v>
                </c:pt>
                <c:pt idx="36">
                  <c:v>787328000</c:v>
                </c:pt>
                <c:pt idx="37">
                  <c:v>744307611</c:v>
                </c:pt>
              </c:numCache>
            </c:numRef>
          </c:val>
          <c:smooth val="0"/>
          <c:extLst>
            <c:ext xmlns:c16="http://schemas.microsoft.com/office/drawing/2014/chart" uri="{C3380CC4-5D6E-409C-BE32-E72D297353CC}">
              <c16:uniqueId val="{00000004-919F-4020-A31C-AE0D9161082E}"/>
            </c:ext>
          </c:extLst>
        </c:ser>
        <c:dLbls>
          <c:showLegendKey val="0"/>
          <c:showVal val="0"/>
          <c:showCatName val="0"/>
          <c:showSerName val="0"/>
          <c:showPercent val="0"/>
          <c:showBubbleSize val="0"/>
        </c:dLbls>
        <c:marker val="1"/>
        <c:smooth val="0"/>
        <c:axId val="203373648"/>
        <c:axId val="203374896"/>
      </c:lineChart>
      <c:lineChart>
        <c:grouping val="standard"/>
        <c:varyColors val="0"/>
        <c:ser>
          <c:idx val="1"/>
          <c:order val="3"/>
          <c:tx>
            <c:strRef>
              <c:f>VolumesFuels!$AF$4</c:f>
              <c:strCache>
                <c:ptCount val="1"/>
                <c:pt idx="0">
                  <c:v>FO (non SENELEC)</c:v>
                </c:pt>
              </c:strCache>
            </c:strRef>
          </c:tx>
          <c:marker>
            <c:symbol val="circle"/>
            <c:size val="5"/>
            <c:spPr>
              <a:solidFill>
                <a:schemeClr val="accent2"/>
              </a:solidFill>
              <a:ln w="9525">
                <a:solidFill>
                  <a:schemeClr val="accent2"/>
                </a:solidFill>
              </a:ln>
              <a:effectLst/>
            </c:spPr>
          </c:marker>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VolumesFuels!$AF$27:$AF$69</c:f>
              <c:numCache>
                <c:formatCode>General</c:formatCode>
                <c:ptCount val="43"/>
                <c:pt idx="42">
                  <c:v>418041480.48000002</c:v>
                </c:pt>
              </c:numCache>
            </c:numRef>
          </c:val>
          <c:smooth val="0"/>
          <c:extLst>
            <c:ext xmlns:c16="http://schemas.microsoft.com/office/drawing/2014/chart" uri="{C3380CC4-5D6E-409C-BE32-E72D297353CC}">
              <c16:uniqueId val="{00000007-919F-4020-A31C-AE0D9161082E}"/>
            </c:ext>
          </c:extLst>
        </c:ser>
        <c:ser>
          <c:idx val="8"/>
          <c:order val="6"/>
          <c:tx>
            <c:strRef>
              <c:f>VolumesFuels!$AE$4</c:f>
              <c:strCache>
                <c:ptCount val="1"/>
                <c:pt idx="0">
                  <c:v>Volume de mazout lourd vendu </c:v>
                </c:pt>
              </c:strCache>
            </c:strRef>
          </c:tx>
          <c:cat>
            <c:numRef>
              <c:f>VolumesFuels!$A$27:$A$69</c:f>
              <c:numCache>
                <c:formatCode>General</c:formatCode>
                <c:ptCount val="43"/>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pt idx="41">
                  <c:v>2021</c:v>
                </c:pt>
                <c:pt idx="42">
                  <c:v>2022</c:v>
                </c:pt>
              </c:numCache>
            </c:numRef>
          </c:cat>
          <c:val>
            <c:numRef>
              <c:f>VolumesFuels!$AE$27:$AE$69</c:f>
              <c:numCache>
                <c:formatCode>General</c:formatCode>
                <c:ptCount val="43"/>
                <c:pt idx="35">
                  <c:v>119569000</c:v>
                </c:pt>
                <c:pt idx="36">
                  <c:v>109130000</c:v>
                </c:pt>
                <c:pt idx="37">
                  <c:v>99883000</c:v>
                </c:pt>
                <c:pt idx="38">
                  <c:v>112894000</c:v>
                </c:pt>
                <c:pt idx="39">
                  <c:v>112890000</c:v>
                </c:pt>
                <c:pt idx="40">
                  <c:v>110955000</c:v>
                </c:pt>
                <c:pt idx="41">
                  <c:v>107460000</c:v>
                </c:pt>
              </c:numCache>
            </c:numRef>
          </c:val>
          <c:smooth val="0"/>
          <c:extLst>
            <c:ext xmlns:c16="http://schemas.microsoft.com/office/drawing/2014/chart" uri="{C3380CC4-5D6E-409C-BE32-E72D297353CC}">
              <c16:uniqueId val="{00000008-919F-4020-A31C-AE0D9161082E}"/>
            </c:ext>
          </c:extLst>
        </c:ser>
        <c:dLbls>
          <c:showLegendKey val="0"/>
          <c:showVal val="0"/>
          <c:showCatName val="0"/>
          <c:showSerName val="0"/>
          <c:showPercent val="0"/>
          <c:showBubbleSize val="0"/>
        </c:dLbls>
        <c:marker val="1"/>
        <c:smooth val="0"/>
        <c:axId val="203373648"/>
        <c:axId val="203374896"/>
      </c:lineChart>
      <c:catAx>
        <c:axId val="203373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4896"/>
        <c:crosses val="autoZero"/>
        <c:auto val="1"/>
        <c:lblAlgn val="ctr"/>
        <c:lblOffset val="100"/>
        <c:noMultiLvlLbl val="0"/>
      </c:catAx>
      <c:valAx>
        <c:axId val="20337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373648"/>
        <c:crosses val="autoZero"/>
        <c:crossBetween val="between"/>
      </c:valAx>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bg2"/>
      </a:solidFill>
    </a:ln>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7455668287823852E-2"/>
          <c:w val="0.95200680551401096"/>
          <c:h val="0.93564423617896741"/>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668E-4362-A859-8C825F57BA77}"/>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668E-4362-A859-8C825F57BA77}"/>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668E-4362-A859-8C825F57BA77}"/>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668E-4362-A859-8C825F57BA77}"/>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668E-4362-A859-8C825F57BA77}"/>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668E-4362-A859-8C825F57BA77}"/>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668E-4362-A859-8C825F57BA77}"/>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8-668E-4362-A859-8C825F57BA77}"/>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9-668E-4362-A859-8C825F57BA77}"/>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A-668E-4362-A859-8C825F57BA77}"/>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B-668E-4362-A859-8C825F57BA77}"/>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C-668E-4362-A859-8C825F57BA77}"/>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D-668E-4362-A859-8C825F57BA77}"/>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E-668E-4362-A859-8C825F57BA77}"/>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F-668E-4362-A859-8C825F57BA77}"/>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10-668E-4362-A859-8C825F57BA77}"/>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2-668E-4362-A859-8C825F57BA77}"/>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3-668E-4362-A859-8C825F57BA77}"/>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4-668E-4362-A859-8C825F57BA77}"/>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5-668E-4362-A859-8C825F57BA77}"/>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6-668E-4362-A859-8C825F57BA77}"/>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7-668E-4362-A859-8C825F57BA77}"/>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8-668E-4362-A859-8C825F57BA77}"/>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9-668E-4362-A859-8C825F57BA77}"/>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A-668E-4362-A859-8C825F57BA77}"/>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B-668E-4362-A859-8C825F57BA77}"/>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logBase val="10"/>
          <c:orientation val="minMax"/>
          <c:max val="20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6.6171717178692774E-2"/>
          <c:y val="0.869208646036849"/>
          <c:w val="0.678272391143107"/>
          <c:h val="3.4720580766249204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9119181050915254E-2"/>
          <c:y val="1.1997873389626703E-2"/>
          <c:w val="0.95200680551401096"/>
          <c:h val="0.94824978624676148"/>
        </c:manualLayout>
      </c:layout>
      <c:lineChart>
        <c:grouping val="standard"/>
        <c:varyColors val="0"/>
        <c:ser>
          <c:idx val="0"/>
          <c:order val="0"/>
          <c:tx>
            <c:strRef>
              <c:f>VolumesFuels!$F$1</c:f>
              <c:strCache>
                <c:ptCount val="1"/>
                <c:pt idx="0">
                  <c:v>PL1</c:v>
                </c:pt>
              </c:strCache>
            </c:strRef>
          </c:tx>
          <c:spPr>
            <a:ln w="28575" cap="rnd">
              <a:solidFill>
                <a:srgbClr val="FFC000"/>
              </a:solidFill>
              <a:round/>
            </a:ln>
            <a:effectLst/>
          </c:spPr>
          <c:marker>
            <c:symbol val="circle"/>
            <c:size val="5"/>
            <c:spPr>
              <a:solidFill>
                <a:schemeClr val="accent1"/>
              </a:solidFill>
              <a:ln w="9525">
                <a:solidFill>
                  <a:srgbClr val="FFC000"/>
                </a:solidFill>
              </a:ln>
              <a:effectLst/>
            </c:spPr>
          </c:marker>
          <c:val>
            <c:numRef>
              <c:f>VolumesFuels!$F$48:$F$69</c:f>
              <c:numCache>
                <c:formatCode>General</c:formatCode>
                <c:ptCount val="22"/>
                <c:pt idx="0">
                  <c:v>24360000</c:v>
                </c:pt>
                <c:pt idx="1">
                  <c:v>25782000</c:v>
                </c:pt>
                <c:pt idx="2">
                  <c:v>25160000</c:v>
                </c:pt>
                <c:pt idx="3">
                  <c:v>20732000</c:v>
                </c:pt>
                <c:pt idx="4">
                  <c:v>11612600</c:v>
                </c:pt>
                <c:pt idx="5">
                  <c:v>9823000</c:v>
                </c:pt>
                <c:pt idx="6">
                  <c:v>6088000</c:v>
                </c:pt>
                <c:pt idx="7">
                  <c:v>4581400</c:v>
                </c:pt>
                <c:pt idx="8">
                  <c:v>5617960</c:v>
                </c:pt>
                <c:pt idx="9">
                  <c:v>4189000</c:v>
                </c:pt>
                <c:pt idx="10">
                  <c:v>4704000</c:v>
                </c:pt>
                <c:pt idx="11">
                  <c:v>3386000</c:v>
                </c:pt>
                <c:pt idx="12">
                  <c:v>3736000</c:v>
                </c:pt>
                <c:pt idx="13">
                  <c:v>3907000</c:v>
                </c:pt>
                <c:pt idx="15">
                  <c:v>4314000</c:v>
                </c:pt>
                <c:pt idx="16">
                  <c:v>4236500</c:v>
                </c:pt>
              </c:numCache>
            </c:numRef>
          </c:val>
          <c:smooth val="0"/>
          <c:extLst>
            <c:ext xmlns:c16="http://schemas.microsoft.com/office/drawing/2014/chart" uri="{C3380CC4-5D6E-409C-BE32-E72D297353CC}">
              <c16:uniqueId val="{00000000-A3C9-4B75-89E1-27A7BA253E9B}"/>
            </c:ext>
          </c:extLst>
        </c:ser>
        <c:ser>
          <c:idx val="1"/>
          <c:order val="1"/>
          <c:tx>
            <c:strRef>
              <c:f>VolumesFuels!$G$1</c:f>
              <c:strCache>
                <c:ptCount val="1"/>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val>
            <c:numRef>
              <c:f>VolumesFuels!$G$48:$G$69</c:f>
            </c:numRef>
          </c:val>
          <c:smooth val="0"/>
          <c:extLst>
            <c:ext xmlns:c16="http://schemas.microsoft.com/office/drawing/2014/chart" uri="{C3380CC4-5D6E-409C-BE32-E72D297353CC}">
              <c16:uniqueId val="{00000001-A3C9-4B75-89E1-27A7BA253E9B}"/>
            </c:ext>
          </c:extLst>
        </c:ser>
        <c:ser>
          <c:idx val="2"/>
          <c:order val="2"/>
          <c:tx>
            <c:strRef>
              <c:f>VolumesFuels!$H$1</c:f>
              <c:strCache>
                <c:ptCount val="1"/>
                <c:pt idx="0">
                  <c:v>PL2</c:v>
                </c:pt>
              </c:strCache>
            </c:strRef>
          </c:tx>
          <c:spPr>
            <a:ln w="28575" cap="rnd">
              <a:solidFill>
                <a:srgbClr val="FFC000"/>
              </a:solidFill>
              <a:round/>
            </a:ln>
            <a:effectLst/>
          </c:spPr>
          <c:marker>
            <c:symbol val="circle"/>
            <c:size val="5"/>
            <c:spPr>
              <a:solidFill>
                <a:schemeClr val="accent4"/>
              </a:solidFill>
              <a:ln w="9525">
                <a:solidFill>
                  <a:srgbClr val="FFC000"/>
                </a:solidFill>
              </a:ln>
              <a:effectLst/>
            </c:spPr>
          </c:marker>
          <c:val>
            <c:numRef>
              <c:f>VolumesFuels!$H$48:$H$69</c:f>
              <c:numCache>
                <c:formatCode>General</c:formatCode>
                <c:ptCount val="22"/>
                <c:pt idx="4">
                  <c:v>12684479.166666668</c:v>
                </c:pt>
                <c:pt idx="21">
                  <c:v>4761000</c:v>
                </c:pt>
              </c:numCache>
            </c:numRef>
          </c:val>
          <c:smooth val="0"/>
          <c:extLst>
            <c:ext xmlns:c16="http://schemas.microsoft.com/office/drawing/2014/chart" uri="{C3380CC4-5D6E-409C-BE32-E72D297353CC}">
              <c16:uniqueId val="{00000002-A3C9-4B75-89E1-27A7BA253E9B}"/>
            </c:ext>
          </c:extLst>
        </c:ser>
        <c:ser>
          <c:idx val="3"/>
          <c:order val="3"/>
          <c:tx>
            <c:strRef>
              <c:f>VolumesFuels!$I$1</c:f>
              <c:strCache>
                <c:ptCount val="1"/>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VolumesFuels!$I$48:$I$69</c:f>
              <c:numCache>
                <c:formatCode>General</c:formatCode>
                <c:ptCount val="22"/>
                <c:pt idx="21">
                  <c:v>4761</c:v>
                </c:pt>
              </c:numCache>
            </c:numRef>
          </c:val>
          <c:smooth val="0"/>
          <c:extLst>
            <c:ext xmlns:c16="http://schemas.microsoft.com/office/drawing/2014/chart" uri="{C3380CC4-5D6E-409C-BE32-E72D297353CC}">
              <c16:uniqueId val="{00000003-A3C9-4B75-89E1-27A7BA253E9B}"/>
            </c:ext>
          </c:extLst>
        </c:ser>
        <c:ser>
          <c:idx val="4"/>
          <c:order val="4"/>
          <c:tx>
            <c:strRef>
              <c:f>VolumesFuels!$J$1</c:f>
              <c:strCache>
                <c:ptCount val="1"/>
                <c:pt idx="0">
                  <c:v>G1</c:v>
                </c:pt>
              </c:strCache>
            </c:strRef>
          </c:tx>
          <c:spPr>
            <a:ln w="28575" cap="rnd">
              <a:solidFill>
                <a:srgbClr val="AC7020"/>
              </a:solidFill>
              <a:round/>
            </a:ln>
            <a:effectLst/>
          </c:spPr>
          <c:marker>
            <c:symbol val="circle"/>
            <c:size val="5"/>
            <c:spPr>
              <a:solidFill>
                <a:schemeClr val="accent5"/>
              </a:solidFill>
              <a:ln w="9525">
                <a:solidFill>
                  <a:srgbClr val="AC7020"/>
                </a:solidFill>
              </a:ln>
              <a:effectLst/>
            </c:spPr>
          </c:marker>
          <c:val>
            <c:numRef>
              <c:f>VolumesFuels!$J$48:$J$69</c:f>
              <c:numCache>
                <c:formatCode>General</c:formatCode>
                <c:ptCount val="22"/>
                <c:pt idx="0">
                  <c:v>425243240</c:v>
                </c:pt>
                <c:pt idx="1">
                  <c:v>474951560</c:v>
                </c:pt>
                <c:pt idx="2">
                  <c:v>507853800</c:v>
                </c:pt>
                <c:pt idx="3">
                  <c:v>593695122.39999998</c:v>
                </c:pt>
                <c:pt idx="4">
                  <c:v>489847398.39999998</c:v>
                </c:pt>
                <c:pt idx="5">
                  <c:v>628735590.39999998</c:v>
                </c:pt>
                <c:pt idx="6">
                  <c:v>719017682.79999995</c:v>
                </c:pt>
                <c:pt idx="7">
                  <c:v>629695618</c:v>
                </c:pt>
                <c:pt idx="8">
                  <c:v>689026068.39999998</c:v>
                </c:pt>
                <c:pt idx="9">
                  <c:v>834436658.5200001</c:v>
                </c:pt>
                <c:pt idx="10">
                  <c:v>946959343.91999996</c:v>
                </c:pt>
                <c:pt idx="11">
                  <c:v>986566080</c:v>
                </c:pt>
                <c:pt idx="12">
                  <c:v>955509400</c:v>
                </c:pt>
                <c:pt idx="13">
                  <c:v>1033089040</c:v>
                </c:pt>
                <c:pt idx="14">
                  <c:v>1085824960</c:v>
                </c:pt>
                <c:pt idx="15">
                  <c:v>1237860360</c:v>
                </c:pt>
                <c:pt idx="16">
                  <c:v>1301510410.28</c:v>
                </c:pt>
              </c:numCache>
            </c:numRef>
          </c:val>
          <c:smooth val="0"/>
          <c:extLst>
            <c:ext xmlns:c16="http://schemas.microsoft.com/office/drawing/2014/chart" uri="{C3380CC4-5D6E-409C-BE32-E72D297353CC}">
              <c16:uniqueId val="{00000004-A3C9-4B75-89E1-27A7BA253E9B}"/>
            </c:ext>
          </c:extLst>
        </c:ser>
        <c:ser>
          <c:idx val="5"/>
          <c:order val="5"/>
          <c:tx>
            <c:strRef>
              <c:f>VolumesFuels!$K$1</c:f>
              <c:strCache>
                <c:ptCount val="1"/>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f>VolumesFuels!$K$48:$K$69</c:f>
              <c:numCache>
                <c:formatCode>General</c:formatCode>
                <c:ptCount val="22"/>
                <c:pt idx="0">
                  <c:v>366589</c:v>
                </c:pt>
                <c:pt idx="1">
                  <c:v>409441</c:v>
                </c:pt>
                <c:pt idx="2">
                  <c:v>437805</c:v>
                </c:pt>
                <c:pt idx="3">
                  <c:v>511806.14</c:v>
                </c:pt>
                <c:pt idx="4">
                  <c:v>422282.23999999999</c:v>
                </c:pt>
                <c:pt idx="5">
                  <c:v>542013.43999999994</c:v>
                </c:pt>
                <c:pt idx="6">
                  <c:v>619842.82999999996</c:v>
                </c:pt>
                <c:pt idx="7">
                  <c:v>542841.05000000005</c:v>
                </c:pt>
                <c:pt idx="8">
                  <c:v>593987.99</c:v>
                </c:pt>
                <c:pt idx="9">
                  <c:v>719341.94700000004</c:v>
                </c:pt>
                <c:pt idx="10">
                  <c:v>816344.26199999999</c:v>
                </c:pt>
                <c:pt idx="11">
                  <c:v>850488</c:v>
                </c:pt>
                <c:pt idx="12">
                  <c:v>823715</c:v>
                </c:pt>
                <c:pt idx="13">
                  <c:v>890594</c:v>
                </c:pt>
                <c:pt idx="14">
                  <c:v>936056</c:v>
                </c:pt>
                <c:pt idx="15">
                  <c:v>1067121</c:v>
                </c:pt>
                <c:pt idx="16">
                  <c:v>1121991.733</c:v>
                </c:pt>
              </c:numCache>
            </c:numRef>
          </c:val>
          <c:smooth val="0"/>
          <c:extLst>
            <c:ext xmlns:c16="http://schemas.microsoft.com/office/drawing/2014/chart" uri="{C3380CC4-5D6E-409C-BE32-E72D297353CC}">
              <c16:uniqueId val="{00000005-A3C9-4B75-89E1-27A7BA253E9B}"/>
            </c:ext>
          </c:extLst>
        </c:ser>
        <c:ser>
          <c:idx val="6"/>
          <c:order val="6"/>
          <c:tx>
            <c:strRef>
              <c:f>VolumesFuels!$L$1</c:f>
              <c:strCache>
                <c:ptCount val="1"/>
                <c:pt idx="0">
                  <c:v>G2</c:v>
                </c:pt>
              </c:strCache>
            </c:strRef>
          </c:tx>
          <c:spPr>
            <a:ln w="28575" cap="rnd">
              <a:solidFill>
                <a:srgbClr val="AC7020"/>
              </a:solidFill>
              <a:round/>
            </a:ln>
            <a:effectLst/>
          </c:spPr>
          <c:marker>
            <c:symbol val="circle"/>
            <c:size val="5"/>
            <c:spPr>
              <a:solidFill>
                <a:schemeClr val="accent1">
                  <a:lumMod val="60000"/>
                </a:schemeClr>
              </a:solidFill>
              <a:ln w="9525">
                <a:solidFill>
                  <a:srgbClr val="AC7020"/>
                </a:solidFill>
              </a:ln>
              <a:effectLst/>
            </c:spPr>
          </c:marker>
          <c:val>
            <c:numRef>
              <c:f>VolumesFuels!$L$48:$L$69</c:f>
              <c:numCache>
                <c:formatCode>General</c:formatCode>
                <c:ptCount val="22"/>
                <c:pt idx="4">
                  <c:v>529979881.18811876</c:v>
                </c:pt>
                <c:pt idx="14">
                  <c:v>849667000</c:v>
                </c:pt>
                <c:pt idx="15">
                  <c:v>1032051000</c:v>
                </c:pt>
                <c:pt idx="16">
                  <c:v>1122094000</c:v>
                </c:pt>
                <c:pt idx="17">
                  <c:v>1206639000</c:v>
                </c:pt>
                <c:pt idx="18">
                  <c:v>1313142000</c:v>
                </c:pt>
                <c:pt idx="19">
                  <c:v>1267314000</c:v>
                </c:pt>
                <c:pt idx="20">
                  <c:v>1313891000</c:v>
                </c:pt>
                <c:pt idx="21">
                  <c:v>1480685025.9999995</c:v>
                </c:pt>
              </c:numCache>
            </c:numRef>
          </c:val>
          <c:smooth val="0"/>
          <c:extLst>
            <c:ext xmlns:c16="http://schemas.microsoft.com/office/drawing/2014/chart" uri="{C3380CC4-5D6E-409C-BE32-E72D297353CC}">
              <c16:uniqueId val="{00000006-A3C9-4B75-89E1-27A7BA253E9B}"/>
            </c:ext>
          </c:extLst>
        </c:ser>
        <c:ser>
          <c:idx val="8"/>
          <c:order val="7"/>
          <c:tx>
            <c:strRef>
              <c:f>VolumesFuels!$N$1</c:f>
              <c:strCache>
                <c:ptCount val="1"/>
                <c:pt idx="0">
                  <c:v>D1</c:v>
                </c:pt>
              </c:strCache>
            </c:strRef>
          </c:tx>
          <c:spPr>
            <a:ln w="28575" cap="rnd">
              <a:solidFill>
                <a:srgbClr val="CA5CD0"/>
              </a:solidFill>
              <a:round/>
            </a:ln>
            <a:effectLst/>
          </c:spPr>
          <c:marker>
            <c:symbol val="circle"/>
            <c:size val="5"/>
            <c:spPr>
              <a:solidFill>
                <a:srgbClr val="CA5CD0"/>
              </a:solidFill>
              <a:ln w="9525">
                <a:solidFill>
                  <a:srgbClr val="CA5CD0"/>
                </a:solidFill>
              </a:ln>
              <a:effectLst/>
            </c:spPr>
          </c:marker>
          <c:val>
            <c:numRef>
              <c:f>VolumesFuels!$N$48:$N$69</c:f>
              <c:numCache>
                <c:formatCode>General</c:formatCode>
                <c:ptCount val="22"/>
                <c:pt idx="21">
                  <c:v>41443368.333333336</c:v>
                </c:pt>
              </c:numCache>
            </c:numRef>
          </c:val>
          <c:smooth val="0"/>
          <c:extLst>
            <c:ext xmlns:c16="http://schemas.microsoft.com/office/drawing/2014/chart" uri="{C3380CC4-5D6E-409C-BE32-E72D297353CC}">
              <c16:uniqueId val="{00000007-A3C9-4B75-89E1-27A7BA253E9B}"/>
            </c:ext>
          </c:extLst>
        </c:ser>
        <c:ser>
          <c:idx val="9"/>
          <c:order val="8"/>
          <c:tx>
            <c:strRef>
              <c:f>VolumesFuels!$O$1</c:f>
              <c:strCache>
                <c:ptCount val="1"/>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val>
            <c:numRef>
              <c:f>VolumesFuels!$O$48:$O$69</c:f>
              <c:numCache>
                <c:formatCode>General</c:formatCode>
                <c:ptCount val="22"/>
                <c:pt idx="21">
                  <c:v>41443.368333333339</c:v>
                </c:pt>
              </c:numCache>
            </c:numRef>
          </c:val>
          <c:smooth val="0"/>
          <c:extLst>
            <c:ext xmlns:c16="http://schemas.microsoft.com/office/drawing/2014/chart" uri="{C3380CC4-5D6E-409C-BE32-E72D297353CC}">
              <c16:uniqueId val="{00000008-A3C9-4B75-89E1-27A7BA253E9B}"/>
            </c:ext>
          </c:extLst>
        </c:ser>
        <c:ser>
          <c:idx val="10"/>
          <c:order val="9"/>
          <c:tx>
            <c:strRef>
              <c:f>VolumesFuels!$P$1</c:f>
              <c:strCache>
                <c:ptCount val="1"/>
              </c:strCache>
            </c:strRef>
          </c:tx>
          <c:spPr>
            <a:ln w="28575" cap="rnd">
              <a:solidFill>
                <a:schemeClr val="accent5">
                  <a:lumMod val="60000"/>
                </a:schemeClr>
              </a:solidFill>
              <a:round/>
            </a:ln>
            <a:effectLst/>
          </c:spPr>
          <c:marker>
            <c:symbol val="circle"/>
            <c:size val="5"/>
            <c:spPr>
              <a:solidFill>
                <a:schemeClr val="accent5">
                  <a:lumMod val="60000"/>
                </a:schemeClr>
              </a:solidFill>
              <a:ln w="9525">
                <a:solidFill>
                  <a:schemeClr val="accent5">
                    <a:lumMod val="60000"/>
                  </a:schemeClr>
                </a:solidFill>
              </a:ln>
              <a:effectLst/>
            </c:spPr>
          </c:marker>
          <c:val>
            <c:numRef>
              <c:f>VolumesFuels!$P$48:$P$69</c:f>
              <c:numCache>
                <c:formatCode>General</c:formatCode>
                <c:ptCount val="22"/>
                <c:pt idx="0">
                  <c:v>169750</c:v>
                </c:pt>
                <c:pt idx="1">
                  <c:v>165900</c:v>
                </c:pt>
                <c:pt idx="2">
                  <c:v>170866</c:v>
                </c:pt>
                <c:pt idx="3">
                  <c:v>132285.85</c:v>
                </c:pt>
                <c:pt idx="4">
                  <c:v>242704.01</c:v>
                </c:pt>
                <c:pt idx="5">
                  <c:v>161060.25</c:v>
                </c:pt>
                <c:pt idx="6">
                  <c:v>77194.92</c:v>
                </c:pt>
                <c:pt idx="7">
                  <c:v>102485.39</c:v>
                </c:pt>
                <c:pt idx="8">
                  <c:v>89778.94</c:v>
                </c:pt>
                <c:pt idx="9">
                  <c:v>58689.347000000002</c:v>
                </c:pt>
                <c:pt idx="10">
                  <c:v>65509.447999999997</c:v>
                </c:pt>
                <c:pt idx="11">
                  <c:v>42822</c:v>
                </c:pt>
                <c:pt idx="12">
                  <c:v>53390</c:v>
                </c:pt>
                <c:pt idx="13">
                  <c:v>43303</c:v>
                </c:pt>
                <c:pt idx="14">
                  <c:v>40294</c:v>
                </c:pt>
                <c:pt idx="15">
                  <c:v>49307</c:v>
                </c:pt>
                <c:pt idx="16">
                  <c:v>41095.660000000003</c:v>
                </c:pt>
              </c:numCache>
            </c:numRef>
          </c:val>
          <c:smooth val="0"/>
          <c:extLst>
            <c:ext xmlns:c16="http://schemas.microsoft.com/office/drawing/2014/chart" uri="{C3380CC4-5D6E-409C-BE32-E72D297353CC}">
              <c16:uniqueId val="{00000009-A3C9-4B75-89E1-27A7BA253E9B}"/>
            </c:ext>
          </c:extLst>
        </c:ser>
        <c:ser>
          <c:idx val="11"/>
          <c:order val="10"/>
          <c:tx>
            <c:strRef>
              <c:f>VolumesFuels!$Q$1</c:f>
              <c:strCache>
                <c:ptCount val="1"/>
                <c:pt idx="0">
                  <c:v>D2</c:v>
                </c:pt>
              </c:strCache>
            </c:strRef>
          </c:tx>
          <c:spPr>
            <a:ln w="28575" cap="rnd">
              <a:solidFill>
                <a:srgbClr val="CA5CD0"/>
              </a:solidFill>
              <a:round/>
            </a:ln>
            <a:effectLst/>
          </c:spPr>
          <c:marker>
            <c:symbol val="circle"/>
            <c:size val="5"/>
            <c:spPr>
              <a:solidFill>
                <a:schemeClr val="accent6">
                  <a:lumMod val="60000"/>
                </a:schemeClr>
              </a:solidFill>
              <a:ln w="9525">
                <a:solidFill>
                  <a:srgbClr val="CA5CD0"/>
                </a:solidFill>
              </a:ln>
              <a:effectLst/>
            </c:spPr>
          </c:marker>
          <c:val>
            <c:numRef>
              <c:f>VolumesFuels!$Q$48:$Q$69</c:f>
              <c:numCache>
                <c:formatCode>General</c:formatCode>
                <c:ptCount val="22"/>
                <c:pt idx="0">
                  <c:v>196910000</c:v>
                </c:pt>
                <c:pt idx="1">
                  <c:v>192444000</c:v>
                </c:pt>
                <c:pt idx="2">
                  <c:v>198204560</c:v>
                </c:pt>
                <c:pt idx="3">
                  <c:v>153451586</c:v>
                </c:pt>
                <c:pt idx="4">
                  <c:v>281536651.60000002</c:v>
                </c:pt>
                <c:pt idx="5">
                  <c:v>186829890</c:v>
                </c:pt>
                <c:pt idx="6">
                  <c:v>89546107.200000003</c:v>
                </c:pt>
                <c:pt idx="7">
                  <c:v>118883052.40000001</c:v>
                </c:pt>
                <c:pt idx="8">
                  <c:v>104143570.40000001</c:v>
                </c:pt>
                <c:pt idx="9">
                  <c:v>68079642.519999996</c:v>
                </c:pt>
                <c:pt idx="10">
                  <c:v>75990959.679999992</c:v>
                </c:pt>
                <c:pt idx="11">
                  <c:v>49673520</c:v>
                </c:pt>
                <c:pt idx="12">
                  <c:v>61932400</c:v>
                </c:pt>
                <c:pt idx="13">
                  <c:v>50231480</c:v>
                </c:pt>
                <c:pt idx="14">
                  <c:v>46741040</c:v>
                </c:pt>
                <c:pt idx="15">
                  <c:v>57196120</c:v>
                </c:pt>
                <c:pt idx="16">
                  <c:v>47670965.600000001</c:v>
                </c:pt>
              </c:numCache>
            </c:numRef>
          </c:val>
          <c:smooth val="0"/>
          <c:extLst>
            <c:ext xmlns:c16="http://schemas.microsoft.com/office/drawing/2014/chart" uri="{C3380CC4-5D6E-409C-BE32-E72D297353CC}">
              <c16:uniqueId val="{0000000A-A3C9-4B75-89E1-27A7BA253E9B}"/>
            </c:ext>
          </c:extLst>
        </c:ser>
        <c:ser>
          <c:idx val="12"/>
          <c:order val="11"/>
          <c:tx>
            <c:strRef>
              <c:f>VolumesFuels!$R$1</c:f>
              <c:strCache>
                <c:ptCount val="1"/>
                <c:pt idx="0">
                  <c:v>D3</c:v>
                </c:pt>
              </c:strCache>
            </c:strRef>
          </c:tx>
          <c:spPr>
            <a:ln w="28575" cap="rnd">
              <a:solidFill>
                <a:srgbClr val="CA5CD0"/>
              </a:solidFill>
              <a:round/>
            </a:ln>
            <a:effectLst/>
          </c:spPr>
          <c:marker>
            <c:symbol val="circle"/>
            <c:size val="5"/>
            <c:spPr>
              <a:solidFill>
                <a:schemeClr val="accent1">
                  <a:lumMod val="80000"/>
                  <a:lumOff val="20000"/>
                </a:schemeClr>
              </a:solidFill>
              <a:ln w="9525">
                <a:solidFill>
                  <a:srgbClr val="CA5CD0"/>
                </a:solidFill>
              </a:ln>
              <a:effectLst/>
            </c:spPr>
          </c:marker>
          <c:val>
            <c:numRef>
              <c:f>VolumesFuels!$R$48:$R$69</c:f>
              <c:numCache>
                <c:formatCode>General</c:formatCode>
                <c:ptCount val="22"/>
                <c:pt idx="14">
                  <c:v>849667000</c:v>
                </c:pt>
                <c:pt idx="15">
                  <c:v>1032051000</c:v>
                </c:pt>
                <c:pt idx="16">
                  <c:v>1122094000</c:v>
                </c:pt>
                <c:pt idx="17">
                  <c:v>1206639000</c:v>
                </c:pt>
                <c:pt idx="18">
                  <c:v>1313142000</c:v>
                </c:pt>
                <c:pt idx="19">
                  <c:v>1267314000</c:v>
                </c:pt>
                <c:pt idx="20">
                  <c:v>1313891000</c:v>
                </c:pt>
              </c:numCache>
            </c:numRef>
          </c:val>
          <c:smooth val="0"/>
          <c:extLst>
            <c:ext xmlns:c16="http://schemas.microsoft.com/office/drawing/2014/chart" uri="{C3380CC4-5D6E-409C-BE32-E72D297353CC}">
              <c16:uniqueId val="{0000000B-A3C9-4B75-89E1-27A7BA253E9B}"/>
            </c:ext>
          </c:extLst>
        </c:ser>
        <c:ser>
          <c:idx val="13"/>
          <c:order val="12"/>
          <c:tx>
            <c:strRef>
              <c:f>VolumesFuels!$S$1</c:f>
              <c:strCache>
                <c:ptCount val="1"/>
                <c:pt idx="0">
                  <c:v>E1</c:v>
                </c:pt>
              </c:strCache>
            </c:strRef>
          </c:tx>
          <c:spPr>
            <a:ln w="28575" cap="rnd">
              <a:solidFill>
                <a:schemeClr val="bg2">
                  <a:lumMod val="90000"/>
                </a:schemeClr>
              </a:solidFill>
              <a:round/>
            </a:ln>
            <a:effectLst/>
          </c:spPr>
          <c:marker>
            <c:symbol val="circle"/>
            <c:size val="5"/>
            <c:spPr>
              <a:solidFill>
                <a:schemeClr val="accent2">
                  <a:lumMod val="80000"/>
                  <a:lumOff val="20000"/>
                </a:schemeClr>
              </a:solidFill>
              <a:ln w="9525">
                <a:solidFill>
                  <a:schemeClr val="bg2">
                    <a:lumMod val="90000"/>
                  </a:schemeClr>
                </a:solidFill>
              </a:ln>
              <a:effectLst/>
            </c:spPr>
          </c:marker>
          <c:val>
            <c:numRef>
              <c:f>VolumesFuels!$S$48:$S$69</c:f>
              <c:numCache>
                <c:formatCode>General</c:formatCode>
                <c:ptCount val="22"/>
                <c:pt idx="4">
                  <c:v>157212929.03225806</c:v>
                </c:pt>
                <c:pt idx="14">
                  <c:v>275092907</c:v>
                </c:pt>
                <c:pt idx="15">
                  <c:v>316737370</c:v>
                </c:pt>
                <c:pt idx="16">
                  <c:v>367256905</c:v>
                </c:pt>
                <c:pt idx="17">
                  <c:v>305396000</c:v>
                </c:pt>
                <c:pt idx="18">
                  <c:v>352975000</c:v>
                </c:pt>
                <c:pt idx="19">
                  <c:v>355021000</c:v>
                </c:pt>
                <c:pt idx="20">
                  <c:v>426074000</c:v>
                </c:pt>
                <c:pt idx="21">
                  <c:v>0</c:v>
                </c:pt>
              </c:numCache>
            </c:numRef>
          </c:val>
          <c:smooth val="0"/>
          <c:extLst>
            <c:ext xmlns:c16="http://schemas.microsoft.com/office/drawing/2014/chart" uri="{C3380CC4-5D6E-409C-BE32-E72D297353CC}">
              <c16:uniqueId val="{0000000C-A3C9-4B75-89E1-27A7BA253E9B}"/>
            </c:ext>
          </c:extLst>
        </c:ser>
        <c:ser>
          <c:idx val="14"/>
          <c:order val="13"/>
          <c:tx>
            <c:strRef>
              <c:f>VolumesFuels!$T$1</c:f>
              <c:strCache>
                <c:ptCount val="1"/>
                <c:pt idx="0">
                  <c:v>E2</c:v>
                </c:pt>
              </c:strCache>
            </c:strRef>
          </c:tx>
          <c:spPr>
            <a:ln w="28575" cap="rnd">
              <a:solidFill>
                <a:schemeClr val="bg2">
                  <a:lumMod val="90000"/>
                </a:schemeClr>
              </a:solidFill>
              <a:round/>
            </a:ln>
            <a:effectLst/>
          </c:spPr>
          <c:marker>
            <c:symbol val="circle"/>
            <c:size val="5"/>
            <c:spPr>
              <a:solidFill>
                <a:schemeClr val="accent3">
                  <a:lumMod val="80000"/>
                  <a:lumOff val="20000"/>
                </a:schemeClr>
              </a:solidFill>
              <a:ln w="9525">
                <a:solidFill>
                  <a:schemeClr val="bg2">
                    <a:lumMod val="90000"/>
                  </a:schemeClr>
                </a:solidFill>
              </a:ln>
              <a:effectLst/>
            </c:spPr>
          </c:marker>
          <c:val>
            <c:numRef>
              <c:f>VolumesFuels!$T$48:$T$69</c:f>
              <c:numCache>
                <c:formatCode>General</c:formatCode>
                <c:ptCount val="22"/>
                <c:pt idx="0">
                  <c:v>177435536</c:v>
                </c:pt>
                <c:pt idx="1">
                  <c:v>190045168</c:v>
                </c:pt>
                <c:pt idx="2">
                  <c:v>198222756</c:v>
                </c:pt>
                <c:pt idx="3">
                  <c:v>194215847.72000003</c:v>
                </c:pt>
                <c:pt idx="4">
                  <c:v>185302880.92000002</c:v>
                </c:pt>
                <c:pt idx="5">
                  <c:v>187377154.39999998</c:v>
                </c:pt>
                <c:pt idx="6">
                  <c:v>185764126.54000002</c:v>
                </c:pt>
                <c:pt idx="7">
                  <c:v>183950887.81999999</c:v>
                </c:pt>
                <c:pt idx="8">
                  <c:v>204188715.60000002</c:v>
                </c:pt>
                <c:pt idx="9">
                  <c:v>210995648.68399999</c:v>
                </c:pt>
                <c:pt idx="10">
                  <c:v>216489559.89999998</c:v>
                </c:pt>
                <c:pt idx="11">
                  <c:v>223855293</c:v>
                </c:pt>
                <c:pt idx="12">
                  <c:v>252896989</c:v>
                </c:pt>
                <c:pt idx="13">
                  <c:v>243619628</c:v>
                </c:pt>
                <c:pt idx="14">
                  <c:v>275092907</c:v>
                </c:pt>
                <c:pt idx="15">
                  <c:v>316737370</c:v>
                </c:pt>
                <c:pt idx="16">
                  <c:v>367256905</c:v>
                </c:pt>
              </c:numCache>
            </c:numRef>
          </c:val>
          <c:smooth val="0"/>
          <c:extLst>
            <c:ext xmlns:c16="http://schemas.microsoft.com/office/drawing/2014/chart" uri="{C3380CC4-5D6E-409C-BE32-E72D297353CC}">
              <c16:uniqueId val="{0000000D-A3C9-4B75-89E1-27A7BA253E9B}"/>
            </c:ext>
          </c:extLst>
        </c:ser>
        <c:ser>
          <c:idx val="15"/>
          <c:order val="14"/>
          <c:tx>
            <c:strRef>
              <c:f>VolumesFuels!$U$1</c:f>
              <c:strCache>
                <c:ptCount val="1"/>
              </c:strCache>
            </c:strRef>
          </c:tx>
          <c:spPr>
            <a:ln w="28575" cap="rnd">
              <a:solidFill>
                <a:schemeClr val="accent4">
                  <a:lumMod val="80000"/>
                  <a:lumOff val="20000"/>
                </a:schemeClr>
              </a:solidFill>
              <a:round/>
            </a:ln>
            <a:effectLst/>
          </c:spPr>
          <c:marker>
            <c:symbol val="circle"/>
            <c:size val="5"/>
            <c:spPr>
              <a:solidFill>
                <a:schemeClr val="accent4">
                  <a:lumMod val="80000"/>
                  <a:lumOff val="20000"/>
                </a:schemeClr>
              </a:solidFill>
              <a:ln w="9525">
                <a:solidFill>
                  <a:schemeClr val="accent4">
                    <a:lumMod val="80000"/>
                    <a:lumOff val="20000"/>
                  </a:schemeClr>
                </a:solidFill>
              </a:ln>
              <a:effectLst/>
            </c:spPr>
          </c:marker>
          <c:val>
            <c:numRef>
              <c:f>VolumesFuels!$U$48:$U$69</c:f>
              <c:numCache>
                <c:formatCode>General</c:formatCode>
                <c:ptCount val="22"/>
                <c:pt idx="0">
                  <c:v>129232</c:v>
                </c:pt>
                <c:pt idx="1">
                  <c:v>138416</c:v>
                </c:pt>
                <c:pt idx="2">
                  <c:v>144372</c:v>
                </c:pt>
                <c:pt idx="3">
                  <c:v>141453.64000000001</c:v>
                </c:pt>
                <c:pt idx="4">
                  <c:v>134962.04</c:v>
                </c:pt>
                <c:pt idx="5">
                  <c:v>136472.79999999999</c:v>
                </c:pt>
                <c:pt idx="6">
                  <c:v>135297.98000000001</c:v>
                </c:pt>
                <c:pt idx="7">
                  <c:v>133977.34</c:v>
                </c:pt>
                <c:pt idx="8">
                  <c:v>148717.20000000001</c:v>
                </c:pt>
                <c:pt idx="9">
                  <c:v>153674.908</c:v>
                </c:pt>
                <c:pt idx="10">
                  <c:v>157676.29999999999</c:v>
                </c:pt>
                <c:pt idx="11">
                  <c:v>163041</c:v>
                </c:pt>
                <c:pt idx="12">
                  <c:v>184193</c:v>
                </c:pt>
                <c:pt idx="13">
                  <c:v>177436</c:v>
                </c:pt>
                <c:pt idx="14">
                  <c:v>200359</c:v>
                </c:pt>
                <c:pt idx="15">
                  <c:v>230690</c:v>
                </c:pt>
                <c:pt idx="16">
                  <c:v>267485</c:v>
                </c:pt>
              </c:numCache>
            </c:numRef>
          </c:val>
          <c:smooth val="0"/>
          <c:extLst>
            <c:ext xmlns:c16="http://schemas.microsoft.com/office/drawing/2014/chart" uri="{C3380CC4-5D6E-409C-BE32-E72D297353CC}">
              <c16:uniqueId val="{0000000E-A3C9-4B75-89E1-27A7BA253E9B}"/>
            </c:ext>
          </c:extLst>
        </c:ser>
        <c:ser>
          <c:idx val="16"/>
          <c:order val="15"/>
          <c:tx>
            <c:strRef>
              <c:f>VolumesFuels!$V$1</c:f>
              <c:strCache>
                <c:ptCount val="1"/>
                <c:pt idx="0">
                  <c:v>EP1</c:v>
                </c:pt>
              </c:strCache>
            </c:strRef>
          </c:tx>
          <c:spPr>
            <a:ln w="28575" cap="rnd">
              <a:solidFill>
                <a:schemeClr val="accent5">
                  <a:lumMod val="80000"/>
                  <a:lumOff val="20000"/>
                </a:schemeClr>
              </a:solidFill>
              <a:round/>
            </a:ln>
            <a:effectLst/>
          </c:spPr>
          <c:marker>
            <c:symbol val="circle"/>
            <c:size val="5"/>
            <c:spPr>
              <a:solidFill>
                <a:schemeClr val="accent5">
                  <a:lumMod val="80000"/>
                  <a:lumOff val="20000"/>
                </a:schemeClr>
              </a:solidFill>
              <a:ln w="9525">
                <a:solidFill>
                  <a:schemeClr val="accent5">
                    <a:lumMod val="80000"/>
                    <a:lumOff val="20000"/>
                  </a:schemeClr>
                </a:solidFill>
              </a:ln>
              <a:effectLst/>
            </c:spPr>
          </c:marker>
          <c:val>
            <c:numRef>
              <c:f>VolumesFuels!$V$48:$V$69</c:f>
              <c:numCache>
                <c:formatCode>General</c:formatCode>
                <c:ptCount val="22"/>
                <c:pt idx="14">
                  <c:v>73902907</c:v>
                </c:pt>
                <c:pt idx="15">
                  <c:v>85927370</c:v>
                </c:pt>
                <c:pt idx="16">
                  <c:v>98053905</c:v>
                </c:pt>
              </c:numCache>
            </c:numRef>
          </c:val>
          <c:smooth val="0"/>
          <c:extLst>
            <c:ext xmlns:c16="http://schemas.microsoft.com/office/drawing/2014/chart" uri="{C3380CC4-5D6E-409C-BE32-E72D297353CC}">
              <c16:uniqueId val="{0000000F-A3C9-4B75-89E1-27A7BA253E9B}"/>
            </c:ext>
          </c:extLst>
        </c:ser>
        <c:ser>
          <c:idx val="18"/>
          <c:order val="16"/>
          <c:tx>
            <c:strRef>
              <c:f>VolumesFuels!$X$1</c:f>
              <c:strCache>
                <c:ptCount val="1"/>
              </c:strCache>
            </c:strRef>
          </c:tx>
          <c:spPr>
            <a:ln w="28575" cap="rnd">
              <a:solidFill>
                <a:schemeClr val="accent1">
                  <a:lumMod val="80000"/>
                </a:schemeClr>
              </a:solidFill>
              <a:round/>
            </a:ln>
            <a:effectLst/>
          </c:spPr>
          <c:marker>
            <c:symbol val="circle"/>
            <c:size val="5"/>
            <c:spPr>
              <a:solidFill>
                <a:schemeClr val="accent1">
                  <a:lumMod val="80000"/>
                </a:schemeClr>
              </a:solidFill>
              <a:ln w="9525">
                <a:solidFill>
                  <a:schemeClr val="accent1">
                    <a:lumMod val="80000"/>
                  </a:schemeClr>
                </a:solidFill>
              </a:ln>
              <a:effectLst/>
            </c:spPr>
          </c:marker>
          <c:val>
            <c:numRef>
              <c:f>VolumesFuels!$X$48:$X$69</c:f>
              <c:numCache>
                <c:formatCode>General</c:formatCode>
                <c:ptCount val="22"/>
                <c:pt idx="21">
                  <c:v>88745.430000000008</c:v>
                </c:pt>
              </c:numCache>
            </c:numRef>
          </c:val>
          <c:smooth val="0"/>
          <c:extLst>
            <c:ext xmlns:c16="http://schemas.microsoft.com/office/drawing/2014/chart" uri="{C3380CC4-5D6E-409C-BE32-E72D297353CC}">
              <c16:uniqueId val="{00000010-A3C9-4B75-89E1-27A7BA253E9B}"/>
            </c:ext>
          </c:extLst>
        </c:ser>
        <c:ser>
          <c:idx val="19"/>
          <c:order val="17"/>
          <c:tx>
            <c:strRef>
              <c:f>VolumesFuels!$Y$1</c:f>
              <c:strCache>
                <c:ptCount val="1"/>
                <c:pt idx="0">
                  <c:v>EO1</c:v>
                </c:pt>
              </c:strCache>
            </c:strRef>
          </c:tx>
          <c:spPr>
            <a:ln w="28575" cap="rnd">
              <a:solidFill>
                <a:srgbClr val="90ECA6"/>
              </a:solidFill>
              <a:round/>
            </a:ln>
            <a:effectLst/>
          </c:spPr>
          <c:marker>
            <c:symbol val="circle"/>
            <c:size val="5"/>
            <c:spPr>
              <a:solidFill>
                <a:schemeClr val="accent2">
                  <a:lumMod val="80000"/>
                </a:schemeClr>
              </a:solidFill>
              <a:ln w="9525">
                <a:solidFill>
                  <a:srgbClr val="90ECA6"/>
                </a:solidFill>
              </a:ln>
              <a:effectLst/>
            </c:spPr>
          </c:marker>
          <c:val>
            <c:numRef>
              <c:f>VolumesFuels!$Y$48:$Y$69</c:f>
              <c:numCache>
                <c:formatCode>General</c:formatCode>
                <c:ptCount val="22"/>
                <c:pt idx="14">
                  <c:v>57739000</c:v>
                </c:pt>
                <c:pt idx="15">
                  <c:v>63198000</c:v>
                </c:pt>
                <c:pt idx="16">
                  <c:v>71046000</c:v>
                </c:pt>
                <c:pt idx="17">
                  <c:v>68536000</c:v>
                </c:pt>
                <c:pt idx="18">
                  <c:v>78668000</c:v>
                </c:pt>
                <c:pt idx="19">
                  <c:v>79930000</c:v>
                </c:pt>
                <c:pt idx="20">
                  <c:v>81627000</c:v>
                </c:pt>
                <c:pt idx="21">
                  <c:v>0</c:v>
                </c:pt>
              </c:numCache>
            </c:numRef>
          </c:val>
          <c:smooth val="0"/>
          <c:extLst>
            <c:ext xmlns:c16="http://schemas.microsoft.com/office/drawing/2014/chart" uri="{C3380CC4-5D6E-409C-BE32-E72D297353CC}">
              <c16:uniqueId val="{00000011-A3C9-4B75-89E1-27A7BA253E9B}"/>
            </c:ext>
          </c:extLst>
        </c:ser>
        <c:ser>
          <c:idx val="20"/>
          <c:order val="18"/>
          <c:tx>
            <c:strRef>
              <c:f>VolumesFuels!$Z$1</c:f>
              <c:strCache>
                <c:ptCount val="1"/>
                <c:pt idx="0">
                  <c:v>SC1</c:v>
                </c:pt>
              </c:strCache>
            </c:strRef>
          </c:tx>
          <c:spPr>
            <a:ln w="28575" cap="rnd">
              <a:solidFill>
                <a:srgbClr val="B7EE8E"/>
              </a:solidFill>
              <a:round/>
            </a:ln>
            <a:effectLst/>
          </c:spPr>
          <c:marker>
            <c:symbol val="circle"/>
            <c:size val="5"/>
            <c:spPr>
              <a:solidFill>
                <a:schemeClr val="accent3">
                  <a:lumMod val="80000"/>
                </a:schemeClr>
              </a:solidFill>
              <a:ln w="9525">
                <a:solidFill>
                  <a:srgbClr val="B7EE8E"/>
                </a:solidFill>
              </a:ln>
              <a:effectLst/>
            </c:spPr>
          </c:marker>
          <c:val>
            <c:numRef>
              <c:f>VolumesFuels!$Z$48:$Z$69</c:f>
              <c:numCache>
                <c:formatCode>General</c:formatCode>
                <c:ptCount val="22"/>
                <c:pt idx="14">
                  <c:v>143451000</c:v>
                </c:pt>
                <c:pt idx="15">
                  <c:v>167612000</c:v>
                </c:pt>
                <c:pt idx="16">
                  <c:v>198157000</c:v>
                </c:pt>
                <c:pt idx="17">
                  <c:v>236860000</c:v>
                </c:pt>
                <c:pt idx="18">
                  <c:v>274307000</c:v>
                </c:pt>
                <c:pt idx="19">
                  <c:v>275091000</c:v>
                </c:pt>
                <c:pt idx="20">
                  <c:v>344447000</c:v>
                </c:pt>
              </c:numCache>
            </c:numRef>
          </c:val>
          <c:smooth val="0"/>
          <c:extLst>
            <c:ext xmlns:c16="http://schemas.microsoft.com/office/drawing/2014/chart" uri="{C3380CC4-5D6E-409C-BE32-E72D297353CC}">
              <c16:uniqueId val="{00000012-A3C9-4B75-89E1-27A7BA253E9B}"/>
            </c:ext>
          </c:extLst>
        </c:ser>
        <c:ser>
          <c:idx val="21"/>
          <c:order val="19"/>
          <c:tx>
            <c:strRef>
              <c:f>VolumesFuels!$AA$1</c:f>
              <c:strCache>
                <c:ptCount val="1"/>
                <c:pt idx="0">
                  <c:v>SC2</c:v>
                </c:pt>
              </c:strCache>
            </c:strRef>
          </c:tx>
          <c:spPr>
            <a:ln w="28575" cap="rnd">
              <a:solidFill>
                <a:srgbClr val="B7EE8E"/>
              </a:solidFill>
              <a:round/>
            </a:ln>
            <a:effectLst/>
          </c:spPr>
          <c:marker>
            <c:symbol val="circle"/>
            <c:size val="5"/>
            <c:spPr>
              <a:solidFill>
                <a:srgbClr val="B7EE8E"/>
              </a:solidFill>
              <a:ln w="9525">
                <a:solidFill>
                  <a:srgbClr val="B7EE8E"/>
                </a:solidFill>
              </a:ln>
              <a:effectLst/>
            </c:spPr>
          </c:marker>
          <c:val>
            <c:numRef>
              <c:f>VolumesFuels!$AA$48:$AA$69</c:f>
              <c:numCache>
                <c:formatCode>General</c:formatCode>
                <c:ptCount val="22"/>
                <c:pt idx="21">
                  <c:v>402404903.00000006</c:v>
                </c:pt>
              </c:numCache>
            </c:numRef>
          </c:val>
          <c:smooth val="0"/>
          <c:extLst>
            <c:ext xmlns:c16="http://schemas.microsoft.com/office/drawing/2014/chart" uri="{C3380CC4-5D6E-409C-BE32-E72D297353CC}">
              <c16:uniqueId val="{00000013-A3C9-4B75-89E1-27A7BA253E9B}"/>
            </c:ext>
          </c:extLst>
        </c:ser>
        <c:ser>
          <c:idx val="22"/>
          <c:order val="20"/>
          <c:tx>
            <c:strRef>
              <c:f>VolumesFuels!$AB$1</c:f>
              <c:strCache>
                <c:ptCount val="1"/>
              </c:strCache>
            </c:strRef>
          </c:tx>
          <c:spPr>
            <a:ln w="28575" cap="rnd">
              <a:solidFill>
                <a:schemeClr val="accent5">
                  <a:lumMod val="80000"/>
                </a:schemeClr>
              </a:solidFill>
              <a:round/>
            </a:ln>
            <a:effectLst/>
          </c:spPr>
          <c:marker>
            <c:symbol val="circle"/>
            <c:size val="5"/>
            <c:spPr>
              <a:solidFill>
                <a:schemeClr val="accent5">
                  <a:lumMod val="80000"/>
                </a:schemeClr>
              </a:solidFill>
              <a:ln w="9525">
                <a:solidFill>
                  <a:schemeClr val="accent5">
                    <a:lumMod val="80000"/>
                  </a:schemeClr>
                </a:solidFill>
              </a:ln>
              <a:effectLst/>
            </c:spPr>
          </c:marker>
          <c:val>
            <c:numRef>
              <c:f>VolumesFuels!$AB$48:$AB$69</c:f>
              <c:numCache>
                <c:formatCode>General</c:formatCode>
                <c:ptCount val="22"/>
                <c:pt idx="21">
                  <c:v>402404.90300000005</c:v>
                </c:pt>
              </c:numCache>
            </c:numRef>
          </c:val>
          <c:smooth val="0"/>
          <c:extLst>
            <c:ext xmlns:c16="http://schemas.microsoft.com/office/drawing/2014/chart" uri="{C3380CC4-5D6E-409C-BE32-E72D297353CC}">
              <c16:uniqueId val="{00000014-A3C9-4B75-89E1-27A7BA253E9B}"/>
            </c:ext>
          </c:extLst>
        </c:ser>
        <c:ser>
          <c:idx val="23"/>
          <c:order val="21"/>
          <c:tx>
            <c:strRef>
              <c:f>VolumesFuels!$AC$1</c:f>
              <c:strCache>
                <c:ptCount val="1"/>
                <c:pt idx="0">
                  <c:v>FO1</c:v>
                </c:pt>
              </c:strCache>
            </c:strRef>
          </c:tx>
          <c:spPr>
            <a:ln w="28575" cap="rnd">
              <a:solidFill>
                <a:srgbClr val="4E3E30"/>
              </a:solidFill>
              <a:round/>
            </a:ln>
            <a:effectLst/>
          </c:spPr>
          <c:marker>
            <c:symbol val="circle"/>
            <c:size val="5"/>
            <c:spPr>
              <a:solidFill>
                <a:schemeClr val="accent6">
                  <a:lumMod val="80000"/>
                </a:schemeClr>
              </a:solidFill>
              <a:ln w="9525">
                <a:solidFill>
                  <a:srgbClr val="4E3E30"/>
                </a:solidFill>
              </a:ln>
              <a:effectLst/>
            </c:spPr>
          </c:marker>
          <c:val>
            <c:numRef>
              <c:f>VolumesFuels!$AC$48:$AC$69</c:f>
              <c:numCache>
                <c:formatCode>General</c:formatCode>
                <c:ptCount val="22"/>
                <c:pt idx="0">
                  <c:v>407046000</c:v>
                </c:pt>
                <c:pt idx="1">
                  <c:v>419223000</c:v>
                </c:pt>
                <c:pt idx="2">
                  <c:v>393535000</c:v>
                </c:pt>
                <c:pt idx="3">
                  <c:v>453775130</c:v>
                </c:pt>
                <c:pt idx="4">
                  <c:v>474786660</c:v>
                </c:pt>
                <c:pt idx="5">
                  <c:v>391701910</c:v>
                </c:pt>
                <c:pt idx="6">
                  <c:v>465649280</c:v>
                </c:pt>
                <c:pt idx="7">
                  <c:v>475449480</c:v>
                </c:pt>
                <c:pt idx="8">
                  <c:v>568442700</c:v>
                </c:pt>
                <c:pt idx="9">
                  <c:v>582382381</c:v>
                </c:pt>
                <c:pt idx="10">
                  <c:v>506714149</c:v>
                </c:pt>
                <c:pt idx="11">
                  <c:v>518603000</c:v>
                </c:pt>
                <c:pt idx="12">
                  <c:v>596465000</c:v>
                </c:pt>
                <c:pt idx="13">
                  <c:v>668565000</c:v>
                </c:pt>
                <c:pt idx="14">
                  <c:v>736729000</c:v>
                </c:pt>
                <c:pt idx="15">
                  <c:v>787328000</c:v>
                </c:pt>
                <c:pt idx="16">
                  <c:v>744307611</c:v>
                </c:pt>
              </c:numCache>
            </c:numRef>
          </c:val>
          <c:smooth val="0"/>
          <c:extLst>
            <c:ext xmlns:c16="http://schemas.microsoft.com/office/drawing/2014/chart" uri="{C3380CC4-5D6E-409C-BE32-E72D297353CC}">
              <c16:uniqueId val="{00000015-A3C9-4B75-89E1-27A7BA253E9B}"/>
            </c:ext>
          </c:extLst>
        </c:ser>
        <c:ser>
          <c:idx val="24"/>
          <c:order val="22"/>
          <c:tx>
            <c:strRef>
              <c:f>VolumesFuels!$AD$1</c:f>
              <c:strCache>
                <c:ptCount val="1"/>
              </c:strCache>
            </c:strRef>
          </c:tx>
          <c:spPr>
            <a:ln w="28575" cap="rnd">
              <a:solidFill>
                <a:schemeClr val="accent1">
                  <a:lumMod val="60000"/>
                  <a:lumOff val="40000"/>
                </a:schemeClr>
              </a:solidFill>
              <a:round/>
            </a:ln>
            <a:effectLst/>
          </c:spPr>
          <c:marker>
            <c:symbol val="circle"/>
            <c:size val="5"/>
            <c:spPr>
              <a:solidFill>
                <a:schemeClr val="accent1">
                  <a:lumMod val="60000"/>
                  <a:lumOff val="40000"/>
                </a:schemeClr>
              </a:solidFill>
              <a:ln w="9525">
                <a:solidFill>
                  <a:schemeClr val="accent1">
                    <a:lumMod val="60000"/>
                    <a:lumOff val="40000"/>
                  </a:schemeClr>
                </a:solidFill>
              </a:ln>
              <a:effectLst/>
            </c:spPr>
          </c:marker>
          <c:val>
            <c:numRef>
              <c:f>VolumesFuels!$AD$48:$AD$69</c:f>
            </c:numRef>
          </c:val>
          <c:smooth val="0"/>
          <c:extLst>
            <c:ext xmlns:c16="http://schemas.microsoft.com/office/drawing/2014/chart" uri="{C3380CC4-5D6E-409C-BE32-E72D297353CC}">
              <c16:uniqueId val="{00000016-A3C9-4B75-89E1-27A7BA253E9B}"/>
            </c:ext>
          </c:extLst>
        </c:ser>
        <c:ser>
          <c:idx val="25"/>
          <c:order val="23"/>
          <c:tx>
            <c:strRef>
              <c:f>VolumesFuels!$AE$1</c:f>
              <c:strCache>
                <c:ptCount val="1"/>
                <c:pt idx="0">
                  <c:v>FO2</c:v>
                </c:pt>
              </c:strCache>
            </c:strRef>
          </c:tx>
          <c:spPr>
            <a:ln w="28575" cap="rnd">
              <a:solidFill>
                <a:srgbClr val="4E3E30"/>
              </a:solidFill>
              <a:round/>
            </a:ln>
            <a:effectLst/>
          </c:spPr>
          <c:marker>
            <c:symbol val="circle"/>
            <c:size val="5"/>
            <c:spPr>
              <a:solidFill>
                <a:schemeClr val="accent2">
                  <a:lumMod val="60000"/>
                  <a:lumOff val="40000"/>
                </a:schemeClr>
              </a:solidFill>
              <a:ln w="9525">
                <a:solidFill>
                  <a:srgbClr val="4E3E30"/>
                </a:solidFill>
              </a:ln>
              <a:effectLst/>
            </c:spPr>
          </c:marker>
          <c:val>
            <c:numRef>
              <c:f>VolumesFuels!$AE$48:$AE$69</c:f>
              <c:numCache>
                <c:formatCode>General</c:formatCode>
                <c:ptCount val="22"/>
                <c:pt idx="14">
                  <c:v>119569000</c:v>
                </c:pt>
                <c:pt idx="15">
                  <c:v>109130000</c:v>
                </c:pt>
                <c:pt idx="16">
                  <c:v>99883000</c:v>
                </c:pt>
                <c:pt idx="17">
                  <c:v>112894000</c:v>
                </c:pt>
                <c:pt idx="18">
                  <c:v>112890000</c:v>
                </c:pt>
                <c:pt idx="19">
                  <c:v>110955000</c:v>
                </c:pt>
                <c:pt idx="20">
                  <c:v>107460000</c:v>
                </c:pt>
              </c:numCache>
            </c:numRef>
          </c:val>
          <c:smooth val="0"/>
          <c:extLst>
            <c:ext xmlns:c16="http://schemas.microsoft.com/office/drawing/2014/chart" uri="{C3380CC4-5D6E-409C-BE32-E72D297353CC}">
              <c16:uniqueId val="{00000017-A3C9-4B75-89E1-27A7BA253E9B}"/>
            </c:ext>
          </c:extLst>
        </c:ser>
        <c:ser>
          <c:idx val="26"/>
          <c:order val="24"/>
          <c:tx>
            <c:strRef>
              <c:f>VolumesFuels!$AF$1</c:f>
              <c:strCache>
                <c:ptCount val="1"/>
                <c:pt idx="0">
                  <c:v>FO3</c:v>
                </c:pt>
              </c:strCache>
            </c:strRef>
          </c:tx>
          <c:spPr>
            <a:ln w="28575" cap="rnd">
              <a:solidFill>
                <a:srgbClr val="4E3E30"/>
              </a:solidFill>
              <a:round/>
            </a:ln>
            <a:effectLst/>
          </c:spPr>
          <c:marker>
            <c:symbol val="circle"/>
            <c:size val="5"/>
            <c:spPr>
              <a:solidFill>
                <a:srgbClr val="96785C"/>
              </a:solidFill>
              <a:ln w="9525">
                <a:solidFill>
                  <a:srgbClr val="4E3E30"/>
                </a:solidFill>
              </a:ln>
              <a:effectLst/>
            </c:spPr>
          </c:marker>
          <c:val>
            <c:numRef>
              <c:f>VolumesFuels!$AF$48:$AF$69</c:f>
              <c:numCache>
                <c:formatCode>General</c:formatCode>
                <c:ptCount val="22"/>
                <c:pt idx="21">
                  <c:v>418041480.48000002</c:v>
                </c:pt>
              </c:numCache>
            </c:numRef>
          </c:val>
          <c:smooth val="0"/>
          <c:extLst>
            <c:ext xmlns:c16="http://schemas.microsoft.com/office/drawing/2014/chart" uri="{C3380CC4-5D6E-409C-BE32-E72D297353CC}">
              <c16:uniqueId val="{00000018-A3C9-4B75-89E1-27A7BA253E9B}"/>
            </c:ext>
          </c:extLst>
        </c:ser>
        <c:ser>
          <c:idx val="27"/>
          <c:order val="25"/>
          <c:tx>
            <c:strRef>
              <c:f>VolumesFuels!$AG$1</c:f>
              <c:strCache>
                <c:ptCount val="1"/>
                <c:pt idx="0">
                  <c:v>FO4</c:v>
                </c:pt>
              </c:strCache>
            </c:strRef>
          </c:tx>
          <c:spPr>
            <a:ln w="28575" cap="rnd">
              <a:solidFill>
                <a:srgbClr val="4E3E30"/>
              </a:solidFill>
              <a:round/>
            </a:ln>
            <a:effectLst/>
          </c:spPr>
          <c:marker>
            <c:symbol val="circle"/>
            <c:size val="5"/>
            <c:spPr>
              <a:solidFill>
                <a:srgbClr val="4E3E30"/>
              </a:solidFill>
              <a:ln w="9525">
                <a:solidFill>
                  <a:srgbClr val="4E3E30"/>
                </a:solidFill>
              </a:ln>
              <a:effectLst/>
            </c:spPr>
          </c:marker>
          <c:val>
            <c:numRef>
              <c:f>VolumesFuels!$AG$48:$AG$69</c:f>
              <c:numCache>
                <c:formatCode>General</c:formatCode>
                <c:ptCount val="22"/>
                <c:pt idx="21">
                  <c:v>932419325.48000002</c:v>
                </c:pt>
              </c:numCache>
            </c:numRef>
          </c:val>
          <c:smooth val="0"/>
          <c:extLst>
            <c:ext xmlns:c16="http://schemas.microsoft.com/office/drawing/2014/chart" uri="{C3380CC4-5D6E-409C-BE32-E72D297353CC}">
              <c16:uniqueId val="{00000019-A3C9-4B75-89E1-27A7BA253E9B}"/>
            </c:ext>
          </c:extLst>
        </c:ser>
        <c:dLbls>
          <c:showLegendKey val="0"/>
          <c:showVal val="0"/>
          <c:showCatName val="0"/>
          <c:showSerName val="0"/>
          <c:showPercent val="0"/>
          <c:showBubbleSize val="0"/>
        </c:dLbls>
        <c:marker val="1"/>
        <c:smooth val="0"/>
        <c:axId val="92326528"/>
        <c:axId val="92325696"/>
      </c:lineChart>
      <c:catAx>
        <c:axId val="92326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5696"/>
        <c:crosses val="autoZero"/>
        <c:auto val="1"/>
        <c:lblAlgn val="ctr"/>
        <c:lblOffset val="100"/>
        <c:noMultiLvlLbl val="0"/>
      </c:catAx>
      <c:valAx>
        <c:axId val="92325696"/>
        <c:scaling>
          <c:orientation val="minMax"/>
          <c:max val="1600000000"/>
          <c:min val="100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326528"/>
        <c:crosses val="autoZero"/>
        <c:crossBetween val="between"/>
      </c:valAx>
      <c:spPr>
        <a:noFill/>
        <a:ln>
          <a:noFill/>
        </a:ln>
        <a:effectLst/>
      </c:spPr>
    </c:plotArea>
    <c:legend>
      <c:legendPos val="b"/>
      <c:layout>
        <c:manualLayout>
          <c:xMode val="edge"/>
          <c:yMode val="edge"/>
          <c:x val="9.283861112184752E-2"/>
          <c:y val="5.2242134302221889E-2"/>
          <c:w val="0.73080682081722081"/>
          <c:h val="3.6862049138046846E-2"/>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FuelBaskets!$C$3</c:f>
          <c:strCache>
            <c:ptCount val="1"/>
            <c:pt idx="0">
              <c:v>PETROLE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FuelBaskets!$C$4</c:f>
              <c:strCache>
                <c:ptCount val="1"/>
                <c:pt idx="0">
                  <c:v>Réseau</c:v>
                </c:pt>
              </c:strCache>
            </c:strRef>
          </c:tx>
          <c:spPr>
            <a:solidFill>
              <a:schemeClr val="accent1"/>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FuelBaskets!$C$13:$C$24</c:f>
              <c:numCache>
                <c:formatCode>General</c:formatCode>
                <c:ptCount val="12"/>
                <c:pt idx="0">
                  <c:v>146</c:v>
                </c:pt>
                <c:pt idx="1">
                  <c:v>159</c:v>
                </c:pt>
                <c:pt idx="2">
                  <c:v>165</c:v>
                </c:pt>
                <c:pt idx="3">
                  <c:v>117</c:v>
                </c:pt>
                <c:pt idx="4">
                  <c:v>200</c:v>
                </c:pt>
                <c:pt idx="5">
                  <c:v>131</c:v>
                </c:pt>
                <c:pt idx="6">
                  <c:v>140</c:v>
                </c:pt>
                <c:pt idx="7">
                  <c:v>167</c:v>
                </c:pt>
                <c:pt idx="8">
                  <c:v>141</c:v>
                </c:pt>
                <c:pt idx="9">
                  <c:v>210</c:v>
                </c:pt>
                <c:pt idx="10">
                  <c:v>297</c:v>
                </c:pt>
                <c:pt idx="11">
                  <c:v>148</c:v>
                </c:pt>
              </c:numCache>
            </c:numRef>
          </c:val>
          <c:extLst>
            <c:ext xmlns:c16="http://schemas.microsoft.com/office/drawing/2014/chart" uri="{C3380CC4-5D6E-409C-BE32-E72D297353CC}">
              <c16:uniqueId val="{00000000-F927-4BB3-B465-F88028364395}"/>
            </c:ext>
          </c:extLst>
        </c:ser>
        <c:ser>
          <c:idx val="1"/>
          <c:order val="1"/>
          <c:tx>
            <c:strRef>
              <c:f>FuelBaskets!$D$4</c:f>
              <c:strCache>
                <c:ptCount val="1"/>
                <c:pt idx="0">
                  <c:v>Cons.</c:v>
                </c:pt>
              </c:strCache>
            </c:strRef>
          </c:tx>
          <c:spPr>
            <a:solidFill>
              <a:schemeClr val="accent2"/>
            </a:solidFill>
            <a:ln>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FuelBaskets!$D$13:$D$24</c:f>
              <c:numCache>
                <c:formatCode>General</c:formatCode>
                <c:ptCount val="12"/>
                <c:pt idx="0">
                  <c:v>384</c:v>
                </c:pt>
                <c:pt idx="1">
                  <c:v>243</c:v>
                </c:pt>
                <c:pt idx="2">
                  <c:v>322</c:v>
                </c:pt>
                <c:pt idx="3">
                  <c:v>61</c:v>
                </c:pt>
                <c:pt idx="4">
                  <c:v>330</c:v>
                </c:pt>
                <c:pt idx="5">
                  <c:v>232</c:v>
                </c:pt>
                <c:pt idx="6">
                  <c:v>237</c:v>
                </c:pt>
                <c:pt idx="7">
                  <c:v>174</c:v>
                </c:pt>
                <c:pt idx="8">
                  <c:v>108</c:v>
                </c:pt>
                <c:pt idx="9">
                  <c:v>271</c:v>
                </c:pt>
                <c:pt idx="10">
                  <c:v>270</c:v>
                </c:pt>
                <c:pt idx="11">
                  <c:v>108</c:v>
                </c:pt>
              </c:numCache>
            </c:numRef>
          </c:val>
          <c:extLst>
            <c:ext xmlns:c16="http://schemas.microsoft.com/office/drawing/2014/chart" uri="{C3380CC4-5D6E-409C-BE32-E72D297353CC}">
              <c16:uniqueId val="{00000001-F927-4BB3-B465-F88028364395}"/>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FuelBaskets!$F$3</c:f>
          <c:strCache>
            <c:ptCount val="1"/>
            <c:pt idx="0">
              <c:v>GASOIL</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FuelBaskets!$F$4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FuelBaskets!$F$13:$F$24</c:f>
              <c:numCache>
                <c:formatCode>0</c:formatCode>
                <c:ptCount val="12"/>
                <c:pt idx="0">
                  <c:v>69667.833333333314</c:v>
                </c:pt>
                <c:pt idx="1">
                  <c:v>67659.833333333328</c:v>
                </c:pt>
                <c:pt idx="2">
                  <c:v>73282.833333333328</c:v>
                </c:pt>
                <c:pt idx="3">
                  <c:v>76148.833333333328</c:v>
                </c:pt>
                <c:pt idx="4">
                  <c:v>77001.833333333328</c:v>
                </c:pt>
                <c:pt idx="5">
                  <c:v>80947.333333333328</c:v>
                </c:pt>
                <c:pt idx="6">
                  <c:v>78895.833333333328</c:v>
                </c:pt>
                <c:pt idx="7">
                  <c:v>79172.333333333328</c:v>
                </c:pt>
                <c:pt idx="8">
                  <c:v>78145.883333333331</c:v>
                </c:pt>
                <c:pt idx="9">
                  <c:v>78508.333333333328</c:v>
                </c:pt>
                <c:pt idx="10">
                  <c:v>76470.333333333328</c:v>
                </c:pt>
                <c:pt idx="11">
                  <c:v>81677.333333333328</c:v>
                </c:pt>
              </c:numCache>
            </c:numRef>
          </c:val>
          <c:extLst>
            <c:ext xmlns:c16="http://schemas.microsoft.com/office/drawing/2014/chart" uri="{C3380CC4-5D6E-409C-BE32-E72D297353CC}">
              <c16:uniqueId val="{00000000-F894-4131-9997-4D1DA3FB075C}"/>
            </c:ext>
          </c:extLst>
        </c:ser>
        <c:ser>
          <c:idx val="1"/>
          <c:order val="1"/>
          <c:tx>
            <c:strRef>
              <c:f>FuelBaskets!$G$4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FuelBaskets!$G$13:$G$24</c:f>
              <c:numCache>
                <c:formatCode>0</c:formatCode>
                <c:ptCount val="12"/>
                <c:pt idx="0">
                  <c:v>30801.621999999999</c:v>
                </c:pt>
                <c:pt idx="1">
                  <c:v>28225.377</c:v>
                </c:pt>
                <c:pt idx="2">
                  <c:v>33900.044000000002</c:v>
                </c:pt>
                <c:pt idx="3">
                  <c:v>31884.722999999998</c:v>
                </c:pt>
                <c:pt idx="4">
                  <c:v>30262.255000000001</c:v>
                </c:pt>
                <c:pt idx="5">
                  <c:v>36940.014999999999</c:v>
                </c:pt>
                <c:pt idx="6">
                  <c:v>33741.108</c:v>
                </c:pt>
                <c:pt idx="7">
                  <c:v>32414.108</c:v>
                </c:pt>
                <c:pt idx="8">
                  <c:v>27406.198</c:v>
                </c:pt>
                <c:pt idx="9">
                  <c:v>31138.321</c:v>
                </c:pt>
                <c:pt idx="10">
                  <c:v>31629.421999999999</c:v>
                </c:pt>
                <c:pt idx="11">
                  <c:v>34328.421999999999</c:v>
                </c:pt>
              </c:numCache>
            </c:numRef>
          </c:val>
          <c:extLst>
            <c:ext xmlns:c16="http://schemas.microsoft.com/office/drawing/2014/chart" uri="{C3380CC4-5D6E-409C-BE32-E72D297353CC}">
              <c16:uniqueId val="{00000001-F894-4131-9997-4D1DA3FB075C}"/>
            </c:ext>
          </c:extLst>
        </c:ser>
        <c:ser>
          <c:idx val="2"/>
          <c:order val="2"/>
          <c:tx>
            <c:strRef>
              <c:f>FuelBaskets!$H$4</c:f>
              <c:strCache>
                <c:ptCount val="1"/>
                <c:pt idx="0">
                  <c:v>Soutes </c:v>
                </c:pt>
              </c:strCache>
            </c:strRef>
          </c:tx>
          <c:spPr>
            <a:solidFill>
              <a:schemeClr val="accent3"/>
            </a:solidFill>
            <a:ln w="25400">
              <a:noFill/>
            </a:ln>
            <a:effectLst/>
          </c:spPr>
          <c:val>
            <c:numRef>
              <c:f>FuelBaskets!$H$13:$H$24</c:f>
              <c:numCache>
                <c:formatCode>0</c:formatCode>
                <c:ptCount val="12"/>
                <c:pt idx="0">
                  <c:v>14433</c:v>
                </c:pt>
                <c:pt idx="1">
                  <c:v>13163</c:v>
                </c:pt>
                <c:pt idx="2">
                  <c:v>13966</c:v>
                </c:pt>
                <c:pt idx="3">
                  <c:v>14063</c:v>
                </c:pt>
                <c:pt idx="4">
                  <c:v>14574.638999999999</c:v>
                </c:pt>
                <c:pt idx="5">
                  <c:v>12214</c:v>
                </c:pt>
                <c:pt idx="6">
                  <c:v>16740.222000000002</c:v>
                </c:pt>
                <c:pt idx="7">
                  <c:v>17118</c:v>
                </c:pt>
                <c:pt idx="8">
                  <c:v>14218</c:v>
                </c:pt>
                <c:pt idx="9">
                  <c:v>14471</c:v>
                </c:pt>
                <c:pt idx="10">
                  <c:v>19374</c:v>
                </c:pt>
                <c:pt idx="11">
                  <c:v>16100</c:v>
                </c:pt>
              </c:numCache>
            </c:numRef>
          </c:val>
          <c:extLst>
            <c:ext xmlns:c16="http://schemas.microsoft.com/office/drawing/2014/chart" uri="{C3380CC4-5D6E-409C-BE32-E72D297353CC}">
              <c16:uniqueId val="{00000002-F894-4131-9997-4D1DA3FB075C}"/>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FuelBaskets!$O$3</c:f>
          <c:strCache>
            <c:ptCount val="1"/>
            <c:pt idx="0">
              <c:v>SUPER</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tx>
            <c:strRef>
              <c:f>FuelBaskets!$O$4</c:f>
              <c:strCache>
                <c:ptCount val="1"/>
                <c:pt idx="0">
                  <c:v>Réseau</c:v>
                </c:pt>
              </c:strCache>
            </c:strRef>
          </c:tx>
          <c:spPr>
            <a:solidFill>
              <a:schemeClr val="accent1"/>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FuelBaskets!$O$13:$O$24</c:f>
              <c:numCache>
                <c:formatCode>0</c:formatCode>
                <c:ptCount val="12"/>
                <c:pt idx="0">
                  <c:v>30119.583333333332</c:v>
                </c:pt>
                <c:pt idx="1">
                  <c:v>28347.583333333332</c:v>
                </c:pt>
                <c:pt idx="2">
                  <c:v>32487.083333333332</c:v>
                </c:pt>
                <c:pt idx="3">
                  <c:v>30689.583333333332</c:v>
                </c:pt>
                <c:pt idx="4">
                  <c:v>34748.083333333343</c:v>
                </c:pt>
                <c:pt idx="5">
                  <c:v>34780.583333333343</c:v>
                </c:pt>
                <c:pt idx="6">
                  <c:v>35569.083333333343</c:v>
                </c:pt>
                <c:pt idx="7">
                  <c:v>34610.583333333343</c:v>
                </c:pt>
                <c:pt idx="8">
                  <c:v>33419.986333333334</c:v>
                </c:pt>
                <c:pt idx="9">
                  <c:v>34948.583333333343</c:v>
                </c:pt>
                <c:pt idx="10">
                  <c:v>33127.583333333328</c:v>
                </c:pt>
                <c:pt idx="11">
                  <c:v>34991.583333333343</c:v>
                </c:pt>
              </c:numCache>
            </c:numRef>
          </c:val>
          <c:extLst>
            <c:ext xmlns:c16="http://schemas.microsoft.com/office/drawing/2014/chart" uri="{C3380CC4-5D6E-409C-BE32-E72D297353CC}">
              <c16:uniqueId val="{00000000-E3BF-4B58-BF9D-64B3DEDE1C3A}"/>
            </c:ext>
          </c:extLst>
        </c:ser>
        <c:ser>
          <c:idx val="1"/>
          <c:order val="1"/>
          <c:tx>
            <c:strRef>
              <c:f>FuelBaskets!$P$4</c:f>
              <c:strCache>
                <c:ptCount val="1"/>
                <c:pt idx="0">
                  <c:v>Cons.</c:v>
                </c:pt>
              </c:strCache>
            </c:strRef>
          </c:tx>
          <c:spPr>
            <a:solidFill>
              <a:schemeClr val="accent2"/>
            </a:solidFill>
            <a:ln w="25400">
              <a:noFill/>
            </a:ln>
            <a:effectLst/>
          </c:spPr>
          <c:cat>
            <c:numRef>
              <c:f>FuelBaskets!$A$13:$A$24</c:f>
              <c:numCache>
                <c:formatCode>mmm\-yy</c:formatCode>
                <c:ptCount val="12"/>
                <c:pt idx="0">
                  <c:v>44562</c:v>
                </c:pt>
                <c:pt idx="1">
                  <c:v>44593</c:v>
                </c:pt>
                <c:pt idx="2">
                  <c:v>44621</c:v>
                </c:pt>
                <c:pt idx="3">
                  <c:v>44652</c:v>
                </c:pt>
                <c:pt idx="4">
                  <c:v>44682</c:v>
                </c:pt>
                <c:pt idx="5">
                  <c:v>44713</c:v>
                </c:pt>
                <c:pt idx="6">
                  <c:v>44743</c:v>
                </c:pt>
                <c:pt idx="7">
                  <c:v>44774</c:v>
                </c:pt>
                <c:pt idx="8">
                  <c:v>44805</c:v>
                </c:pt>
                <c:pt idx="9">
                  <c:v>44835</c:v>
                </c:pt>
                <c:pt idx="10">
                  <c:v>44866</c:v>
                </c:pt>
                <c:pt idx="11">
                  <c:v>44896</c:v>
                </c:pt>
              </c:numCache>
            </c:numRef>
          </c:cat>
          <c:val>
            <c:numRef>
              <c:f>FuelBaskets!$P$13:$P$24</c:f>
              <c:numCache>
                <c:formatCode>0</c:formatCode>
                <c:ptCount val="12"/>
                <c:pt idx="0">
                  <c:v>197</c:v>
                </c:pt>
                <c:pt idx="1">
                  <c:v>170</c:v>
                </c:pt>
                <c:pt idx="2">
                  <c:v>280</c:v>
                </c:pt>
                <c:pt idx="3">
                  <c:v>335</c:v>
                </c:pt>
                <c:pt idx="4">
                  <c:v>601</c:v>
                </c:pt>
                <c:pt idx="5">
                  <c:v>390</c:v>
                </c:pt>
                <c:pt idx="6">
                  <c:v>396</c:v>
                </c:pt>
                <c:pt idx="7">
                  <c:v>328</c:v>
                </c:pt>
                <c:pt idx="8">
                  <c:v>404</c:v>
                </c:pt>
                <c:pt idx="9">
                  <c:v>468</c:v>
                </c:pt>
                <c:pt idx="10">
                  <c:v>489</c:v>
                </c:pt>
                <c:pt idx="11">
                  <c:v>507</c:v>
                </c:pt>
              </c:numCache>
            </c:numRef>
          </c:val>
          <c:extLst>
            <c:ext xmlns:c16="http://schemas.microsoft.com/office/drawing/2014/chart" uri="{C3380CC4-5D6E-409C-BE32-E72D297353CC}">
              <c16:uniqueId val="{00000001-E3BF-4B58-BF9D-64B3DEDE1C3A}"/>
            </c:ext>
          </c:extLst>
        </c:ser>
        <c:dLbls>
          <c:showLegendKey val="0"/>
          <c:showVal val="0"/>
          <c:showCatName val="0"/>
          <c:showSerName val="0"/>
          <c:showPercent val="0"/>
          <c:showBubbleSize val="0"/>
        </c:dLbls>
        <c:axId val="1093077280"/>
        <c:axId val="1093081024"/>
      </c:areaChart>
      <c:dateAx>
        <c:axId val="1093077280"/>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81024"/>
        <c:crosses val="autoZero"/>
        <c:auto val="1"/>
        <c:lblOffset val="100"/>
        <c:baseTimeUnit val="months"/>
      </c:dateAx>
      <c:valAx>
        <c:axId val="1093081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307728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3-FBB9-481C-8C5E-A766D3EC7849}"/>
              </c:ext>
            </c:extLst>
          </c:dPt>
          <c:dPt>
            <c:idx val="1"/>
            <c:bubble3D val="0"/>
            <c:spPr>
              <a:solidFill>
                <a:srgbClr val="FFC000"/>
              </a:solidFill>
              <a:ln w="19050">
                <a:noFill/>
              </a:ln>
              <a:effectLst/>
            </c:spPr>
            <c:extLst>
              <c:ext xmlns:c16="http://schemas.microsoft.com/office/drawing/2014/chart" uri="{C3380CC4-5D6E-409C-BE32-E72D297353CC}">
                <c16:uniqueId val="{00000001-FBB9-481C-8C5E-A766D3EC7849}"/>
              </c:ext>
            </c:extLst>
          </c:dPt>
          <c:dPt>
            <c:idx val="2"/>
            <c:bubble3D val="0"/>
            <c:spPr>
              <a:solidFill>
                <a:srgbClr val="AC7020"/>
              </a:solidFill>
              <a:ln w="19050">
                <a:noFill/>
              </a:ln>
              <a:effectLst/>
            </c:spPr>
            <c:extLst>
              <c:ext xmlns:c16="http://schemas.microsoft.com/office/drawing/2014/chart" uri="{C3380CC4-5D6E-409C-BE32-E72D297353CC}">
                <c16:uniqueId val="{00000002-FBB9-481C-8C5E-A766D3EC7849}"/>
              </c:ext>
            </c:extLst>
          </c:dPt>
          <c:dPt>
            <c:idx val="3"/>
            <c:bubble3D val="0"/>
            <c:spPr>
              <a:solidFill>
                <a:srgbClr val="90ECA6"/>
              </a:solidFill>
              <a:ln w="19050">
                <a:noFill/>
              </a:ln>
              <a:effectLst/>
            </c:spPr>
            <c:extLst>
              <c:ext xmlns:c16="http://schemas.microsoft.com/office/drawing/2014/chart" uri="{C3380CC4-5D6E-409C-BE32-E72D297353CC}">
                <c16:uniqueId val="{00000005-FBB9-481C-8C5E-A766D3EC7849}"/>
              </c:ext>
            </c:extLst>
          </c:dPt>
          <c:dPt>
            <c:idx val="4"/>
            <c:bubble3D val="0"/>
            <c:spPr>
              <a:solidFill>
                <a:srgbClr val="7DB8FF"/>
              </a:solidFill>
              <a:ln w="19050">
                <a:noFill/>
              </a:ln>
              <a:effectLst/>
            </c:spPr>
            <c:extLst>
              <c:ext xmlns:c16="http://schemas.microsoft.com/office/drawing/2014/chart" uri="{C3380CC4-5D6E-409C-BE32-E72D297353CC}">
                <c16:uniqueId val="{00000004-FBB9-481C-8C5E-A766D3EC7849}"/>
              </c:ext>
            </c:extLst>
          </c:dPt>
          <c:dPt>
            <c:idx val="5"/>
            <c:bubble3D val="0"/>
            <c:spPr>
              <a:solidFill>
                <a:srgbClr val="B7EE8E"/>
              </a:solidFill>
              <a:ln w="19050">
                <a:noFill/>
              </a:ln>
              <a:effectLst/>
            </c:spPr>
            <c:extLst>
              <c:ext xmlns:c16="http://schemas.microsoft.com/office/drawing/2014/chart" uri="{C3380CC4-5D6E-409C-BE32-E72D297353CC}">
                <c16:uniqueId val="{0000000B-E726-4EDD-9D78-F848CA0F3C2A}"/>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FuelBaskets!$AK$25:$AP$25</c:f>
              <c:numCache>
                <c:formatCode>General</c:formatCode>
                <c:ptCount val="6"/>
                <c:pt idx="0">
                  <c:v>178733.62025125092</c:v>
                </c:pt>
                <c:pt idx="1">
                  <c:v>2404.346185789545</c:v>
                </c:pt>
                <c:pt idx="2">
                  <c:v>395188.03551765042</c:v>
                </c:pt>
                <c:pt idx="3">
                  <c:v>84635.346419627822</c:v>
                </c:pt>
                <c:pt idx="4">
                  <c:v>0</c:v>
                </c:pt>
                <c:pt idx="5">
                  <c:v>4817.5136935478704</c:v>
                </c:pt>
              </c:numCache>
            </c:numRef>
          </c:val>
          <c:extLst>
            <c:ext xmlns:c16="http://schemas.microsoft.com/office/drawing/2014/chart" uri="{C3380CC4-5D6E-409C-BE32-E72D297353CC}">
              <c16:uniqueId val="{00000000-FBB9-481C-8C5E-A766D3EC784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Households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FuelBaskets!$AK$3</c:f>
              <c:strCache>
                <c:ptCount val="1"/>
                <c:pt idx="0">
                  <c:v>HOUSEHOLDS</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126A-4A10-880A-03E05F21CADB}"/>
              </c:ext>
            </c:extLst>
          </c:dPt>
          <c:dPt>
            <c:idx val="1"/>
            <c:bubble3D val="0"/>
            <c:spPr>
              <a:solidFill>
                <a:srgbClr val="FFC000"/>
              </a:solidFill>
              <a:ln w="19050">
                <a:noFill/>
              </a:ln>
              <a:effectLst/>
            </c:spPr>
            <c:extLst>
              <c:ext xmlns:c16="http://schemas.microsoft.com/office/drawing/2014/chart" uri="{C3380CC4-5D6E-409C-BE32-E72D297353CC}">
                <c16:uniqueId val="{00000003-126A-4A10-880A-03E05F21CADB}"/>
              </c:ext>
            </c:extLst>
          </c:dPt>
          <c:dPt>
            <c:idx val="2"/>
            <c:bubble3D val="0"/>
            <c:spPr>
              <a:solidFill>
                <a:srgbClr val="AC7020"/>
              </a:solidFill>
              <a:ln w="19050">
                <a:noFill/>
              </a:ln>
              <a:effectLst/>
            </c:spPr>
            <c:extLst>
              <c:ext xmlns:c16="http://schemas.microsoft.com/office/drawing/2014/chart" uri="{C3380CC4-5D6E-409C-BE32-E72D297353CC}">
                <c16:uniqueId val="{00000005-126A-4A10-880A-03E05F21CADB}"/>
              </c:ext>
            </c:extLst>
          </c:dPt>
          <c:dPt>
            <c:idx val="3"/>
            <c:bubble3D val="0"/>
            <c:spPr>
              <a:solidFill>
                <a:srgbClr val="90ECA6"/>
              </a:solidFill>
              <a:ln w="19050">
                <a:noFill/>
              </a:ln>
              <a:effectLst/>
            </c:spPr>
            <c:extLst>
              <c:ext xmlns:c16="http://schemas.microsoft.com/office/drawing/2014/chart" uri="{C3380CC4-5D6E-409C-BE32-E72D297353CC}">
                <c16:uniqueId val="{00000007-126A-4A10-880A-03E05F21CADB}"/>
              </c:ext>
            </c:extLst>
          </c:dPt>
          <c:dPt>
            <c:idx val="4"/>
            <c:bubble3D val="0"/>
            <c:spPr>
              <a:solidFill>
                <a:srgbClr val="7DB8FF"/>
              </a:solidFill>
              <a:ln w="19050">
                <a:noFill/>
              </a:ln>
              <a:effectLst/>
            </c:spPr>
            <c:extLst>
              <c:ext xmlns:c16="http://schemas.microsoft.com/office/drawing/2014/chart" uri="{C3380CC4-5D6E-409C-BE32-E72D297353CC}">
                <c16:uniqueId val="{00000008-126A-4A10-880A-03E05F21CADB}"/>
              </c:ext>
            </c:extLst>
          </c:dPt>
          <c:dPt>
            <c:idx val="5"/>
            <c:bubble3D val="0"/>
            <c:spPr>
              <a:solidFill>
                <a:srgbClr val="B7EE8E"/>
              </a:solidFill>
              <a:ln w="19050">
                <a:noFill/>
              </a:ln>
              <a:effectLst/>
            </c:spPr>
            <c:extLst>
              <c:ext xmlns:c16="http://schemas.microsoft.com/office/drawing/2014/chart" uri="{C3380CC4-5D6E-409C-BE32-E72D297353CC}">
                <c16:uniqueId val="{0000000B-E362-416E-B370-3194F67F8A09}"/>
              </c:ext>
            </c:extLst>
          </c:dPt>
          <c:cat>
            <c:strRef>
              <c:f>FuelBaskets!$AK$4:$AP$4</c:f>
              <c:strCache>
                <c:ptCount val="6"/>
                <c:pt idx="0">
                  <c:v>Butane</c:v>
                </c:pt>
                <c:pt idx="1">
                  <c:v>Petrole</c:v>
                </c:pt>
                <c:pt idx="2">
                  <c:v>Gasoil</c:v>
                </c:pt>
                <c:pt idx="3">
                  <c:v>Essence ordinaire</c:v>
                </c:pt>
                <c:pt idx="4">
                  <c:v>Essence pirogue</c:v>
                </c:pt>
                <c:pt idx="5">
                  <c:v>Super</c:v>
                </c:pt>
              </c:strCache>
            </c:strRef>
          </c:cat>
          <c:val>
            <c:numRef>
              <c:f>FuelBaskets!$AK$10:$AP$10</c:f>
              <c:numCache>
                <c:formatCode>General</c:formatCode>
                <c:ptCount val="6"/>
                <c:pt idx="0">
                  <c:v>141996.06375242156</c:v>
                </c:pt>
                <c:pt idx="1">
                  <c:v>2245.4199634270226</c:v>
                </c:pt>
                <c:pt idx="2">
                  <c:v>350471.57107923547</c:v>
                </c:pt>
                <c:pt idx="3">
                  <c:v>79871.53436711675</c:v>
                </c:pt>
                <c:pt idx="4">
                  <c:v>0</c:v>
                </c:pt>
                <c:pt idx="5">
                  <c:v>3283.950366618757</c:v>
                </c:pt>
              </c:numCache>
            </c:numRef>
          </c:val>
          <c:extLst>
            <c:ext xmlns:c16="http://schemas.microsoft.com/office/drawing/2014/chart" uri="{C3380CC4-5D6E-409C-BE32-E72D297353CC}">
              <c16:uniqueId val="{00000006-126A-4A10-880A-03E05F21CAD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E8CA-4BF8-B61A-A4955D0E4B2A}"/>
              </c:ext>
            </c:extLst>
          </c:dPt>
          <c:dPt>
            <c:idx val="1"/>
            <c:bubble3D val="0"/>
            <c:spPr>
              <a:solidFill>
                <a:srgbClr val="FFC000"/>
              </a:solidFill>
              <a:ln w="19050">
                <a:noFill/>
              </a:ln>
              <a:effectLst/>
            </c:spPr>
            <c:extLst>
              <c:ext xmlns:c16="http://schemas.microsoft.com/office/drawing/2014/chart" uri="{C3380CC4-5D6E-409C-BE32-E72D297353CC}">
                <c16:uniqueId val="{00000003-E8CA-4BF8-B61A-A4955D0E4B2A}"/>
              </c:ext>
            </c:extLst>
          </c:dPt>
          <c:dPt>
            <c:idx val="2"/>
            <c:bubble3D val="0"/>
            <c:spPr>
              <a:solidFill>
                <a:srgbClr val="AC7020"/>
              </a:solidFill>
              <a:ln w="19050">
                <a:noFill/>
              </a:ln>
              <a:effectLst/>
            </c:spPr>
            <c:extLst>
              <c:ext xmlns:c16="http://schemas.microsoft.com/office/drawing/2014/chart" uri="{C3380CC4-5D6E-409C-BE32-E72D297353CC}">
                <c16:uniqueId val="{00000005-E8CA-4BF8-B61A-A4955D0E4B2A}"/>
              </c:ext>
            </c:extLst>
          </c:dPt>
          <c:dPt>
            <c:idx val="3"/>
            <c:bubble3D val="0"/>
            <c:spPr>
              <a:solidFill>
                <a:srgbClr val="90ECA6"/>
              </a:solidFill>
              <a:ln w="19050">
                <a:noFill/>
              </a:ln>
              <a:effectLst/>
            </c:spPr>
            <c:extLst>
              <c:ext xmlns:c16="http://schemas.microsoft.com/office/drawing/2014/chart" uri="{C3380CC4-5D6E-409C-BE32-E72D297353CC}">
                <c16:uniqueId val="{00000007-E8CA-4BF8-B61A-A4955D0E4B2A}"/>
              </c:ext>
            </c:extLst>
          </c:dPt>
          <c:dPt>
            <c:idx val="4"/>
            <c:bubble3D val="0"/>
            <c:spPr>
              <a:solidFill>
                <a:srgbClr val="7DB8FF"/>
              </a:solidFill>
              <a:ln w="19050">
                <a:noFill/>
              </a:ln>
              <a:effectLst/>
            </c:spPr>
            <c:extLst>
              <c:ext xmlns:c16="http://schemas.microsoft.com/office/drawing/2014/chart" uri="{C3380CC4-5D6E-409C-BE32-E72D297353CC}">
                <c16:uniqueId val="{00000008-E8CA-4BF8-B61A-A4955D0E4B2A}"/>
              </c:ext>
            </c:extLst>
          </c:dPt>
          <c:dPt>
            <c:idx val="5"/>
            <c:bubble3D val="0"/>
            <c:spPr>
              <a:solidFill>
                <a:srgbClr val="B7EE8E"/>
              </a:solidFill>
              <a:ln w="19050">
                <a:noFill/>
              </a:ln>
              <a:effectLst/>
            </c:spPr>
            <c:extLst>
              <c:ext xmlns:c16="http://schemas.microsoft.com/office/drawing/2014/chart" uri="{C3380CC4-5D6E-409C-BE32-E72D297353CC}">
                <c16:uniqueId val="{00000009-E8CA-4BF8-B61A-A4955D0E4B2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FuelBaskets!$AE$25:$AJ$25</c:f>
              <c:numCache>
                <c:formatCode>General</c:formatCode>
                <c:ptCount val="6"/>
                <c:pt idx="0">
                  <c:v>0</c:v>
                </c:pt>
                <c:pt idx="1">
                  <c:v>1773.4246866717776</c:v>
                </c:pt>
                <c:pt idx="2">
                  <c:v>1133927.2259979995</c:v>
                </c:pt>
                <c:pt idx="3">
                  <c:v>0</c:v>
                </c:pt>
                <c:pt idx="4">
                  <c:v>75040.816125718091</c:v>
                </c:pt>
                <c:pt idx="5">
                  <c:v>419846.479855916</c:v>
                </c:pt>
              </c:numCache>
            </c:numRef>
          </c:val>
          <c:extLst>
            <c:ext xmlns:c16="http://schemas.microsoft.com/office/drawing/2014/chart" uri="{C3380CC4-5D6E-409C-BE32-E72D297353CC}">
              <c16:uniqueId val="{00000006-E8CA-4BF8-B61A-A4955D0E4B2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Industry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FuelBaskets!$AE$3</c:f>
              <c:strCache>
                <c:ptCount val="1"/>
                <c:pt idx="0">
                  <c:v>INDUSTRIAL SECTOR</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B85C-4481-B590-0306D2D1B88A}"/>
              </c:ext>
            </c:extLst>
          </c:dPt>
          <c:dPt>
            <c:idx val="1"/>
            <c:bubble3D val="0"/>
            <c:spPr>
              <a:solidFill>
                <a:srgbClr val="FFC000"/>
              </a:solidFill>
              <a:ln w="19050">
                <a:noFill/>
              </a:ln>
              <a:effectLst/>
            </c:spPr>
            <c:extLst>
              <c:ext xmlns:c16="http://schemas.microsoft.com/office/drawing/2014/chart" uri="{C3380CC4-5D6E-409C-BE32-E72D297353CC}">
                <c16:uniqueId val="{00000003-B85C-4481-B590-0306D2D1B88A}"/>
              </c:ext>
            </c:extLst>
          </c:dPt>
          <c:dPt>
            <c:idx val="2"/>
            <c:bubble3D val="0"/>
            <c:spPr>
              <a:solidFill>
                <a:srgbClr val="AC7020"/>
              </a:solidFill>
              <a:ln w="19050">
                <a:noFill/>
              </a:ln>
              <a:effectLst/>
            </c:spPr>
            <c:extLst>
              <c:ext xmlns:c16="http://schemas.microsoft.com/office/drawing/2014/chart" uri="{C3380CC4-5D6E-409C-BE32-E72D297353CC}">
                <c16:uniqueId val="{00000005-B85C-4481-B590-0306D2D1B88A}"/>
              </c:ext>
            </c:extLst>
          </c:dPt>
          <c:dPt>
            <c:idx val="3"/>
            <c:bubble3D val="0"/>
            <c:spPr>
              <a:solidFill>
                <a:srgbClr val="90ECA6"/>
              </a:solidFill>
              <a:ln w="19050">
                <a:noFill/>
              </a:ln>
              <a:effectLst/>
            </c:spPr>
            <c:extLst>
              <c:ext xmlns:c16="http://schemas.microsoft.com/office/drawing/2014/chart" uri="{C3380CC4-5D6E-409C-BE32-E72D297353CC}">
                <c16:uniqueId val="{00000007-B85C-4481-B590-0306D2D1B88A}"/>
              </c:ext>
            </c:extLst>
          </c:dPt>
          <c:dPt>
            <c:idx val="4"/>
            <c:bubble3D val="0"/>
            <c:spPr>
              <a:solidFill>
                <a:srgbClr val="7DB8FF"/>
              </a:solidFill>
              <a:ln w="19050">
                <a:noFill/>
              </a:ln>
              <a:effectLst/>
            </c:spPr>
            <c:extLst>
              <c:ext xmlns:c16="http://schemas.microsoft.com/office/drawing/2014/chart" uri="{C3380CC4-5D6E-409C-BE32-E72D297353CC}">
                <c16:uniqueId val="{00000009-B85C-4481-B590-0306D2D1B88A}"/>
              </c:ext>
            </c:extLst>
          </c:dPt>
          <c:dPt>
            <c:idx val="5"/>
            <c:bubble3D val="0"/>
            <c:spPr>
              <a:solidFill>
                <a:srgbClr val="B7EE8E"/>
              </a:solidFill>
              <a:ln w="19050">
                <a:noFill/>
              </a:ln>
              <a:effectLst/>
            </c:spPr>
            <c:extLst>
              <c:ext xmlns:c16="http://schemas.microsoft.com/office/drawing/2014/chart" uri="{C3380CC4-5D6E-409C-BE32-E72D297353CC}">
                <c16:uniqueId val="{0000000B-B85C-4481-B590-0306D2D1B88A}"/>
              </c:ext>
            </c:extLst>
          </c:dPt>
          <c:cat>
            <c:strRef>
              <c:f>FuelBaskets!$AE$4:$AJ$4</c:f>
              <c:strCache>
                <c:ptCount val="6"/>
                <c:pt idx="0">
                  <c:v>Butane</c:v>
                </c:pt>
                <c:pt idx="1">
                  <c:v>Petrole</c:v>
                </c:pt>
                <c:pt idx="2">
                  <c:v>Gasoil</c:v>
                </c:pt>
                <c:pt idx="3">
                  <c:v>Essence ordinaire</c:v>
                </c:pt>
                <c:pt idx="4">
                  <c:v>Essence pirogue</c:v>
                </c:pt>
                <c:pt idx="5">
                  <c:v>Super</c:v>
                </c:pt>
              </c:strCache>
            </c:strRef>
          </c:cat>
          <c:val>
            <c:numRef>
              <c:f>FuelBaskets!$AE$10:$AJ$10</c:f>
              <c:numCache>
                <c:formatCode>General</c:formatCode>
                <c:ptCount val="6"/>
                <c:pt idx="0">
                  <c:v>0</c:v>
                </c:pt>
                <c:pt idx="1">
                  <c:v>1656.2020971116833</c:v>
                </c:pt>
                <c:pt idx="2">
                  <c:v>1005620.6683091461</c:v>
                </c:pt>
                <c:pt idx="3">
                  <c:v>0</c:v>
                </c:pt>
                <c:pt idx="4">
                  <c:v>70817.044859779737</c:v>
                </c:pt>
                <c:pt idx="5">
                  <c:v>286196.38451531681</c:v>
                </c:pt>
              </c:numCache>
            </c:numRef>
          </c:val>
          <c:extLst>
            <c:ext xmlns:c16="http://schemas.microsoft.com/office/drawing/2014/chart" uri="{C3380CC4-5D6E-409C-BE32-E72D297353CC}">
              <c16:uniqueId val="{0000000C-B85C-4481-B590-0306D2D1B88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Senegal</a:t>
            </a:r>
            <a:r>
              <a:rPr lang="en-US"/>
              <a:t> 2019</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DDFB-477C-9536-0060EFBC3869}"/>
              </c:ext>
            </c:extLst>
          </c:dPt>
          <c:dPt>
            <c:idx val="1"/>
            <c:bubble3D val="0"/>
            <c:spPr>
              <a:solidFill>
                <a:schemeClr val="accent2"/>
              </a:solidFill>
              <a:ln w="19050">
                <a:noFill/>
              </a:ln>
              <a:effectLst/>
            </c:spPr>
            <c:extLst>
              <c:ext xmlns:c16="http://schemas.microsoft.com/office/drawing/2014/chart" uri="{C3380CC4-5D6E-409C-BE32-E72D297353CC}">
                <c16:uniqueId val="{00000003-DDFB-477C-9536-0060EFBC3869}"/>
              </c:ext>
            </c:extLst>
          </c:dPt>
          <c:dPt>
            <c:idx val="2"/>
            <c:bubble3D val="0"/>
            <c:spPr>
              <a:solidFill>
                <a:srgbClr val="AC7020"/>
              </a:solidFill>
              <a:ln w="19050">
                <a:noFill/>
              </a:ln>
              <a:effectLst/>
            </c:spPr>
            <c:extLst>
              <c:ext xmlns:c16="http://schemas.microsoft.com/office/drawing/2014/chart" uri="{C3380CC4-5D6E-409C-BE32-E72D297353CC}">
                <c16:uniqueId val="{00000005-DDFB-477C-9536-0060EFBC3869}"/>
              </c:ext>
            </c:extLst>
          </c:dPt>
          <c:dPt>
            <c:idx val="3"/>
            <c:bubble3D val="0"/>
            <c:spPr>
              <a:solidFill>
                <a:srgbClr val="90ECA6"/>
              </a:solidFill>
              <a:ln w="19050">
                <a:noFill/>
              </a:ln>
              <a:effectLst/>
            </c:spPr>
            <c:extLst>
              <c:ext xmlns:c16="http://schemas.microsoft.com/office/drawing/2014/chart" uri="{C3380CC4-5D6E-409C-BE32-E72D297353CC}">
                <c16:uniqueId val="{00000007-DDFB-477C-9536-0060EFBC3869}"/>
              </c:ext>
            </c:extLst>
          </c:dPt>
          <c:dPt>
            <c:idx val="4"/>
            <c:bubble3D val="0"/>
            <c:spPr>
              <a:solidFill>
                <a:srgbClr val="7DB8FF"/>
              </a:solidFill>
              <a:ln w="19050">
                <a:noFill/>
              </a:ln>
              <a:effectLst/>
            </c:spPr>
            <c:extLst>
              <c:ext xmlns:c16="http://schemas.microsoft.com/office/drawing/2014/chart" uri="{C3380CC4-5D6E-409C-BE32-E72D297353CC}">
                <c16:uniqueId val="{00000009-DDFB-477C-9536-0060EFBC3869}"/>
              </c:ext>
            </c:extLst>
          </c:dPt>
          <c:dPt>
            <c:idx val="5"/>
            <c:bubble3D val="0"/>
            <c:spPr>
              <a:solidFill>
                <a:srgbClr val="B7EE8E"/>
              </a:solidFill>
              <a:ln w="19050">
                <a:noFill/>
              </a:ln>
              <a:effectLst/>
            </c:spPr>
            <c:extLst>
              <c:ext xmlns:c16="http://schemas.microsoft.com/office/drawing/2014/chart" uri="{C3380CC4-5D6E-409C-BE32-E72D297353CC}">
                <c16:uniqueId val="{0000000B-DDFB-477C-9536-0060EFBC3869}"/>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FuelBaskets!$AQ$10:$AV$10</c:f>
              <c:numCache>
                <c:formatCode>General</c:formatCode>
                <c:ptCount val="6"/>
                <c:pt idx="0">
                  <c:v>141996.06375242156</c:v>
                </c:pt>
                <c:pt idx="1">
                  <c:v>3901.6220605387061</c:v>
                </c:pt>
                <c:pt idx="2">
                  <c:v>1356092.2393883816</c:v>
                </c:pt>
                <c:pt idx="3">
                  <c:v>79871.53436711675</c:v>
                </c:pt>
                <c:pt idx="4">
                  <c:v>70817.044859779737</c:v>
                </c:pt>
                <c:pt idx="5">
                  <c:v>286196.38451531681</c:v>
                </c:pt>
              </c:numCache>
            </c:numRef>
          </c:val>
          <c:extLst>
            <c:ext xmlns:c16="http://schemas.microsoft.com/office/drawing/2014/chart" uri="{C3380CC4-5D6E-409C-BE32-E72D297353CC}">
              <c16:uniqueId val="{0000000C-DDFB-477C-9536-0060EFBC3869}"/>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Senegal 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FuelBaskets!$AQ$3</c:f>
              <c:strCache>
                <c:ptCount val="1"/>
                <c:pt idx="0">
                  <c:v>ALL THE ECONOMY</c:v>
                </c:pt>
              </c:strCache>
            </c:strRef>
          </c:tx>
          <c:spPr>
            <a:ln>
              <a:noFill/>
            </a:ln>
          </c:spPr>
          <c:dPt>
            <c:idx val="0"/>
            <c:bubble3D val="0"/>
            <c:spPr>
              <a:solidFill>
                <a:srgbClr val="70D5E4"/>
              </a:solidFill>
              <a:ln w="19050">
                <a:noFill/>
              </a:ln>
              <a:effectLst/>
            </c:spPr>
            <c:extLst>
              <c:ext xmlns:c16="http://schemas.microsoft.com/office/drawing/2014/chart" uri="{C3380CC4-5D6E-409C-BE32-E72D297353CC}">
                <c16:uniqueId val="{00000001-8C28-46C5-B6A9-02CA33E6702C}"/>
              </c:ext>
            </c:extLst>
          </c:dPt>
          <c:dPt>
            <c:idx val="1"/>
            <c:bubble3D val="0"/>
            <c:spPr>
              <a:solidFill>
                <a:srgbClr val="FFC000"/>
              </a:solidFill>
              <a:ln w="19050">
                <a:noFill/>
              </a:ln>
              <a:effectLst/>
            </c:spPr>
            <c:extLst>
              <c:ext xmlns:c16="http://schemas.microsoft.com/office/drawing/2014/chart" uri="{C3380CC4-5D6E-409C-BE32-E72D297353CC}">
                <c16:uniqueId val="{00000003-8C28-46C5-B6A9-02CA33E6702C}"/>
              </c:ext>
            </c:extLst>
          </c:dPt>
          <c:dPt>
            <c:idx val="2"/>
            <c:bubble3D val="0"/>
            <c:spPr>
              <a:solidFill>
                <a:srgbClr val="AC7020"/>
              </a:solidFill>
              <a:ln w="19050">
                <a:noFill/>
              </a:ln>
              <a:effectLst/>
            </c:spPr>
            <c:extLst>
              <c:ext xmlns:c16="http://schemas.microsoft.com/office/drawing/2014/chart" uri="{C3380CC4-5D6E-409C-BE32-E72D297353CC}">
                <c16:uniqueId val="{00000005-8C28-46C5-B6A9-02CA33E6702C}"/>
              </c:ext>
            </c:extLst>
          </c:dPt>
          <c:dPt>
            <c:idx val="3"/>
            <c:bubble3D val="0"/>
            <c:spPr>
              <a:solidFill>
                <a:srgbClr val="90ECA6"/>
              </a:solidFill>
              <a:ln w="19050">
                <a:noFill/>
              </a:ln>
              <a:effectLst/>
            </c:spPr>
            <c:extLst>
              <c:ext xmlns:c16="http://schemas.microsoft.com/office/drawing/2014/chart" uri="{C3380CC4-5D6E-409C-BE32-E72D297353CC}">
                <c16:uniqueId val="{00000007-8C28-46C5-B6A9-02CA33E6702C}"/>
              </c:ext>
            </c:extLst>
          </c:dPt>
          <c:dPt>
            <c:idx val="4"/>
            <c:bubble3D val="0"/>
            <c:spPr>
              <a:solidFill>
                <a:srgbClr val="7DB8FF"/>
              </a:solidFill>
              <a:ln w="19050">
                <a:noFill/>
              </a:ln>
              <a:effectLst/>
            </c:spPr>
            <c:extLst>
              <c:ext xmlns:c16="http://schemas.microsoft.com/office/drawing/2014/chart" uri="{C3380CC4-5D6E-409C-BE32-E72D297353CC}">
                <c16:uniqueId val="{00000009-8C28-46C5-B6A9-02CA33E6702C}"/>
              </c:ext>
            </c:extLst>
          </c:dPt>
          <c:dPt>
            <c:idx val="5"/>
            <c:bubble3D val="0"/>
            <c:spPr>
              <a:solidFill>
                <a:srgbClr val="B7EE8E"/>
              </a:solidFill>
              <a:ln w="19050">
                <a:noFill/>
              </a:ln>
              <a:effectLst/>
            </c:spPr>
            <c:extLst>
              <c:ext xmlns:c16="http://schemas.microsoft.com/office/drawing/2014/chart" uri="{C3380CC4-5D6E-409C-BE32-E72D297353CC}">
                <c16:uniqueId val="{0000000B-8C28-46C5-B6A9-02CA33E6702C}"/>
              </c:ext>
            </c:extLst>
          </c:dPt>
          <c:cat>
            <c:strRef>
              <c:f>FuelBaskets!$AQ$4:$AV$4</c:f>
              <c:strCache>
                <c:ptCount val="6"/>
                <c:pt idx="0">
                  <c:v>Butane</c:v>
                </c:pt>
                <c:pt idx="1">
                  <c:v>Petrole</c:v>
                </c:pt>
                <c:pt idx="2">
                  <c:v>Gasoil</c:v>
                </c:pt>
                <c:pt idx="3">
                  <c:v>Essence ordinaire</c:v>
                </c:pt>
                <c:pt idx="4">
                  <c:v>Essence pirogue</c:v>
                </c:pt>
                <c:pt idx="5">
                  <c:v>Super</c:v>
                </c:pt>
              </c:strCache>
            </c:strRef>
          </c:cat>
          <c:val>
            <c:numRef>
              <c:f>FuelBaskets!$AQ$25:$AV$25</c:f>
              <c:numCache>
                <c:formatCode>General</c:formatCode>
                <c:ptCount val="6"/>
                <c:pt idx="0">
                  <c:v>178733.62025125092</c:v>
                </c:pt>
                <c:pt idx="1">
                  <c:v>4177.7708724613221</c:v>
                </c:pt>
                <c:pt idx="2">
                  <c:v>1529115.26151565</c:v>
                </c:pt>
                <c:pt idx="3">
                  <c:v>84635.346419627822</c:v>
                </c:pt>
                <c:pt idx="4">
                  <c:v>75040.816125718091</c:v>
                </c:pt>
                <c:pt idx="5">
                  <c:v>419846.479855916</c:v>
                </c:pt>
              </c:numCache>
            </c:numRef>
          </c:val>
          <c:extLst>
            <c:ext xmlns:c16="http://schemas.microsoft.com/office/drawing/2014/chart" uri="{C3380CC4-5D6E-409C-BE32-E72D297353CC}">
              <c16:uniqueId val="{0000000C-8C28-46C5-B6A9-02CA33E6702C}"/>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quantities of fuels, according to the survey (hhweighted)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3-C7EE-432E-B187-1209456FB97A}"/>
              </c:ext>
            </c:extLst>
          </c:dPt>
          <c:dPt>
            <c:idx val="1"/>
            <c:bubble3D val="0"/>
            <c:spPr>
              <a:solidFill>
                <a:srgbClr val="FFC000"/>
              </a:solidFill>
              <a:ln w="19050">
                <a:noFill/>
              </a:ln>
              <a:effectLst/>
            </c:spPr>
            <c:extLst>
              <c:ext xmlns:c16="http://schemas.microsoft.com/office/drawing/2014/chart" uri="{C3380CC4-5D6E-409C-BE32-E72D297353CC}">
                <c16:uniqueId val="{00000001-C7EE-432E-B187-1209456FB97A}"/>
              </c:ext>
            </c:extLst>
          </c:dPt>
          <c:dPt>
            <c:idx val="2"/>
            <c:bubble3D val="0"/>
            <c:spPr>
              <a:solidFill>
                <a:srgbClr val="70D5E4"/>
              </a:solidFill>
              <a:ln w="19050">
                <a:noFill/>
              </a:ln>
              <a:effectLst/>
            </c:spPr>
            <c:extLst>
              <c:ext xmlns:c16="http://schemas.microsoft.com/office/drawing/2014/chart" uri="{C3380CC4-5D6E-409C-BE32-E72D297353CC}">
                <c16:uniqueId val="{00000002-C7EE-432E-B187-1209456FB97A}"/>
              </c:ext>
            </c:extLst>
          </c:dPt>
          <c:cat>
            <c:strRef>
              <c:f>FuelBaskets!$AA$114:$AA$116</c:f>
              <c:strCache>
                <c:ptCount val="3"/>
                <c:pt idx="0">
                  <c:v>q_fuel</c:v>
                </c:pt>
                <c:pt idx="1">
                  <c:v>q_pet_lamp</c:v>
                </c:pt>
                <c:pt idx="2">
                  <c:v>q_butane</c:v>
                </c:pt>
              </c:strCache>
            </c:strRef>
          </c:cat>
          <c:val>
            <c:numRef>
              <c:f>FuelBaskets!$AC$114:$AC$116</c:f>
              <c:numCache>
                <c:formatCode>General</c:formatCode>
                <c:ptCount val="3"/>
                <c:pt idx="0">
                  <c:v>63.390999999999998</c:v>
                </c:pt>
                <c:pt idx="1">
                  <c:v>0.1938869</c:v>
                </c:pt>
                <c:pt idx="2">
                  <c:v>74.30762</c:v>
                </c:pt>
              </c:numCache>
            </c:numRef>
          </c:val>
          <c:extLst>
            <c:ext xmlns:c16="http://schemas.microsoft.com/office/drawing/2014/chart" uri="{C3380CC4-5D6E-409C-BE32-E72D297353CC}">
              <c16:uniqueId val="{00000000-C7EE-432E-B187-1209456FB97A}"/>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ln>
              <a:noFill/>
            </a:ln>
          </c:spPr>
          <c:dPt>
            <c:idx val="0"/>
            <c:bubble3D val="0"/>
            <c:spPr>
              <a:solidFill>
                <a:srgbClr val="AC7020"/>
              </a:solidFill>
              <a:ln w="19050">
                <a:noFill/>
              </a:ln>
              <a:effectLst/>
            </c:spPr>
            <c:extLst>
              <c:ext xmlns:c16="http://schemas.microsoft.com/office/drawing/2014/chart" uri="{C3380CC4-5D6E-409C-BE32-E72D297353CC}">
                <c16:uniqueId val="{00000001-C78B-452F-B8F7-086C8A817E9B}"/>
              </c:ext>
            </c:extLst>
          </c:dPt>
          <c:dPt>
            <c:idx val="1"/>
            <c:bubble3D val="0"/>
            <c:spPr>
              <a:solidFill>
                <a:srgbClr val="FFC000"/>
              </a:solidFill>
              <a:ln w="19050">
                <a:noFill/>
              </a:ln>
              <a:effectLst/>
            </c:spPr>
            <c:extLst>
              <c:ext xmlns:c16="http://schemas.microsoft.com/office/drawing/2014/chart" uri="{C3380CC4-5D6E-409C-BE32-E72D297353CC}">
                <c16:uniqueId val="{00000003-C78B-452F-B8F7-086C8A817E9B}"/>
              </c:ext>
            </c:extLst>
          </c:dPt>
          <c:dPt>
            <c:idx val="2"/>
            <c:bubble3D val="0"/>
            <c:spPr>
              <a:solidFill>
                <a:srgbClr val="70D5E4"/>
              </a:solidFill>
              <a:ln w="19050">
                <a:noFill/>
              </a:ln>
              <a:effectLst/>
            </c:spPr>
            <c:extLst>
              <c:ext xmlns:c16="http://schemas.microsoft.com/office/drawing/2014/chart" uri="{C3380CC4-5D6E-409C-BE32-E72D297353CC}">
                <c16:uniqueId val="{00000005-C78B-452F-B8F7-086C8A817E9B}"/>
              </c:ext>
            </c:extLst>
          </c:dPt>
          <c:cat>
            <c:strRef>
              <c:f>FuelBaskets!$AA$129:$AA$131</c:f>
              <c:strCache>
                <c:ptCount val="3"/>
                <c:pt idx="0">
                  <c:v>q_fuel</c:v>
                </c:pt>
                <c:pt idx="1">
                  <c:v>q_pet_lamp</c:v>
                </c:pt>
                <c:pt idx="2">
                  <c:v>q_butane</c:v>
                </c:pt>
              </c:strCache>
            </c:strRef>
          </c:cat>
          <c:val>
            <c:numRef>
              <c:f>FuelBaskets!$AC$129:$AC$131</c:f>
              <c:numCache>
                <c:formatCode>General</c:formatCode>
                <c:ptCount val="3"/>
                <c:pt idx="0">
                  <c:v>581.37199999999996</c:v>
                </c:pt>
                <c:pt idx="1">
                  <c:v>0.56344019999999995</c:v>
                </c:pt>
                <c:pt idx="2">
                  <c:v>168.95089999999999</c:v>
                </c:pt>
              </c:numCache>
            </c:numRef>
          </c:val>
          <c:extLst>
            <c:ext xmlns:c16="http://schemas.microsoft.com/office/drawing/2014/chart" uri="{C3380CC4-5D6E-409C-BE32-E72D297353CC}">
              <c16:uniqueId val="{00000006-C78B-452F-B8F7-086C8A817E9B}"/>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Growth rates 2015-2022</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Fuel_Simplified!$H$2</c:f>
              <c:strCache>
                <c:ptCount val="1"/>
                <c:pt idx="0">
                  <c:v>Butane</c:v>
                </c:pt>
              </c:strCache>
            </c:strRef>
          </c:tx>
          <c:spPr>
            <a:ln w="28575" cap="rnd">
              <a:solidFill>
                <a:schemeClr val="accent1"/>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Fuel_Simplified!$H$4:$H$11</c:f>
              <c:numCache>
                <c:formatCode>0%</c:formatCode>
                <c:ptCount val="8"/>
                <c:pt idx="0">
                  <c:v>0.13351289350488882</c:v>
                </c:pt>
                <c:pt idx="1">
                  <c:v>0.1335128935048886</c:v>
                </c:pt>
                <c:pt idx="2">
                  <c:v>0.10059532770568702</c:v>
                </c:pt>
                <c:pt idx="3">
                  <c:v>9.3879518961019093E-2</c:v>
                </c:pt>
                <c:pt idx="4">
                  <c:v>5.5629602003239187E-2</c:v>
                </c:pt>
                <c:pt idx="5">
                  <c:v>4.1271480148753925E-2</c:v>
                </c:pt>
                <c:pt idx="6">
                  <c:v>9.9468994398470789E-2</c:v>
                </c:pt>
                <c:pt idx="7">
                  <c:v>9.9468994398470789E-2</c:v>
                </c:pt>
              </c:numCache>
            </c:numRef>
          </c:val>
          <c:smooth val="0"/>
          <c:extLst>
            <c:ext xmlns:c16="http://schemas.microsoft.com/office/drawing/2014/chart" uri="{C3380CC4-5D6E-409C-BE32-E72D297353CC}">
              <c16:uniqueId val="{00000000-FE57-4DD3-A2C6-70CF04D00800}"/>
            </c:ext>
          </c:extLst>
        </c:ser>
        <c:ser>
          <c:idx val="1"/>
          <c:order val="1"/>
          <c:tx>
            <c:strRef>
              <c:f>Fuel_Simplified!$I$2</c:f>
              <c:strCache>
                <c:ptCount val="1"/>
                <c:pt idx="0">
                  <c:v>Petrole</c:v>
                </c:pt>
              </c:strCache>
            </c:strRef>
          </c:tx>
          <c:spPr>
            <a:ln w="28575" cap="rnd">
              <a:solidFill>
                <a:schemeClr val="accent2"/>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Fuel_Simplified!$I$4:$I$11</c:f>
              <c:numCache>
                <c:formatCode>0%</c:formatCode>
                <c:ptCount val="8"/>
                <c:pt idx="0">
                  <c:v>5.2085999488098222E-2</c:v>
                </c:pt>
                <c:pt idx="1">
                  <c:v>4.9507359202043633E-2</c:v>
                </c:pt>
                <c:pt idx="2">
                  <c:v>-1.7964765878535016E-2</c:v>
                </c:pt>
                <c:pt idx="3">
                  <c:v>2.4761005547031978E-2</c:v>
                </c:pt>
                <c:pt idx="4">
                  <c:v>2.4162712489058658E-2</c:v>
                </c:pt>
                <c:pt idx="5">
                  <c:v>2.3592650068596344E-2</c:v>
                </c:pt>
                <c:pt idx="6">
                  <c:v>2.3048866233081444E-2</c:v>
                </c:pt>
                <c:pt idx="7">
                  <c:v>2.2529584845686124E-2</c:v>
                </c:pt>
              </c:numCache>
            </c:numRef>
          </c:val>
          <c:smooth val="0"/>
          <c:extLst>
            <c:ext xmlns:c16="http://schemas.microsoft.com/office/drawing/2014/chart" uri="{C3380CC4-5D6E-409C-BE32-E72D297353CC}">
              <c16:uniqueId val="{00000001-FE57-4DD3-A2C6-70CF04D00800}"/>
            </c:ext>
          </c:extLst>
        </c:ser>
        <c:ser>
          <c:idx val="2"/>
          <c:order val="2"/>
          <c:tx>
            <c:strRef>
              <c:f>Fuel_Simplified!$J$2</c:f>
              <c:strCache>
                <c:ptCount val="1"/>
                <c:pt idx="0">
                  <c:v>Gasoil</c:v>
                </c:pt>
              </c:strCache>
            </c:strRef>
          </c:tx>
          <c:spPr>
            <a:ln w="28575" cap="rnd">
              <a:solidFill>
                <a:schemeClr val="accent3"/>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Fuel_Simplified!$J$4:$J$11</c:f>
              <c:numCache>
                <c:formatCode>0%</c:formatCode>
                <c:ptCount val="8"/>
                <c:pt idx="0">
                  <c:v>0.21465350543212813</c:v>
                </c:pt>
                <c:pt idx="1">
                  <c:v>0.21465350543212813</c:v>
                </c:pt>
                <c:pt idx="2">
                  <c:v>8.7246657384179693E-2</c:v>
                </c:pt>
                <c:pt idx="3">
                  <c:v>7.5345737522881429E-2</c:v>
                </c:pt>
                <c:pt idx="4">
                  <c:v>8.8264178432820417E-2</c:v>
                </c:pt>
                <c:pt idx="5">
                  <c:v>-3.4899500587141419E-2</c:v>
                </c:pt>
                <c:pt idx="6">
                  <c:v>3.6752533310608015E-2</c:v>
                </c:pt>
                <c:pt idx="7">
                  <c:v>0.12694662342614382</c:v>
                </c:pt>
              </c:numCache>
            </c:numRef>
          </c:val>
          <c:smooth val="0"/>
          <c:extLst>
            <c:ext xmlns:c16="http://schemas.microsoft.com/office/drawing/2014/chart" uri="{C3380CC4-5D6E-409C-BE32-E72D297353CC}">
              <c16:uniqueId val="{00000002-FE57-4DD3-A2C6-70CF04D00800}"/>
            </c:ext>
          </c:extLst>
        </c:ser>
        <c:ser>
          <c:idx val="3"/>
          <c:order val="3"/>
          <c:tx>
            <c:strRef>
              <c:f>Fuel_Simplified!$K$2</c:f>
              <c:strCache>
                <c:ptCount val="1"/>
                <c:pt idx="0">
                  <c:v>Essence ordinaire</c:v>
                </c:pt>
              </c:strCache>
            </c:strRef>
          </c:tx>
          <c:spPr>
            <a:ln w="28575" cap="rnd">
              <a:solidFill>
                <a:schemeClr val="accent4"/>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Fuel_Simplified!$K$4:$K$11</c:f>
              <c:numCache>
                <c:formatCode>0%</c:formatCode>
                <c:ptCount val="8"/>
                <c:pt idx="0">
                  <c:v>9.4546147318103957E-2</c:v>
                </c:pt>
                <c:pt idx="1">
                  <c:v>9.4546147318103957E-2</c:v>
                </c:pt>
                <c:pt idx="2">
                  <c:v>0.12418114497294219</c:v>
                </c:pt>
                <c:pt idx="3">
                  <c:v>-3.5329223320102465E-2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3-FE57-4DD3-A2C6-70CF04D00800}"/>
            </c:ext>
          </c:extLst>
        </c:ser>
        <c:ser>
          <c:idx val="4"/>
          <c:order val="4"/>
          <c:tx>
            <c:strRef>
              <c:f>Fuel_Simplified!$L$2</c:f>
              <c:strCache>
                <c:ptCount val="1"/>
                <c:pt idx="0">
                  <c:v>Essence pirogue</c:v>
                </c:pt>
              </c:strCache>
            </c:strRef>
          </c:tx>
          <c:spPr>
            <a:ln w="28575" cap="rnd">
              <a:solidFill>
                <a:schemeClr val="accent5"/>
              </a:solidFill>
              <a:prstDash val="sysDot"/>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Fuel_Simplified!$L$4:$L$11</c:f>
              <c:numCache>
                <c:formatCode>0%</c:formatCode>
                <c:ptCount val="8"/>
                <c:pt idx="0">
                  <c:v>9.4546147318103957E-2</c:v>
                </c:pt>
                <c:pt idx="1">
                  <c:v>9.4546147318103735E-2</c:v>
                </c:pt>
                <c:pt idx="2">
                  <c:v>0.12418114497294197</c:v>
                </c:pt>
                <c:pt idx="3">
                  <c:v>-3.5329223320102576E-2</c:v>
                </c:pt>
                <c:pt idx="4">
                  <c:v>0.14783471460254471</c:v>
                </c:pt>
                <c:pt idx="5">
                  <c:v>1.6042100981339402E-2</c:v>
                </c:pt>
                <c:pt idx="6">
                  <c:v>2.1231077192543468E-2</c:v>
                </c:pt>
                <c:pt idx="7">
                  <c:v>2.1231077192543468E-2</c:v>
                </c:pt>
              </c:numCache>
            </c:numRef>
          </c:val>
          <c:smooth val="0"/>
          <c:extLst>
            <c:ext xmlns:c16="http://schemas.microsoft.com/office/drawing/2014/chart" uri="{C3380CC4-5D6E-409C-BE32-E72D297353CC}">
              <c16:uniqueId val="{00000004-FE57-4DD3-A2C6-70CF04D00800}"/>
            </c:ext>
          </c:extLst>
        </c:ser>
        <c:ser>
          <c:idx val="5"/>
          <c:order val="5"/>
          <c:tx>
            <c:strRef>
              <c:f>Fuel_Simplified!$M$2</c:f>
              <c:strCache>
                <c:ptCount val="1"/>
                <c:pt idx="0">
                  <c:v>Super</c:v>
                </c:pt>
              </c:strCache>
            </c:strRef>
          </c:tx>
          <c:spPr>
            <a:ln w="28575" cap="rnd">
              <a:solidFill>
                <a:schemeClr val="accent6"/>
              </a:solidFill>
              <a:round/>
            </a:ln>
            <a:effectLst/>
          </c:spPr>
          <c:marker>
            <c:symbol val="none"/>
          </c:marker>
          <c:cat>
            <c:numRef>
              <c:f>Fuel_Simplified!$A$4:$A$11</c:f>
              <c:numCache>
                <c:formatCode>General</c:formatCode>
                <c:ptCount val="8"/>
                <c:pt idx="0">
                  <c:v>2015</c:v>
                </c:pt>
                <c:pt idx="1">
                  <c:v>2016</c:v>
                </c:pt>
                <c:pt idx="2">
                  <c:v>2017</c:v>
                </c:pt>
                <c:pt idx="3">
                  <c:v>2018</c:v>
                </c:pt>
                <c:pt idx="4">
                  <c:v>2019</c:v>
                </c:pt>
                <c:pt idx="5">
                  <c:v>2020</c:v>
                </c:pt>
                <c:pt idx="6">
                  <c:v>2021</c:v>
                </c:pt>
                <c:pt idx="7">
                  <c:v>2022</c:v>
                </c:pt>
              </c:numCache>
            </c:numRef>
          </c:cat>
          <c:val>
            <c:numRef>
              <c:f>Fuel_Simplified!$M$4:$M$11</c:f>
              <c:numCache>
                <c:formatCode>0%</c:formatCode>
                <c:ptCount val="8"/>
                <c:pt idx="0">
                  <c:v>0.16842684958626974</c:v>
                </c:pt>
                <c:pt idx="1">
                  <c:v>0.16842684958626997</c:v>
                </c:pt>
                <c:pt idx="2">
                  <c:v>0.18223635539221528</c:v>
                </c:pt>
                <c:pt idx="3">
                  <c:v>0.19531482612272089</c:v>
                </c:pt>
                <c:pt idx="4">
                  <c:v>0.15809761040276959</c:v>
                </c:pt>
                <c:pt idx="5">
                  <c:v>2.858111531969687E-3</c:v>
                </c:pt>
                <c:pt idx="6">
                  <c:v>0.25212020749497444</c:v>
                </c:pt>
                <c:pt idx="7">
                  <c:v>0.16826363126983268</c:v>
                </c:pt>
              </c:numCache>
            </c:numRef>
          </c:val>
          <c:smooth val="0"/>
          <c:extLst>
            <c:ext xmlns:c16="http://schemas.microsoft.com/office/drawing/2014/chart" uri="{C3380CC4-5D6E-409C-BE32-E72D297353CC}">
              <c16:uniqueId val="{00000005-FE57-4DD3-A2C6-70CF04D00800}"/>
            </c:ext>
          </c:extLst>
        </c:ser>
        <c:dLbls>
          <c:showLegendKey val="0"/>
          <c:showVal val="0"/>
          <c:showCatName val="0"/>
          <c:showSerName val="0"/>
          <c:showPercent val="0"/>
          <c:showBubbleSize val="0"/>
        </c:dLbls>
        <c:smooth val="0"/>
        <c:axId val="308368767"/>
        <c:axId val="308371263"/>
      </c:lineChart>
      <c:catAx>
        <c:axId val="3083687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71263"/>
        <c:crosses val="autoZero"/>
        <c:auto val="1"/>
        <c:lblAlgn val="ctr"/>
        <c:lblOffset val="100"/>
        <c:noMultiLvlLbl val="0"/>
      </c:catAx>
      <c:valAx>
        <c:axId val="3083712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3687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tx>
            <c:strRef>
              <c:f>GraficasPolicyNote!$K$4</c:f>
              <c:strCache>
                <c:ptCount val="1"/>
                <c:pt idx="0">
                  <c:v>Prepaid</c:v>
                </c:pt>
              </c:strCache>
            </c:strRef>
          </c:tx>
          <c:spPr>
            <a:ln w="19050" cap="rnd">
              <a:solidFill>
                <a:schemeClr val="accent1"/>
              </a:solidFill>
              <a:round/>
            </a:ln>
            <a:effectLst/>
          </c:spPr>
          <c:marker>
            <c:symbol val="none"/>
          </c:marker>
          <c:xVal>
            <c:numRef>
              <c:f>GraficasPolicyNote!$M$4:$M$9</c:f>
              <c:numCache>
                <c:formatCode>General</c:formatCode>
                <c:ptCount val="6"/>
                <c:pt idx="0">
                  <c:v>0</c:v>
                </c:pt>
                <c:pt idx="1">
                  <c:v>300</c:v>
                </c:pt>
                <c:pt idx="2">
                  <c:v>300</c:v>
                </c:pt>
                <c:pt idx="3">
                  <c:v>500</c:v>
                </c:pt>
                <c:pt idx="4">
                  <c:v>500</c:v>
                </c:pt>
                <c:pt idx="5">
                  <c:v>550</c:v>
                </c:pt>
              </c:numCache>
            </c:numRef>
          </c:xVal>
          <c:yVal>
            <c:numRef>
              <c:f>GraficasPolicyNote!$N$4:$N$9</c:f>
              <c:numCache>
                <c:formatCode>0%</c:formatCode>
                <c:ptCount val="6"/>
                <c:pt idx="0">
                  <c:v>0.42443181818181819</c:v>
                </c:pt>
                <c:pt idx="1">
                  <c:v>0.42443181818181819</c:v>
                </c:pt>
                <c:pt idx="2">
                  <c:v>0.28977272727272729</c:v>
                </c:pt>
                <c:pt idx="3">
                  <c:v>0.28977272727272729</c:v>
                </c:pt>
                <c:pt idx="4">
                  <c:v>0.28977272727272729</c:v>
                </c:pt>
                <c:pt idx="5">
                  <c:v>0.28977272727272729</c:v>
                </c:pt>
              </c:numCache>
            </c:numRef>
          </c:yVal>
          <c:smooth val="0"/>
          <c:extLst>
            <c:ext xmlns:c16="http://schemas.microsoft.com/office/drawing/2014/chart" uri="{C3380CC4-5D6E-409C-BE32-E72D297353CC}">
              <c16:uniqueId val="{00000000-59E0-42BB-9FA2-B7FD9D4E0A3B}"/>
            </c:ext>
          </c:extLst>
        </c:ser>
        <c:ser>
          <c:idx val="1"/>
          <c:order val="1"/>
          <c:tx>
            <c:strRef>
              <c:f>GraficasPolicyNote!$K$10</c:f>
              <c:strCache>
                <c:ptCount val="1"/>
                <c:pt idx="0">
                  <c:v>Postpaid</c:v>
                </c:pt>
              </c:strCache>
            </c:strRef>
          </c:tx>
          <c:spPr>
            <a:ln w="19050" cap="rnd">
              <a:solidFill>
                <a:schemeClr val="accent2"/>
              </a:solidFill>
              <a:round/>
            </a:ln>
            <a:effectLst/>
          </c:spPr>
          <c:marker>
            <c:symbol val="none"/>
          </c:marker>
          <c:xVal>
            <c:numRef>
              <c:f>GraficasPolicyNote!$M$10:$M$15</c:f>
              <c:numCache>
                <c:formatCode>General</c:formatCode>
                <c:ptCount val="6"/>
                <c:pt idx="0">
                  <c:v>0</c:v>
                </c:pt>
                <c:pt idx="1">
                  <c:v>150</c:v>
                </c:pt>
                <c:pt idx="2">
                  <c:v>150</c:v>
                </c:pt>
                <c:pt idx="3">
                  <c:v>250</c:v>
                </c:pt>
                <c:pt idx="4">
                  <c:v>250</c:v>
                </c:pt>
                <c:pt idx="5">
                  <c:v>550</c:v>
                </c:pt>
              </c:numCache>
            </c:numRef>
          </c:xVal>
          <c:yVal>
            <c:numRef>
              <c:f>GraficasPolicyNote!$N$10:$N$15</c:f>
              <c:numCache>
                <c:formatCode>0%</c:formatCode>
                <c:ptCount val="6"/>
                <c:pt idx="0">
                  <c:v>0.42443181818181819</c:v>
                </c:pt>
                <c:pt idx="1">
                  <c:v>0.42443181818181819</c:v>
                </c:pt>
                <c:pt idx="2">
                  <c:v>0.28977272727272729</c:v>
                </c:pt>
                <c:pt idx="3">
                  <c:v>0.28977272727272729</c:v>
                </c:pt>
                <c:pt idx="4">
                  <c:v>0.21325757575757576</c:v>
                </c:pt>
                <c:pt idx="5">
                  <c:v>0.21325757575757576</c:v>
                </c:pt>
              </c:numCache>
            </c:numRef>
          </c:yVal>
          <c:smooth val="0"/>
          <c:extLst>
            <c:ext xmlns:c16="http://schemas.microsoft.com/office/drawing/2014/chart" uri="{C3380CC4-5D6E-409C-BE32-E72D297353CC}">
              <c16:uniqueId val="{00000001-59E0-42BB-9FA2-B7FD9D4E0A3B}"/>
            </c:ext>
          </c:extLst>
        </c:ser>
        <c:dLbls>
          <c:showLegendKey val="0"/>
          <c:showVal val="0"/>
          <c:showCatName val="0"/>
          <c:showSerName val="0"/>
          <c:showPercent val="0"/>
          <c:showBubbleSize val="0"/>
        </c:dLbls>
        <c:axId val="2036586975"/>
        <c:axId val="746766224"/>
      </c:scatterChart>
      <c:valAx>
        <c:axId val="2036586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66224"/>
        <c:crosses val="autoZero"/>
        <c:crossBetween val="midCat"/>
      </c:valAx>
      <c:valAx>
        <c:axId val="7467662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65869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stacked"/>
        <c:varyColors val="0"/>
        <c:ser>
          <c:idx val="1"/>
          <c:order val="0"/>
          <c:tx>
            <c:strRef>
              <c:f>GraficasPolicyNote!$Q$21</c:f>
              <c:strCache>
                <c:ptCount val="1"/>
                <c:pt idx="0">
                  <c:v>VAT rate</c:v>
                </c:pt>
              </c:strCache>
            </c:strRef>
          </c:tx>
          <c:spPr>
            <a:solidFill>
              <a:schemeClr val="accent1"/>
            </a:solidFill>
            <a:ln w="28575">
              <a:solidFill>
                <a:schemeClr val="accent2"/>
              </a:solidFill>
              <a:prstDash val="sysDot"/>
            </a:ln>
            <a:effectLst/>
          </c:spPr>
          <c:invertIfNegative val="0"/>
          <c:val>
            <c:numRef>
              <c:f>GraficasPolicyNote!$Q$23:$Q$28</c:f>
              <c:numCache>
                <c:formatCode>General</c:formatCode>
                <c:ptCount val="6"/>
                <c:pt idx="2">
                  <c:v>20.25</c:v>
                </c:pt>
                <c:pt idx="5">
                  <c:v>22.4316</c:v>
                </c:pt>
              </c:numCache>
            </c:numRef>
          </c:val>
          <c:extLst>
            <c:ext xmlns:c16="http://schemas.microsoft.com/office/drawing/2014/chart" uri="{C3380CC4-5D6E-409C-BE32-E72D297353CC}">
              <c16:uniqueId val="{00000001-61A9-4E6F-B6ED-C935FA5D87F9}"/>
            </c:ext>
          </c:extLst>
        </c:ser>
        <c:ser>
          <c:idx val="0"/>
          <c:order val="1"/>
          <c:tx>
            <c:strRef>
              <c:f>GraficasPolicyNote!$M$21</c:f>
              <c:strCache>
                <c:ptCount val="1"/>
                <c:pt idx="0">
                  <c:v>Tariffs</c:v>
                </c:pt>
              </c:strCache>
            </c:strRef>
          </c:tx>
          <c:spPr>
            <a:solidFill>
              <a:schemeClr val="accent1"/>
            </a:solidFill>
            <a:ln>
              <a:noFill/>
            </a:ln>
            <a:effectLst/>
          </c:spPr>
          <c:invertIfNegative val="0"/>
          <c:cat>
            <c:multiLvlStrRef>
              <c:f>GraficasPolicyNote!$K$23:$L$28</c:f>
              <c:multiLvlStrCache>
                <c:ptCount val="6"/>
                <c:lvl>
                  <c:pt idx="0">
                    <c:v>0-300</c:v>
                  </c:pt>
                  <c:pt idx="1">
                    <c:v>300-500</c:v>
                  </c:pt>
                  <c:pt idx="2">
                    <c:v>500+</c:v>
                  </c:pt>
                  <c:pt idx="3">
                    <c:v>0-150</c:v>
                  </c:pt>
                  <c:pt idx="4">
                    <c:v>150-250</c:v>
                  </c:pt>
                  <c:pt idx="5">
                    <c:v>250+</c:v>
                  </c:pt>
                </c:lvl>
                <c:lvl>
                  <c:pt idx="0">
                    <c:v>Prepaid</c:v>
                  </c:pt>
                  <c:pt idx="3">
                    <c:v>Postpaid</c:v>
                  </c:pt>
                </c:lvl>
              </c:multiLvlStrCache>
            </c:multiLvlStrRef>
          </c:cat>
          <c:val>
            <c:numRef>
              <c:f>GraficasPolicyNote!$U$23:$U$28</c:f>
              <c:numCache>
                <c:formatCode>General</c:formatCode>
                <c:ptCount val="6"/>
                <c:pt idx="0">
                  <c:v>91.17</c:v>
                </c:pt>
                <c:pt idx="1">
                  <c:v>112.5</c:v>
                </c:pt>
                <c:pt idx="2">
                  <c:v>92.25</c:v>
                </c:pt>
                <c:pt idx="3">
                  <c:v>91.17</c:v>
                </c:pt>
                <c:pt idx="4">
                  <c:v>112.5</c:v>
                </c:pt>
                <c:pt idx="5">
                  <c:v>102.1884</c:v>
                </c:pt>
              </c:numCache>
            </c:numRef>
          </c:val>
          <c:extLst>
            <c:ext xmlns:c16="http://schemas.microsoft.com/office/drawing/2014/chart" uri="{C3380CC4-5D6E-409C-BE32-E72D297353CC}">
              <c16:uniqueId val="{00000000-61A9-4E6F-B6ED-C935FA5D87F9}"/>
            </c:ext>
          </c:extLst>
        </c:ser>
        <c:dLbls>
          <c:showLegendKey val="0"/>
          <c:showVal val="0"/>
          <c:showCatName val="0"/>
          <c:showSerName val="0"/>
          <c:showPercent val="0"/>
          <c:showBubbleSize val="0"/>
        </c:dLbls>
        <c:gapWidth val="219"/>
        <c:overlap val="100"/>
        <c:axId val="1101194367"/>
        <c:axId val="746741264"/>
      </c:barChart>
      <c:catAx>
        <c:axId val="1101194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6741264"/>
        <c:crosses val="autoZero"/>
        <c:auto val="1"/>
        <c:lblAlgn val="ctr"/>
        <c:lblOffset val="100"/>
        <c:noMultiLvlLbl val="0"/>
      </c:catAx>
      <c:valAx>
        <c:axId val="746741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11943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GraficasPolicyNote!$Q$66</c:f>
              <c:strCache>
                <c:ptCount val="1"/>
                <c:pt idx="0">
                  <c:v>Baseline</c:v>
                </c:pt>
              </c:strCache>
            </c:strRef>
          </c:tx>
          <c:spPr>
            <a:solidFill>
              <a:schemeClr val="accent1"/>
            </a:solidFill>
            <a:ln>
              <a:noFill/>
            </a:ln>
            <a:effectLst/>
          </c:spPr>
          <c:invertIfNegative val="0"/>
          <c:cat>
            <c:strRef>
              <c:f>GraficasPolicyNote!$L$67:$L$74</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GraficasPolicyNote!$Q$67:$Q$74</c:f>
              <c:numCache>
                <c:formatCode>0</c:formatCode>
                <c:ptCount val="8"/>
                <c:pt idx="0">
                  <c:v>25.759454497153101</c:v>
                </c:pt>
                <c:pt idx="1">
                  <c:v>46.872687776634152</c:v>
                </c:pt>
                <c:pt idx="2">
                  <c:v>29.020491337609815</c:v>
                </c:pt>
                <c:pt idx="3">
                  <c:v>23.794853746758996</c:v>
                </c:pt>
                <c:pt idx="4">
                  <c:v>31.031555231605861</c:v>
                </c:pt>
                <c:pt idx="5">
                  <c:v>10.10104555400574</c:v>
                </c:pt>
                <c:pt idx="6">
                  <c:v>27.919844772883533</c:v>
                </c:pt>
                <c:pt idx="7">
                  <c:v>24.261047771763</c:v>
                </c:pt>
              </c:numCache>
            </c:numRef>
          </c:val>
          <c:extLst>
            <c:ext xmlns:c16="http://schemas.microsoft.com/office/drawing/2014/chart" uri="{C3380CC4-5D6E-409C-BE32-E72D297353CC}">
              <c16:uniqueId val="{00000000-74D6-44B7-BD4B-447298C9C68A}"/>
            </c:ext>
          </c:extLst>
        </c:ser>
        <c:dLbls>
          <c:showLegendKey val="0"/>
          <c:showVal val="0"/>
          <c:showCatName val="0"/>
          <c:showSerName val="0"/>
          <c:showPercent val="0"/>
          <c:showBubbleSize val="0"/>
        </c:dLbls>
        <c:gapWidth val="182"/>
        <c:axId val="1102506735"/>
        <c:axId val="795915823"/>
      </c:barChart>
      <c:catAx>
        <c:axId val="110250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15823"/>
        <c:crosses val="autoZero"/>
        <c:auto val="1"/>
        <c:lblAlgn val="ctr"/>
        <c:lblOffset val="100"/>
        <c:noMultiLvlLbl val="0"/>
      </c:catAx>
      <c:valAx>
        <c:axId val="795915823"/>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250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Subsidy rates per assumption set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GraficasPolicyNote!$M$79</c:f>
              <c:strCache>
                <c:ptCount val="1"/>
                <c:pt idx="0">
                  <c:v>Baseline 1</c:v>
                </c:pt>
              </c:strCache>
            </c:strRef>
          </c:tx>
          <c:spPr>
            <a:solidFill>
              <a:schemeClr val="accent1"/>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GraficasPolicyNote!$M$80:$M$87</c:f>
              <c:numCache>
                <c:formatCode>0%</c:formatCode>
                <c:ptCount val="8"/>
                <c:pt idx="0">
                  <c:v>0.41957356893675063</c:v>
                </c:pt>
                <c:pt idx="1">
                  <c:v>0.53276345251792612</c:v>
                </c:pt>
                <c:pt idx="2">
                  <c:v>0.35606192216405236</c:v>
                </c:pt>
                <c:pt idx="3">
                  <c:v>0.34502068718767648</c:v>
                </c:pt>
                <c:pt idx="4">
                  <c:v>0.41223391430401857</c:v>
                </c:pt>
                <c:pt idx="5">
                  <c:v>0.15661218949068106</c:v>
                </c:pt>
                <c:pt idx="6">
                  <c:v>0.25081643833917877</c:v>
                </c:pt>
                <c:pt idx="7">
                  <c:v>0.35999396161385006</c:v>
                </c:pt>
              </c:numCache>
            </c:numRef>
          </c:val>
          <c:extLst>
            <c:ext xmlns:c16="http://schemas.microsoft.com/office/drawing/2014/chart" uri="{C3380CC4-5D6E-409C-BE32-E72D297353CC}">
              <c16:uniqueId val="{00000000-A032-49D8-B775-F15D81B30C62}"/>
            </c:ext>
          </c:extLst>
        </c:ser>
        <c:ser>
          <c:idx val="1"/>
          <c:order val="1"/>
          <c:tx>
            <c:strRef>
              <c:f>GraficasPolicyNote!$N$79</c:f>
              <c:strCache>
                <c:ptCount val="1"/>
                <c:pt idx="0">
                  <c:v>Baseline 2</c:v>
                </c:pt>
              </c:strCache>
            </c:strRef>
          </c:tx>
          <c:spPr>
            <a:solidFill>
              <a:schemeClr val="accent2"/>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GraficasPolicyNote!$N$80:$N$87</c:f>
              <c:numCache>
                <c:formatCode>0%</c:formatCode>
                <c:ptCount val="8"/>
                <c:pt idx="0">
                  <c:v>0.41957356893675063</c:v>
                </c:pt>
                <c:pt idx="1">
                  <c:v>0.53276345251792612</c:v>
                </c:pt>
                <c:pt idx="2">
                  <c:v>0.36574475609915563</c:v>
                </c:pt>
                <c:pt idx="3">
                  <c:v>0.34502068718767648</c:v>
                </c:pt>
                <c:pt idx="4">
                  <c:v>0.41223391430401857</c:v>
                </c:pt>
                <c:pt idx="5">
                  <c:v>0.15661218949068106</c:v>
                </c:pt>
                <c:pt idx="6">
                  <c:v>0.36004674798666247</c:v>
                </c:pt>
                <c:pt idx="7">
                  <c:v>0.31421807050484601</c:v>
                </c:pt>
              </c:numCache>
            </c:numRef>
          </c:val>
          <c:extLst>
            <c:ext xmlns:c16="http://schemas.microsoft.com/office/drawing/2014/chart" uri="{C3380CC4-5D6E-409C-BE32-E72D297353CC}">
              <c16:uniqueId val="{00000001-A032-49D8-B775-F15D81B30C62}"/>
            </c:ext>
          </c:extLst>
        </c:ser>
        <c:ser>
          <c:idx val="2"/>
          <c:order val="2"/>
          <c:tx>
            <c:strRef>
              <c:f>GraficasPolicyNote!$O$79</c:f>
              <c:strCache>
                <c:ptCount val="1"/>
                <c:pt idx="0">
                  <c:v>Baseline 3</c:v>
                </c:pt>
              </c:strCache>
            </c:strRef>
          </c:tx>
          <c:spPr>
            <a:solidFill>
              <a:schemeClr val="accent3"/>
            </a:solidFill>
            <a:ln>
              <a:noFill/>
            </a:ln>
            <a:effectLst/>
          </c:spPr>
          <c:invertIfNegative val="0"/>
          <c:cat>
            <c:strRef>
              <c:f>GraficasPolicyNote!$L$80:$L$87</c:f>
              <c:strCache>
                <c:ptCount val="8"/>
                <c:pt idx="0">
                  <c:v>LPG (Butane)</c:v>
                </c:pt>
                <c:pt idx="1">
                  <c:v>Kerosene (Pétrole Lampant)</c:v>
                </c:pt>
                <c:pt idx="2">
                  <c:v>Diesel (Gasoil)</c:v>
                </c:pt>
                <c:pt idx="3">
                  <c:v>Regular Gasoline (Essence Ordinaire)</c:v>
                </c:pt>
                <c:pt idx="4">
                  <c:v>Boat Gasoline (Essence Pirogue)</c:v>
                </c:pt>
                <c:pt idx="5">
                  <c:v>Premium Gasoline  (Super Carburant)</c:v>
                </c:pt>
                <c:pt idx="6">
                  <c:v>Household Gasoline</c:v>
                </c:pt>
                <c:pt idx="7">
                  <c:v>Industry Fuel Mix</c:v>
                </c:pt>
              </c:strCache>
            </c:strRef>
          </c:cat>
          <c:val>
            <c:numRef>
              <c:f>GraficasPolicyNote!$O$80:$O$87</c:f>
              <c:numCache>
                <c:formatCode>0%</c:formatCode>
                <c:ptCount val="8"/>
                <c:pt idx="0">
                  <c:v>0.257594544971531</c:v>
                </c:pt>
                <c:pt idx="1">
                  <c:v>0.46872687776634153</c:v>
                </c:pt>
                <c:pt idx="2">
                  <c:v>0.29020491337609816</c:v>
                </c:pt>
                <c:pt idx="3">
                  <c:v>0.23794853746758995</c:v>
                </c:pt>
                <c:pt idx="4">
                  <c:v>0.31031555231605862</c:v>
                </c:pt>
                <c:pt idx="5">
                  <c:v>0.1010104555400574</c:v>
                </c:pt>
                <c:pt idx="6">
                  <c:v>0.27919844772883534</c:v>
                </c:pt>
                <c:pt idx="7">
                  <c:v>0.24261047771763</c:v>
                </c:pt>
              </c:numCache>
            </c:numRef>
          </c:val>
          <c:extLst>
            <c:ext xmlns:c16="http://schemas.microsoft.com/office/drawing/2014/chart" uri="{C3380CC4-5D6E-409C-BE32-E72D297353CC}">
              <c16:uniqueId val="{00000002-A032-49D8-B775-F15D81B30C62}"/>
            </c:ext>
          </c:extLst>
        </c:ser>
        <c:dLbls>
          <c:showLegendKey val="0"/>
          <c:showVal val="0"/>
          <c:showCatName val="0"/>
          <c:showSerName val="0"/>
          <c:showPercent val="0"/>
          <c:showBubbleSize val="0"/>
        </c:dLbls>
        <c:gapWidth val="100"/>
        <c:axId val="1099943359"/>
        <c:axId val="1753876831"/>
      </c:barChart>
      <c:catAx>
        <c:axId val="1099943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876831"/>
        <c:crosses val="autoZero"/>
        <c:auto val="1"/>
        <c:lblAlgn val="ctr"/>
        <c:lblOffset val="100"/>
        <c:noMultiLvlLbl val="0"/>
      </c:catAx>
      <c:valAx>
        <c:axId val="175387683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9433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5B9BD5">
                <a:alpha val="80000"/>
              </a:srgbClr>
            </a:solidFill>
            <a:ln>
              <a:noFill/>
            </a:ln>
            <a:effectLst/>
          </c:spPr>
          <c:invertIfNegative val="0"/>
          <c:cat>
            <c:strRef>
              <c:f>GraficasPolicyNote!$A$111:$A$113</c:f>
              <c:strCache>
                <c:ptCount val="3"/>
                <c:pt idx="0">
                  <c:v>Gasoline</c:v>
                </c:pt>
                <c:pt idx="1">
                  <c:v>Pétrole Lampant</c:v>
                </c:pt>
                <c:pt idx="2">
                  <c:v>Butane</c:v>
                </c:pt>
              </c:strCache>
            </c:strRef>
          </c:cat>
          <c:val>
            <c:numRef>
              <c:f>GraficasPolicyNote!$E$111:$E$113</c:f>
              <c:numCache>
                <c:formatCode>0%</c:formatCode>
                <c:ptCount val="3"/>
                <c:pt idx="0">
                  <c:v>0.13981260000000001</c:v>
                </c:pt>
                <c:pt idx="1">
                  <c:v>2.7185999999999998E-3</c:v>
                </c:pt>
                <c:pt idx="2">
                  <c:v>0.47765170000000001</c:v>
                </c:pt>
              </c:numCache>
            </c:numRef>
          </c:val>
          <c:extLst>
            <c:ext xmlns:c16="http://schemas.microsoft.com/office/drawing/2014/chart" uri="{C3380CC4-5D6E-409C-BE32-E72D297353CC}">
              <c16:uniqueId val="{00000000-69C4-44CB-BD5A-6C0D11E65EAD}"/>
            </c:ext>
          </c:extLst>
        </c:ser>
        <c:dLbls>
          <c:showLegendKey val="0"/>
          <c:showVal val="0"/>
          <c:showCatName val="0"/>
          <c:showSerName val="0"/>
          <c:showPercent val="0"/>
          <c:showBubbleSize val="0"/>
        </c:dLbls>
        <c:gapWidth val="100"/>
        <c:overlap val="100"/>
        <c:axId val="1247514447"/>
        <c:axId val="310938848"/>
      </c:barChart>
      <c:catAx>
        <c:axId val="1247514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38848"/>
        <c:crosses val="autoZero"/>
        <c:auto val="1"/>
        <c:lblAlgn val="ctr"/>
        <c:lblOffset val="100"/>
        <c:noMultiLvlLbl val="0"/>
      </c:catAx>
      <c:valAx>
        <c:axId val="310938848"/>
        <c:scaling>
          <c:orientation val="minMax"/>
          <c:max val="0.5"/>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7514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Elec_Coverage!$I$5</c:f>
              <c:strCache>
                <c:ptCount val="1"/>
                <c:pt idx="0">
                  <c:v>VAT</c:v>
                </c:pt>
              </c:strCache>
            </c:strRef>
          </c:tx>
          <c:spPr>
            <a:solidFill>
              <a:srgbClr val="FFA764">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Elec_Coverage!$I$6:$I$15</c:f>
              <c:numCache>
                <c:formatCode>0.0</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0-5B7A-4E40-B893-F94CAB00B2BE}"/>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Elec_Coverage!$I$4</c:f>
              <c:strCache>
                <c:ptCount val="1"/>
                <c:pt idx="0">
                  <c:v>Percentage of population who pays VAT on electricity</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6E50-43D9-8B3B-ACF1AFAB5B44}"/>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4358215223097112"/>
          <c:y val="3.0269607843137241E-2"/>
          <c:w val="0.82708451443569564"/>
          <c:h val="0.79151709896557043"/>
        </c:manualLayout>
      </c:layout>
      <c:barChart>
        <c:barDir val="col"/>
        <c:grouping val="stacked"/>
        <c:varyColors val="0"/>
        <c:ser>
          <c:idx val="0"/>
          <c:order val="0"/>
          <c:tx>
            <c:strRef>
              <c:f>Elec_Coverage!$J$5</c:f>
              <c:strCache>
                <c:ptCount val="1"/>
                <c:pt idx="0">
                  <c:v>Subsidies</c:v>
                </c:pt>
              </c:strCache>
            </c:strRef>
          </c:tx>
          <c:spPr>
            <a:solidFill>
              <a:srgbClr val="F58D98">
                <a:alpha val="70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Elec_Coverage!$H$6:$H$15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Elec_Coverage!$J$6:$J$15</c:f>
              <c:numCache>
                <c:formatCode>0.0</c:formatCode>
                <c:ptCount val="10"/>
                <c:pt idx="0">
                  <c:v>16.720212765615507</c:v>
                </c:pt>
                <c:pt idx="1">
                  <c:v>26.77015330337537</c:v>
                </c:pt>
                <c:pt idx="2">
                  <c:v>35.14958313444334</c:v>
                </c:pt>
                <c:pt idx="3">
                  <c:v>47.960527696750411</c:v>
                </c:pt>
                <c:pt idx="4">
                  <c:v>54.701414613138624</c:v>
                </c:pt>
                <c:pt idx="5">
                  <c:v>65.529724552606083</c:v>
                </c:pt>
                <c:pt idx="6">
                  <c:v>76.038868575210813</c:v>
                </c:pt>
                <c:pt idx="7">
                  <c:v>83.968468032633893</c:v>
                </c:pt>
                <c:pt idx="8">
                  <c:v>89.76454541193803</c:v>
                </c:pt>
                <c:pt idx="9">
                  <c:v>95.27484167555302</c:v>
                </c:pt>
              </c:numCache>
            </c:numRef>
          </c:val>
          <c:extLst>
            <c:ext xmlns:c16="http://schemas.microsoft.com/office/drawing/2014/chart" uri="{C3380CC4-5D6E-409C-BE32-E72D297353CC}">
              <c16:uniqueId val="{00000000-C186-4B02-BBC9-F031C7AB90C8}"/>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Elec_Coverage!$A$16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Elec_Coverage!$J$4</c:f>
              <c:strCache>
                <c:ptCount val="1"/>
                <c:pt idx="0">
                  <c:v>Percentage of population receiving electricity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Fuels_Coverage!$I$5</c:f>
              <c:strCache>
                <c:ptCount val="1"/>
                <c:pt idx="0">
                  <c:v>VAT</c:v>
                </c:pt>
              </c:strCache>
            </c:strRef>
          </c:tx>
          <c:spPr>
            <a:solidFill>
              <a:srgbClr val="FFA764">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Fuels_Coverage!$I$6:$I$15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324A-4856-AC5F-F425A0F31096}"/>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Fuels_Coverage!$I$4</c:f>
              <c:strCache>
                <c:ptCount val="1"/>
                <c:pt idx="0">
                  <c:v>Percentage of population who pays VAT on fuel</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C9A8-4503-8B7E-E0064A6B357D}"/>
            </c:ext>
          </c:extLst>
        </c:ser>
        <c:dLbls>
          <c:showLegendKey val="0"/>
          <c:showVal val="0"/>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2468327822658531"/>
          <c:y val="4.6609477124183007E-2"/>
          <c:w val="0.84886169531838818"/>
          <c:h val="0.81529160876949203"/>
        </c:manualLayout>
      </c:layout>
      <c:barChart>
        <c:barDir val="col"/>
        <c:grouping val="stacked"/>
        <c:varyColors val="0"/>
        <c:ser>
          <c:idx val="0"/>
          <c:order val="0"/>
          <c:tx>
            <c:strRef>
              <c:f>Fuels_Coverage!$J$5</c:f>
              <c:strCache>
                <c:ptCount val="1"/>
                <c:pt idx="0">
                  <c:v>Subsidies</c:v>
                </c:pt>
              </c:strCache>
            </c:strRef>
          </c:tx>
          <c:spPr>
            <a:solidFill>
              <a:srgbClr val="F58D98">
                <a:alpha val="70000"/>
              </a:srgbClr>
            </a:solidFill>
            <a:ln>
              <a:noFill/>
            </a:ln>
            <a:effectLst/>
          </c:spPr>
          <c:invertIfNegative val="0"/>
          <c:dLbls>
            <c:numFmt formatCode="0.0" sourceLinked="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Fuels_Coverage!$H$6:$H$15</c:f>
              <c:strCache>
                <c:ptCount val="10"/>
                <c:pt idx="0">
                  <c:v>Bottom decile</c:v>
                </c:pt>
                <c:pt idx="1">
                  <c:v>2</c:v>
                </c:pt>
                <c:pt idx="2">
                  <c:v>3</c:v>
                </c:pt>
                <c:pt idx="3">
                  <c:v>4</c:v>
                </c:pt>
                <c:pt idx="4">
                  <c:v>5</c:v>
                </c:pt>
                <c:pt idx="5">
                  <c:v>6</c:v>
                </c:pt>
                <c:pt idx="6">
                  <c:v>7</c:v>
                </c:pt>
                <c:pt idx="7">
                  <c:v>8</c:v>
                </c:pt>
                <c:pt idx="8">
                  <c:v>9</c:v>
                </c:pt>
                <c:pt idx="9">
                  <c:v>Top decile</c:v>
                </c:pt>
              </c:strCache>
            </c:strRef>
          </c:cat>
          <c:val>
            <c:numRef>
              <c:f>Fuels_Coverage!$J$6:$J$15</c:f>
              <c:numCache>
                <c:formatCode>0.000</c:formatCode>
                <c:ptCount val="10"/>
                <c:pt idx="0">
                  <c:v>13.43968454009388</c:v>
                </c:pt>
                <c:pt idx="1">
                  <c:v>21.475888404610366</c:v>
                </c:pt>
                <c:pt idx="2">
                  <c:v>32.369381266979495</c:v>
                </c:pt>
                <c:pt idx="3">
                  <c:v>35.879051326174988</c:v>
                </c:pt>
                <c:pt idx="4">
                  <c:v>49.927308929270865</c:v>
                </c:pt>
                <c:pt idx="5">
                  <c:v>62.27142647376612</c:v>
                </c:pt>
                <c:pt idx="6">
                  <c:v>66.497172804334895</c:v>
                </c:pt>
                <c:pt idx="7">
                  <c:v>79.386597692503528</c:v>
                </c:pt>
                <c:pt idx="8">
                  <c:v>89.41446559291299</c:v>
                </c:pt>
                <c:pt idx="9">
                  <c:v>91.524558568742066</c:v>
                </c:pt>
              </c:numCache>
            </c:numRef>
          </c:val>
          <c:extLst>
            <c:ext xmlns:c16="http://schemas.microsoft.com/office/drawing/2014/chart" uri="{C3380CC4-5D6E-409C-BE32-E72D297353CC}">
              <c16:uniqueId val="{00000000-036A-43E7-9363-B251886B9B64}"/>
            </c:ext>
          </c:extLst>
        </c:ser>
        <c:dLbls>
          <c:dLblPos val="inEnd"/>
          <c:showLegendKey val="0"/>
          <c:showVal val="1"/>
          <c:showCatName val="0"/>
          <c:showSerName val="0"/>
          <c:showPercent val="0"/>
          <c:showBubbleSize val="0"/>
        </c:dLbls>
        <c:gapWidth val="150"/>
        <c:overlap val="100"/>
        <c:axId val="245173232"/>
        <c:axId val="245174480"/>
      </c:barChart>
      <c:catAx>
        <c:axId val="245173232"/>
        <c:scaling>
          <c:orientation val="minMax"/>
        </c:scaling>
        <c:delete val="0"/>
        <c:axPos val="b"/>
        <c:title>
          <c:tx>
            <c:strRef>
              <c:f>Fuels_Coverage!$A$16</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4480"/>
        <c:crosses val="autoZero"/>
        <c:auto val="1"/>
        <c:lblAlgn val="ctr"/>
        <c:lblOffset val="100"/>
        <c:noMultiLvlLbl val="0"/>
      </c:catAx>
      <c:valAx>
        <c:axId val="245174480"/>
        <c:scaling>
          <c:orientation val="minMax"/>
          <c:max val="100"/>
        </c:scaling>
        <c:delete val="0"/>
        <c:axPos val="l"/>
        <c:title>
          <c:tx>
            <c:strRef>
              <c:f>Fuels_Coverage!$J$4</c:f>
              <c:strCache>
                <c:ptCount val="1"/>
                <c:pt idx="0">
                  <c:v>Percentage of population receiving fuel subsidies</c:v>
                </c:pt>
              </c:strCache>
            </c:strRef>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245173232"/>
        <c:crosses val="autoZero"/>
        <c:crossBetween val="between"/>
        <c:majorUnit val="20"/>
      </c:valAx>
      <c:spPr>
        <a:noFill/>
        <a:ln>
          <a:noFill/>
        </a:ln>
        <a:effectLst/>
      </c:spPr>
    </c:plotArea>
    <c:plotVisOnly val="1"/>
    <c:dispBlanksAs val="gap"/>
    <c:showDLblsOverMax val="0"/>
    <c:extLst/>
  </c:chart>
  <c:spPr>
    <a:solidFill>
      <a:schemeClr val="bg1"/>
    </a:solidFill>
    <a:ln w="9525" cap="flat" cmpd="sng" algn="ctr">
      <a:noFill/>
      <a:round/>
    </a:ln>
    <a:effectLst/>
  </c:spPr>
  <c:txPr>
    <a:bodyPr/>
    <a:lstStyle/>
    <a:p>
      <a:pPr>
        <a:defRPr sz="1050"/>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RI!$K$7</c:f>
              <c:strCache>
                <c:ptCount val="1"/>
                <c:pt idx="0">
                  <c:v>Direct</c:v>
                </c:pt>
              </c:strCache>
            </c:strRef>
          </c:tx>
          <c:spPr>
            <a:solidFill>
              <a:srgbClr val="F58D98">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RI!$K$8:$K$17</c:f>
              <c:numCache>
                <c:formatCode>0.00000</c:formatCode>
                <c:ptCount val="10"/>
                <c:pt idx="0">
                  <c:v>0.27306197122921166</c:v>
                </c:pt>
                <c:pt idx="1">
                  <c:v>0.38075674211330962</c:v>
                </c:pt>
                <c:pt idx="2">
                  <c:v>0.31611845255830928</c:v>
                </c:pt>
                <c:pt idx="3">
                  <c:v>0.35497759472974699</c:v>
                </c:pt>
                <c:pt idx="4">
                  <c:v>0.43797507581312711</c:v>
                </c:pt>
                <c:pt idx="5">
                  <c:v>0.50604452989921744</c:v>
                </c:pt>
                <c:pt idx="6">
                  <c:v>0.53498929814240148</c:v>
                </c:pt>
                <c:pt idx="7">
                  <c:v>0.7063797417061326</c:v>
                </c:pt>
                <c:pt idx="8">
                  <c:v>0.74301592560844143</c:v>
                </c:pt>
                <c:pt idx="9">
                  <c:v>0.89877856149871083</c:v>
                </c:pt>
              </c:numCache>
            </c:numRef>
          </c:val>
          <c:extLst>
            <c:ext xmlns:c16="http://schemas.microsoft.com/office/drawing/2014/chart" uri="{C3380CC4-5D6E-409C-BE32-E72D297353CC}">
              <c16:uniqueId val="{00000000-1834-4EA0-8003-F49647B73E48}"/>
            </c:ext>
          </c:extLst>
        </c:ser>
        <c:ser>
          <c:idx val="1"/>
          <c:order val="1"/>
          <c:tx>
            <c:strRef>
              <c:f>RI!$L$7</c:f>
              <c:strCache>
                <c:ptCount val="1"/>
                <c:pt idx="0">
                  <c:v>Indirect</c:v>
                </c:pt>
              </c:strCache>
            </c:strRef>
          </c:tx>
          <c:spPr>
            <a:solidFill>
              <a:srgbClr val="EB6C15">
                <a:alpha val="65000"/>
              </a:srgbClr>
            </a:solidFill>
            <a:ln>
              <a:noFill/>
            </a:ln>
            <a:effectLst/>
          </c:spPr>
          <c:invertIfNegative val="0"/>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RI!$L$8:$L$17</c:f>
              <c:numCache>
                <c:formatCode>0.00000</c:formatCode>
                <c:ptCount val="10"/>
                <c:pt idx="0">
                  <c:v>0.3289242627940841</c:v>
                </c:pt>
                <c:pt idx="1">
                  <c:v>0.36028599332093314</c:v>
                </c:pt>
                <c:pt idx="2">
                  <c:v>0.36705643966509383</c:v>
                </c:pt>
                <c:pt idx="3">
                  <c:v>0.38865667458878972</c:v>
                </c:pt>
                <c:pt idx="4">
                  <c:v>0.39408544362300746</c:v>
                </c:pt>
                <c:pt idx="5">
                  <c:v>0.39360415713108315</c:v>
                </c:pt>
                <c:pt idx="6">
                  <c:v>0.40257348552363215</c:v>
                </c:pt>
                <c:pt idx="7">
                  <c:v>0.40244905314516827</c:v>
                </c:pt>
                <c:pt idx="8">
                  <c:v>0.39867946724971726</c:v>
                </c:pt>
                <c:pt idx="9">
                  <c:v>0.40980617771800965</c:v>
                </c:pt>
              </c:numCache>
            </c:numRef>
          </c:val>
          <c:extLst>
            <c:ext xmlns:c16="http://schemas.microsoft.com/office/drawing/2014/chart" uri="{C3380CC4-5D6E-409C-BE32-E72D297353CC}">
              <c16:uniqueId val="{00000001-1834-4EA0-8003-F49647B73E48}"/>
            </c:ext>
          </c:extLst>
        </c:ser>
        <c:dLbls>
          <c:showLegendKey val="0"/>
          <c:showVal val="0"/>
          <c:showCatName val="0"/>
          <c:showSerName val="0"/>
          <c:showPercent val="0"/>
          <c:showBubbleSize val="0"/>
        </c:dLbls>
        <c:gapWidth val="150"/>
        <c:overlap val="100"/>
        <c:axId val="235910688"/>
        <c:axId val="235905280"/>
      </c:barChart>
      <c:lineChart>
        <c:grouping val="standard"/>
        <c:varyColors val="0"/>
        <c:ser>
          <c:idx val="2"/>
          <c:order val="2"/>
          <c:tx>
            <c:strRef>
              <c:f>RI!$M$7</c:f>
              <c:strCache>
                <c:ptCount val="1"/>
                <c:pt idx="0">
                  <c:v>Total</c:v>
                </c:pt>
              </c:strCache>
            </c:strRef>
          </c:tx>
          <c:spPr>
            <a:ln w="12700" cap="rnd">
              <a:solidFill>
                <a:schemeClr val="bg2">
                  <a:lumMod val="25000"/>
                </a:schemeClr>
              </a:solidFill>
              <a:round/>
            </a:ln>
            <a:effectLst/>
          </c:spPr>
          <c:marker>
            <c:symbol val="none"/>
          </c:marker>
          <c:cat>
            <c:strRef>
              <c:f>RI!$J$8:$J$17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RI!$M$8:$M$17</c:f>
              <c:numCache>
                <c:formatCode>0.00000</c:formatCode>
                <c:ptCount val="10"/>
                <c:pt idx="0">
                  <c:v>0.60198623402329576</c:v>
                </c:pt>
                <c:pt idx="1">
                  <c:v>0.74104273543424282</c:v>
                </c:pt>
                <c:pt idx="2">
                  <c:v>0.68317489222340322</c:v>
                </c:pt>
                <c:pt idx="3">
                  <c:v>0.74363426931853671</c:v>
                </c:pt>
                <c:pt idx="4">
                  <c:v>0.83206051943613468</c:v>
                </c:pt>
                <c:pt idx="5">
                  <c:v>0.89964868703030065</c:v>
                </c:pt>
                <c:pt idx="6">
                  <c:v>0.93756278366603374</c:v>
                </c:pt>
                <c:pt idx="7">
                  <c:v>1.1088287948513009</c:v>
                </c:pt>
                <c:pt idx="8">
                  <c:v>1.1416953928581586</c:v>
                </c:pt>
                <c:pt idx="9">
                  <c:v>1.3085847392167205</c:v>
                </c:pt>
              </c:numCache>
            </c:numRef>
          </c:val>
          <c:smooth val="0"/>
          <c:extLst>
            <c:ext xmlns:c16="http://schemas.microsoft.com/office/drawing/2014/chart" uri="{C3380CC4-5D6E-409C-BE32-E72D297353CC}">
              <c16:uniqueId val="{00000002-1834-4EA0-8003-F49647B73E48}"/>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RI!$B$15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RI!$B$18</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AI!$K$7</c:f>
              <c:strCache>
                <c:ptCount val="1"/>
                <c:pt idx="0">
                  <c:v>Direct</c:v>
                </c:pt>
              </c:strCache>
            </c:strRef>
          </c:tx>
          <c:spPr>
            <a:solidFill>
              <a:srgbClr val="F58D98">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1.1111328215431018</c:v>
                </c:pt>
                <c:pt idx="1">
                  <c:v>2.3103496454869852</c:v>
                </c:pt>
                <c:pt idx="2">
                  <c:v>2.3352025152583824</c:v>
                </c:pt>
                <c:pt idx="3">
                  <c:v>3.1222540868277036</c:v>
                </c:pt>
                <c:pt idx="4">
                  <c:v>4.4988623406524066</c:v>
                </c:pt>
                <c:pt idx="5">
                  <c:v>6.1353773160896568</c:v>
                </c:pt>
                <c:pt idx="6">
                  <c:v>7.7528679320398712</c:v>
                </c:pt>
                <c:pt idx="7">
                  <c:v>12.366136699133571</c:v>
                </c:pt>
                <c:pt idx="8">
                  <c:v>16.987904561102106</c:v>
                </c:pt>
                <c:pt idx="9">
                  <c:v>43.379912081866216</c:v>
                </c:pt>
              </c:numCache>
            </c:numRef>
          </c:val>
          <c:extLst>
            <c:ext xmlns:c16="http://schemas.microsoft.com/office/drawing/2014/chart" uri="{C3380CC4-5D6E-409C-BE32-E72D297353CC}">
              <c16:uniqueId val="{00000000-E4DF-465F-9C38-76862C9E4FFA}"/>
            </c:ext>
          </c:extLst>
        </c:ser>
        <c:ser>
          <c:idx val="1"/>
          <c:order val="1"/>
          <c:tx>
            <c:strRef>
              <c:f>AI!$L$7</c:f>
              <c:strCache>
                <c:ptCount val="1"/>
                <c:pt idx="0">
                  <c:v>Indirect</c:v>
                </c:pt>
              </c:strCache>
            </c:strRef>
          </c:tx>
          <c:spPr>
            <a:solidFill>
              <a:srgbClr val="EB6C15">
                <a:alpha val="65000"/>
              </a:srgbClr>
            </a:solidFill>
            <a:ln>
              <a:noFill/>
            </a:ln>
            <a:effectLst/>
          </c:spPr>
          <c:invertIfNegative val="0"/>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AI!$L$8:$L$17</c:f>
              <c:numCache>
                <c:formatCode>0.0</c:formatCode>
                <c:ptCount val="10"/>
                <c:pt idx="0">
                  <c:v>2.3851802028715809</c:v>
                </c:pt>
                <c:pt idx="1">
                  <c:v>3.7367319909258319</c:v>
                </c:pt>
                <c:pt idx="2">
                  <c:v>4.6386531257942236</c:v>
                </c:pt>
                <c:pt idx="3">
                  <c:v>5.835464092220028</c:v>
                </c:pt>
                <c:pt idx="4">
                  <c:v>6.9262926254852655</c:v>
                </c:pt>
                <c:pt idx="5">
                  <c:v>8.1353075837813584</c:v>
                </c:pt>
                <c:pt idx="6">
                  <c:v>10.010900752559373</c:v>
                </c:pt>
                <c:pt idx="7">
                  <c:v>12.137539801981557</c:v>
                </c:pt>
                <c:pt idx="8">
                  <c:v>15.58840196597002</c:v>
                </c:pt>
                <c:pt idx="9">
                  <c:v>30.605527858410763</c:v>
                </c:pt>
              </c:numCache>
            </c:numRef>
          </c:val>
          <c:extLst>
            <c:ext xmlns:c16="http://schemas.microsoft.com/office/drawing/2014/chart" uri="{C3380CC4-5D6E-409C-BE32-E72D297353CC}">
              <c16:uniqueId val="{00000001-E4DF-465F-9C38-76862C9E4FFA}"/>
            </c:ext>
          </c:extLst>
        </c:ser>
        <c:dLbls>
          <c:showLegendKey val="0"/>
          <c:showVal val="0"/>
          <c:showCatName val="0"/>
          <c:showSerName val="0"/>
          <c:showPercent val="0"/>
          <c:showBubbleSize val="0"/>
        </c:dLbls>
        <c:gapWidth val="150"/>
        <c:axId val="235910688"/>
        <c:axId val="235905280"/>
      </c:barChart>
      <c:lineChart>
        <c:grouping val="standard"/>
        <c:varyColors val="0"/>
        <c:ser>
          <c:idx val="2"/>
          <c:order val="2"/>
          <c:tx>
            <c:strRef>
              <c:f>AI!$M$7</c:f>
              <c:strCache>
                <c:ptCount val="1"/>
                <c:pt idx="0">
                  <c:v>Total</c:v>
                </c:pt>
              </c:strCache>
            </c:strRef>
          </c:tx>
          <c:spPr>
            <a:ln w="12700" cap="rnd">
              <a:solidFill>
                <a:schemeClr val="bg2">
                  <a:lumMod val="25000"/>
                </a:schemeClr>
              </a:solidFill>
              <a:round/>
            </a:ln>
            <a:effectLst/>
          </c:spPr>
          <c:marker>
            <c:symbol val="none"/>
          </c:marker>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AI!$M$8:$M$17</c:f>
              <c:numCache>
                <c:formatCode>_(* #,##0.00_);_(* \(#,##0.00\);_(* "-"??_);_(@_)</c:formatCode>
                <c:ptCount val="10"/>
                <c:pt idx="0">
                  <c:v>1.5815427282143819</c:v>
                </c:pt>
                <c:pt idx="1">
                  <c:v>2.8370054008606962</c:v>
                </c:pt>
                <c:pt idx="2">
                  <c:v>3.1856936371774185</c:v>
                </c:pt>
                <c:pt idx="3">
                  <c:v>4.1240385448635868</c:v>
                </c:pt>
                <c:pt idx="4">
                  <c:v>5.3951298346828009</c:v>
                </c:pt>
                <c:pt idx="5">
                  <c:v>6.8738011960500227</c:v>
                </c:pt>
                <c:pt idx="6">
                  <c:v>8.5865896789137448</c:v>
                </c:pt>
                <c:pt idx="7">
                  <c:v>12.281733052432063</c:v>
                </c:pt>
                <c:pt idx="8">
                  <c:v>16.471173476520431</c:v>
                </c:pt>
                <c:pt idx="9">
                  <c:v>38.663292450284814</c:v>
                </c:pt>
              </c:numCache>
            </c:numRef>
          </c:val>
          <c:smooth val="0"/>
          <c:extLst>
            <c:ext xmlns:c16="http://schemas.microsoft.com/office/drawing/2014/chart" uri="{C3380CC4-5D6E-409C-BE32-E72D297353CC}">
              <c16:uniqueId val="{00000002-E4DF-465F-9C38-76862C9E4FFA}"/>
            </c:ext>
          </c:extLst>
        </c:ser>
        <c:dLbls>
          <c:showLegendKey val="0"/>
          <c:showVal val="0"/>
          <c:showCatName val="0"/>
          <c:showSerName val="0"/>
          <c:showPercent val="0"/>
          <c:showBubbleSize val="0"/>
        </c:dLbls>
        <c:marker val="1"/>
        <c:smooth val="0"/>
        <c:axId val="235910688"/>
        <c:axId val="235905280"/>
      </c:line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strRef>
              <c:f>AI!$B$18</c:f>
              <c:strCache>
                <c:ptCount val="1"/>
                <c:pt idx="0">
                  <c:v>Percentage of total subsidy</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AI!$K$7</c:f>
              <c:strCache>
                <c:ptCount val="1"/>
                <c:pt idx="0">
                  <c:v>Direct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AI!$J$8:$J$17</c:f>
              <c:strCache>
                <c:ptCount val="10"/>
                <c:pt idx="0">
                  <c:v>Bottom decile</c:v>
                </c:pt>
                <c:pt idx="1">
                  <c:v>2</c:v>
                </c:pt>
                <c:pt idx="2">
                  <c:v>3</c:v>
                </c:pt>
                <c:pt idx="3">
                  <c:v>4</c:v>
                </c:pt>
                <c:pt idx="4">
                  <c:v>5</c:v>
                </c:pt>
                <c:pt idx="5">
                  <c:v>6</c:v>
                </c:pt>
                <c:pt idx="6">
                  <c:v>7</c:v>
                </c:pt>
                <c:pt idx="7">
                  <c:v>8</c:v>
                </c:pt>
                <c:pt idx="8">
                  <c:v>9</c:v>
                </c:pt>
                <c:pt idx="9">
                  <c:v>Top decile</c:v>
                </c:pt>
              </c:strCache>
            </c:strRef>
          </c:cat>
          <c:val>
            <c:numRef>
              <c:f>AI!$K$8:$K$17</c:f>
              <c:numCache>
                <c:formatCode>0.00000</c:formatCode>
                <c:ptCount val="10"/>
                <c:pt idx="0">
                  <c:v>1.1111328215431018</c:v>
                </c:pt>
                <c:pt idx="1">
                  <c:v>2.3103496454869852</c:v>
                </c:pt>
                <c:pt idx="2">
                  <c:v>2.3352025152583824</c:v>
                </c:pt>
                <c:pt idx="3">
                  <c:v>3.1222540868277036</c:v>
                </c:pt>
                <c:pt idx="4">
                  <c:v>4.4988623406524066</c:v>
                </c:pt>
                <c:pt idx="5">
                  <c:v>6.1353773160896568</c:v>
                </c:pt>
                <c:pt idx="6">
                  <c:v>7.7528679320398712</c:v>
                </c:pt>
                <c:pt idx="7">
                  <c:v>12.366136699133571</c:v>
                </c:pt>
                <c:pt idx="8">
                  <c:v>16.987904561102106</c:v>
                </c:pt>
                <c:pt idx="9">
                  <c:v>43.379912081866216</c:v>
                </c:pt>
              </c:numCache>
            </c:numRef>
          </c:val>
          <c:extLst>
            <c:ext xmlns:c16="http://schemas.microsoft.com/office/drawing/2014/chart" uri="{C3380CC4-5D6E-409C-BE32-E72D297353CC}">
              <c16:uniqueId val="{00000001-C4B5-4822-9DF8-D6292063E3D7}"/>
            </c:ext>
          </c:extLst>
        </c:ser>
        <c:dLbls>
          <c:dLblPos val="outEnd"/>
          <c:showLegendKey val="0"/>
          <c:showVal val="1"/>
          <c:showCatName val="0"/>
          <c:showSerName val="0"/>
          <c:showPercent val="0"/>
          <c:showBubbleSize val="0"/>
        </c:dLbls>
        <c:gapWidth val="150"/>
        <c:axId val="235910688"/>
        <c:axId val="235905280"/>
      </c:barChart>
      <c:catAx>
        <c:axId val="235910688"/>
        <c:scaling>
          <c:orientation val="minMax"/>
        </c:scaling>
        <c:delete val="0"/>
        <c:axPos val="b"/>
        <c:title>
          <c:tx>
            <c:strRef>
              <c:f>AI!$A$15</c:f>
              <c:strCache>
                <c:ptCount val="1"/>
                <c:pt idx="0">
                  <c:v>Deciles of Per Capita Disposable Income</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05280"/>
        <c:crosses val="autoZero"/>
        <c:auto val="1"/>
        <c:lblAlgn val="ctr"/>
        <c:lblOffset val="100"/>
        <c:noMultiLvlLbl val="0"/>
      </c:catAx>
      <c:valAx>
        <c:axId val="23590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total subsidies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910688"/>
        <c:crosses val="autoZero"/>
        <c:crossBetween val="between"/>
        <c:majorUnit val="1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FA764">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RI_Con!$I$7:$I$16</c:f>
              <c:numCache>
                <c:formatCode>0.00</c:formatCode>
                <c:ptCount val="10"/>
                <c:pt idx="0">
                  <c:v>-0.31591006014435408</c:v>
                </c:pt>
                <c:pt idx="1">
                  <c:v>-0.40561424065831736</c:v>
                </c:pt>
                <c:pt idx="2">
                  <c:v>-0.36818582832656721</c:v>
                </c:pt>
                <c:pt idx="3">
                  <c:v>-0.15080541209886858</c:v>
                </c:pt>
                <c:pt idx="4">
                  <c:v>-0.13238654783822923</c:v>
                </c:pt>
                <c:pt idx="5">
                  <c:v>-0.18491181662994943</c:v>
                </c:pt>
                <c:pt idx="6">
                  <c:v>-0.28242321525108383</c:v>
                </c:pt>
                <c:pt idx="7">
                  <c:v>-0.17730340904342468</c:v>
                </c:pt>
                <c:pt idx="8">
                  <c:v>-0.15770028757103097</c:v>
                </c:pt>
                <c:pt idx="9">
                  <c:v>-0.20416378039047156</c:v>
                </c:pt>
              </c:numCache>
            </c:numRef>
          </c:val>
          <c:extLst>
            <c:ext xmlns:c16="http://schemas.microsoft.com/office/drawing/2014/chart" uri="{C3380CC4-5D6E-409C-BE32-E72D297353CC}">
              <c16:uniqueId val="{00000000-04E9-48CB-BD88-3962D680D3D1}"/>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high"/>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RI_Con!$L$7:$L$16</c:f>
              <c:numCache>
                <c:formatCode>0.00</c:formatCode>
                <c:ptCount val="10"/>
                <c:pt idx="0">
                  <c:v>0.47032077114791732</c:v>
                </c:pt>
                <c:pt idx="1">
                  <c:v>0.61713638539413829</c:v>
                </c:pt>
                <c:pt idx="2">
                  <c:v>0.76481699319227414</c:v>
                </c:pt>
                <c:pt idx="3">
                  <c:v>0.92027871583215104</c:v>
                </c:pt>
                <c:pt idx="4">
                  <c:v>0.97080287202868865</c:v>
                </c:pt>
                <c:pt idx="5">
                  <c:v>1.1862015390143066</c:v>
                </c:pt>
                <c:pt idx="6">
                  <c:v>1.3601768795453835</c:v>
                </c:pt>
                <c:pt idx="7">
                  <c:v>1.4537675031014643</c:v>
                </c:pt>
                <c:pt idx="8">
                  <c:v>1.5528837709047172</c:v>
                </c:pt>
                <c:pt idx="9">
                  <c:v>1.5593511121870991</c:v>
                </c:pt>
              </c:numCache>
            </c:numRef>
          </c:val>
          <c:extLst>
            <c:ext xmlns:c16="http://schemas.microsoft.com/office/drawing/2014/chart" uri="{C3380CC4-5D6E-409C-BE32-E72D297353CC}">
              <c16:uniqueId val="{00000000-982D-4724-AADE-F4656C906BDC}"/>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065456574427647"/>
          <c:y val="4.743905507650524E-2"/>
          <c:w val="0.80672425689426264"/>
          <c:h val="0.6477020243266931"/>
        </c:manualLayout>
      </c:layout>
      <c:barChart>
        <c:barDir val="col"/>
        <c:grouping val="stacked"/>
        <c:varyColors val="0"/>
        <c:ser>
          <c:idx val="0"/>
          <c:order val="0"/>
          <c:tx>
            <c:strRef>
              <c:f>RI_Con!$J$6</c:f>
              <c:strCache>
                <c:ptCount val="1"/>
                <c:pt idx="0">
                  <c:v>Direct</c:v>
                </c:pt>
              </c:strCache>
            </c:strRef>
          </c:tx>
          <c:spPr>
            <a:solidFill>
              <a:srgbClr val="F58D98">
                <a:alpha val="70000"/>
              </a:srgbClr>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AE98-416A-A7E4-6364A0BA43CE}"/>
            </c:ext>
          </c:extLst>
        </c:ser>
        <c:ser>
          <c:idx val="1"/>
          <c:order val="1"/>
          <c:tx>
            <c:strRef>
              <c:f>RI_Con!$K$6</c:f>
              <c:strCache>
                <c:ptCount val="1"/>
                <c:pt idx="0">
                  <c:v>Indirect</c:v>
                </c:pt>
              </c:strCache>
            </c:strRef>
          </c:tx>
          <c:spPr>
            <a:solidFill>
              <a:schemeClr val="accent2"/>
            </a:solidFill>
            <a:ln>
              <a:noFill/>
            </a:ln>
            <a:effectLst/>
          </c:spPr>
          <c:invertIfNegative val="0"/>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RI_Con!$K$7:$K$16</c:f>
              <c:numCache>
                <c:formatCode>0.00</c:formatCode>
                <c:ptCount val="10"/>
                <c:pt idx="0">
                  <c:v>0.15854670130420459</c:v>
                </c:pt>
                <c:pt idx="1">
                  <c:v>0.17168898408505401</c:v>
                </c:pt>
                <c:pt idx="2">
                  <c:v>0.1726251399049285</c:v>
                </c:pt>
                <c:pt idx="3">
                  <c:v>0.176790032536808</c:v>
                </c:pt>
                <c:pt idx="4">
                  <c:v>0.18435679040192027</c:v>
                </c:pt>
                <c:pt idx="5">
                  <c:v>0.18386667152323954</c:v>
                </c:pt>
                <c:pt idx="6">
                  <c:v>0.18768171487638274</c:v>
                </c:pt>
                <c:pt idx="7">
                  <c:v>0.19548588740272677</c:v>
                </c:pt>
                <c:pt idx="8">
                  <c:v>0.1934686675876604</c:v>
                </c:pt>
                <c:pt idx="9">
                  <c:v>0.19309800219100426</c:v>
                </c:pt>
              </c:numCache>
            </c:numRef>
          </c:val>
          <c:extLst>
            <c:ext xmlns:c16="http://schemas.microsoft.com/office/drawing/2014/chart" uri="{C3380CC4-5D6E-409C-BE32-E72D297353CC}">
              <c16:uniqueId val="{00000001-AE98-416A-A7E4-6364A0BA43CE}"/>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60001751928"/>
              <c:y val="0.883298039872675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25"/>
      </c:valAx>
      <c:spPr>
        <a:noFill/>
        <a:ln>
          <a:noFill/>
        </a:ln>
        <a:effectLst/>
      </c:spPr>
    </c:plotArea>
    <c:legend>
      <c:legendPos val="r"/>
      <c:layout>
        <c:manualLayout>
          <c:xMode val="edge"/>
          <c:yMode val="edge"/>
          <c:x val="0.83694047172674857"/>
          <c:y val="2.1558877405949257E-2"/>
          <c:w val="0.14808126662738588"/>
          <c:h val="0.115264791119860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142039332557676E-2"/>
          <c:y val="4.743905507650524E-2"/>
          <c:w val="0.88605751872097172"/>
          <c:h val="0.81778737693599224"/>
        </c:manualLayout>
      </c:layout>
      <c:barChart>
        <c:barDir val="col"/>
        <c:grouping val="stacked"/>
        <c:varyColors val="0"/>
        <c:ser>
          <c:idx val="0"/>
          <c:order val="0"/>
          <c:tx>
            <c:strRef>
              <c:f>RI_Con!$J$6</c:f>
              <c:strCache>
                <c:ptCount val="1"/>
                <c:pt idx="0">
                  <c:v>Direct</c:v>
                </c:pt>
              </c:strCache>
            </c:strRef>
          </c:tx>
          <c:spPr>
            <a:solidFill>
              <a:srgbClr val="FFD966"/>
            </a:solidFill>
            <a:ln>
              <a:noFill/>
            </a:ln>
            <a:effectLst/>
          </c:spPr>
          <c:invertIfNegative val="0"/>
          <c:dLbls>
            <c:dLbl>
              <c:idx val="0"/>
              <c:layout>
                <c:manualLayout>
                  <c:x val="0"/>
                  <c:y val="-0.3287893328820105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99D6-4AC5-BD68-6A7F5DAE0E56}"/>
                </c:ext>
              </c:extLst>
            </c:dLbl>
            <c:dLbl>
              <c:idx val="1"/>
              <c:delete val="1"/>
              <c:extLst>
                <c:ext xmlns:c15="http://schemas.microsoft.com/office/drawing/2012/chart" uri="{CE6537A1-D6FC-4f65-9D91-7224C49458BB}"/>
                <c:ext xmlns:c16="http://schemas.microsoft.com/office/drawing/2014/chart" uri="{C3380CC4-5D6E-409C-BE32-E72D297353CC}">
                  <c16:uniqueId val="{00000002-99D6-4AC5-BD68-6A7F5DAE0E56}"/>
                </c:ext>
              </c:extLst>
            </c:dLbl>
            <c:dLbl>
              <c:idx val="2"/>
              <c:delete val="1"/>
              <c:extLst>
                <c:ext xmlns:c15="http://schemas.microsoft.com/office/drawing/2012/chart" uri="{CE6537A1-D6FC-4f65-9D91-7224C49458BB}"/>
                <c:ext xmlns:c16="http://schemas.microsoft.com/office/drawing/2014/chart" uri="{C3380CC4-5D6E-409C-BE32-E72D297353CC}">
                  <c16:uniqueId val="{00000003-99D6-4AC5-BD68-6A7F5DAE0E56}"/>
                </c:ext>
              </c:extLst>
            </c:dLbl>
            <c:dLbl>
              <c:idx val="3"/>
              <c:delete val="1"/>
              <c:extLst>
                <c:ext xmlns:c15="http://schemas.microsoft.com/office/drawing/2012/chart" uri="{CE6537A1-D6FC-4f65-9D91-7224C49458BB}"/>
                <c:ext xmlns:c16="http://schemas.microsoft.com/office/drawing/2014/chart" uri="{C3380CC4-5D6E-409C-BE32-E72D297353CC}">
                  <c16:uniqueId val="{00000004-99D6-4AC5-BD68-6A7F5DAE0E56}"/>
                </c:ext>
              </c:extLst>
            </c:dLbl>
            <c:dLbl>
              <c:idx val="4"/>
              <c:layout>
                <c:manualLayout>
                  <c:x val="-8.3110153633197143E-17"/>
                  <c:y val="-0.255221786071689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99D6-4AC5-BD68-6A7F5DAE0E56}"/>
                </c:ext>
              </c:extLst>
            </c:dLbl>
            <c:dLbl>
              <c:idx val="5"/>
              <c:delete val="1"/>
              <c:extLst>
                <c:ext xmlns:c15="http://schemas.microsoft.com/office/drawing/2012/chart" uri="{CE6537A1-D6FC-4f65-9D91-7224C49458BB}"/>
                <c:ext xmlns:c16="http://schemas.microsoft.com/office/drawing/2014/chart" uri="{C3380CC4-5D6E-409C-BE32-E72D297353CC}">
                  <c16:uniqueId val="{00000005-99D6-4AC5-BD68-6A7F5DAE0E56}"/>
                </c:ext>
              </c:extLst>
            </c:dLbl>
            <c:dLbl>
              <c:idx val="6"/>
              <c:delete val="1"/>
              <c:extLst>
                <c:ext xmlns:c15="http://schemas.microsoft.com/office/drawing/2012/chart" uri="{CE6537A1-D6FC-4f65-9D91-7224C49458BB}"/>
                <c:ext xmlns:c16="http://schemas.microsoft.com/office/drawing/2014/chart" uri="{C3380CC4-5D6E-409C-BE32-E72D297353CC}">
                  <c16:uniqueId val="{00000006-99D6-4AC5-BD68-6A7F5DAE0E56}"/>
                </c:ext>
              </c:extLst>
            </c:dLbl>
            <c:dLbl>
              <c:idx val="7"/>
              <c:delete val="1"/>
              <c:extLst>
                <c:ext xmlns:c15="http://schemas.microsoft.com/office/drawing/2012/chart" uri="{CE6537A1-D6FC-4f65-9D91-7224C49458BB}"/>
                <c:ext xmlns:c16="http://schemas.microsoft.com/office/drawing/2014/chart" uri="{C3380CC4-5D6E-409C-BE32-E72D297353CC}">
                  <c16:uniqueId val="{00000007-99D6-4AC5-BD68-6A7F5DAE0E56}"/>
                </c:ext>
              </c:extLst>
            </c:dLbl>
            <c:dLbl>
              <c:idx val="8"/>
              <c:delete val="1"/>
              <c:extLst>
                <c:ext xmlns:c15="http://schemas.microsoft.com/office/drawing/2012/chart" uri="{CE6537A1-D6FC-4f65-9D91-7224C49458BB}"/>
                <c:ext xmlns:c16="http://schemas.microsoft.com/office/drawing/2014/chart" uri="{C3380CC4-5D6E-409C-BE32-E72D297353CC}">
                  <c16:uniqueId val="{00000008-99D6-4AC5-BD68-6A7F5DAE0E56}"/>
                </c:ext>
              </c:extLst>
            </c:dLbl>
            <c:dLbl>
              <c:idx val="9"/>
              <c:layout>
                <c:manualLayout>
                  <c:x val="2.2666667380577452E-3"/>
                  <c:y val="-0.22956562099523098"/>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9D6-4AC5-BD68-6A7F5DAE0E5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RI_Con!$H$7:$H$16</c:f>
              <c:strCache>
                <c:ptCount val="10"/>
                <c:pt idx="0">
                  <c:v>Bottom decile</c:v>
                </c:pt>
                <c:pt idx="1">
                  <c:v>2</c:v>
                </c:pt>
                <c:pt idx="2">
                  <c:v>3</c:v>
                </c:pt>
                <c:pt idx="3">
                  <c:v>4</c:v>
                </c:pt>
                <c:pt idx="4">
                  <c:v>5</c:v>
                </c:pt>
                <c:pt idx="5">
                  <c:v>6</c:v>
                </c:pt>
                <c:pt idx="6">
                  <c:v>7</c:v>
                </c:pt>
                <c:pt idx="7">
                  <c:v>8</c:v>
                </c:pt>
                <c:pt idx="8">
                  <c:v>9</c:v>
                </c:pt>
                <c:pt idx="9">
                  <c:v>Top decile</c:v>
                </c:pt>
              </c:strCache>
            </c:strRef>
          </c:cat>
          <c:val>
            <c:numRef>
              <c:f>RI_Con!$J$7:$J$16</c:f>
              <c:numCache>
                <c:formatCode>0.00</c:formatCode>
                <c:ptCount val="10"/>
                <c:pt idx="0">
                  <c:v>1.8646537230965414</c:v>
                </c:pt>
                <c:pt idx="1">
                  <c:v>1.6639703040210796</c:v>
                </c:pt>
                <c:pt idx="2">
                  <c:v>1.6847763201693633</c:v>
                </c:pt>
                <c:pt idx="3">
                  <c:v>1.5502095556503199</c:v>
                </c:pt>
                <c:pt idx="4">
                  <c:v>1.4377070267536982</c:v>
                </c:pt>
                <c:pt idx="5">
                  <c:v>1.5295880981254708</c:v>
                </c:pt>
                <c:pt idx="6">
                  <c:v>1.541968188952304</c:v>
                </c:pt>
                <c:pt idx="7">
                  <c:v>1.4985168184915711</c:v>
                </c:pt>
                <c:pt idx="8">
                  <c:v>1.5144232024777395</c:v>
                </c:pt>
                <c:pt idx="9">
                  <c:v>1.4340124695758667</c:v>
                </c:pt>
              </c:numCache>
            </c:numRef>
          </c:val>
          <c:extLst>
            <c:ext xmlns:c16="http://schemas.microsoft.com/office/drawing/2014/chart" uri="{C3380CC4-5D6E-409C-BE32-E72D297353CC}">
              <c16:uniqueId val="{00000000-99D6-4AC5-BD68-6A7F5DAE0E56}"/>
            </c:ext>
          </c:extLst>
        </c:ser>
        <c:dLbls>
          <c:showLegendKey val="0"/>
          <c:showVal val="0"/>
          <c:showCatName val="0"/>
          <c:showSerName val="0"/>
          <c:showPercent val="0"/>
          <c:showBubbleSize val="0"/>
        </c:dLbls>
        <c:gapWidth val="150"/>
        <c:overlap val="100"/>
        <c:axId val="1514774928"/>
        <c:axId val="1514580624"/>
      </c:barChart>
      <c:catAx>
        <c:axId val="1514774928"/>
        <c:scaling>
          <c:orientation val="minMax"/>
        </c:scaling>
        <c:delete val="0"/>
        <c:axPos val="b"/>
        <c:title>
          <c:tx>
            <c:strRef>
              <c:f>RI_Con!$A$17</c:f>
              <c:strCache>
                <c:ptCount val="1"/>
                <c:pt idx="0">
                  <c:v>Deciles of Per Capita Disposable Income</c:v>
                </c:pt>
              </c:strCache>
            </c:strRef>
          </c:tx>
          <c:layout>
            <c:manualLayout>
              <c:xMode val="edge"/>
              <c:yMode val="edge"/>
              <c:x val="0.29726352642299819"/>
              <c:y val="0.9402904365074022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514580624"/>
        <c:crosses val="autoZero"/>
        <c:auto val="1"/>
        <c:lblAlgn val="ctr"/>
        <c:lblOffset val="100"/>
        <c:noMultiLvlLbl val="0"/>
      </c:catAx>
      <c:valAx>
        <c:axId val="1514580624"/>
        <c:scaling>
          <c:orientation val="minMax"/>
        </c:scaling>
        <c:delete val="0"/>
        <c:axPos val="l"/>
        <c:title>
          <c:tx>
            <c:strRef>
              <c:f>RI_Con!$B$20</c:f>
              <c:strCache>
                <c:ptCount val="1"/>
                <c:pt idx="0">
                  <c:v>Percentage of Disposable Income</c:v>
                </c:pt>
              </c:strCache>
            </c:strRef>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4774928"/>
        <c:crosses val="autoZero"/>
        <c:crossBetween val="between"/>
        <c:majorUnit val="0.5"/>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clustered"/>
        <c:varyColors val="0"/>
        <c:ser>
          <c:idx val="0"/>
          <c:order val="0"/>
          <c:tx>
            <c:strRef>
              <c:f>Prices_fuels!$C$7</c:f>
              <c:strCache>
                <c:ptCount val="1"/>
                <c:pt idx="0">
                  <c:v>Baseline</c:v>
                </c:pt>
              </c:strCache>
            </c:strRef>
          </c:tx>
          <c:spPr>
            <a:solidFill>
              <a:srgbClr val="5B9BD5">
                <a:alpha val="4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0-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1-CA90-41EC-8724-75712C1F74CE}"/>
                </c:ext>
              </c:extLst>
            </c:dLbl>
            <c:dLbl>
              <c:idx val="2"/>
              <c:layout>
                <c:manualLayout>
                  <c:x val="0"/>
                  <c:y val="7.154881516505523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3-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4-CA90-41EC-8724-75712C1F74CE}"/>
                </c:ext>
              </c:extLst>
            </c:dLbl>
            <c:dLbl>
              <c:idx val="5"/>
              <c:layout>
                <c:manualLayout>
                  <c:x val="-1.4297662242160442E-3"/>
                  <c:y val="8.833922261484099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Prices_fuels!$C$8:$C$13</c:f>
              <c:numCache>
                <c:formatCode>0</c:formatCode>
                <c:ptCount val="6"/>
                <c:pt idx="0">
                  <c:v>476.32255555555554</c:v>
                </c:pt>
                <c:pt idx="1">
                  <c:v>409.99941999999999</c:v>
                </c:pt>
                <c:pt idx="2">
                  <c:v>654.99999999999784</c:v>
                </c:pt>
                <c:pt idx="3">
                  <c:v>664.9997800000001</c:v>
                </c:pt>
                <c:pt idx="4">
                  <c:v>496.99964</c:v>
                </c:pt>
                <c:pt idx="5">
                  <c:v>889.99999999999727</c:v>
                </c:pt>
              </c:numCache>
            </c:numRef>
          </c:val>
          <c:extLst>
            <c:ext xmlns:c16="http://schemas.microsoft.com/office/drawing/2014/chart" uri="{C3380CC4-5D6E-409C-BE32-E72D297353CC}">
              <c16:uniqueId val="{00000006-CA90-41EC-8724-75712C1F74CE}"/>
            </c:ext>
          </c:extLst>
        </c:ser>
        <c:ser>
          <c:idx val="1"/>
          <c:order val="1"/>
          <c:tx>
            <c:strRef>
              <c:f>Prices_fuels!$D$7</c:f>
              <c:strCache>
                <c:ptCount val="1"/>
                <c:pt idx="0">
                  <c:v>Reform</c:v>
                </c:pt>
              </c:strCache>
            </c:strRef>
          </c:tx>
          <c:spPr>
            <a:solidFill>
              <a:srgbClr val="ED7D31">
                <a:alpha val="60000"/>
              </a:srgbClr>
            </a:solidFill>
            <a:ln>
              <a:noFill/>
            </a:ln>
            <a:effectLst/>
          </c:spPr>
          <c:invertIfNegative val="0"/>
          <c:dLbls>
            <c:dLbl>
              <c:idx val="0"/>
              <c:delete val="1"/>
              <c:extLst>
                <c:ext xmlns:c15="http://schemas.microsoft.com/office/drawing/2012/chart" uri="{CE6537A1-D6FC-4f65-9D91-7224C49458BB}"/>
                <c:ext xmlns:c16="http://schemas.microsoft.com/office/drawing/2014/chart" uri="{C3380CC4-5D6E-409C-BE32-E72D297353CC}">
                  <c16:uniqueId val="{00000007-CA90-41EC-8724-75712C1F74CE}"/>
                </c:ext>
              </c:extLst>
            </c:dLbl>
            <c:dLbl>
              <c:idx val="1"/>
              <c:delete val="1"/>
              <c:extLst>
                <c:ext xmlns:c15="http://schemas.microsoft.com/office/drawing/2012/chart" uri="{CE6537A1-D6FC-4f65-9D91-7224C49458BB}"/>
                <c:ext xmlns:c16="http://schemas.microsoft.com/office/drawing/2014/chart" uri="{C3380CC4-5D6E-409C-BE32-E72D297353CC}">
                  <c16:uniqueId val="{00000008-CA90-41EC-8724-75712C1F74CE}"/>
                </c:ext>
              </c:extLst>
            </c:dLbl>
            <c:dLbl>
              <c:idx val="2"/>
              <c:layout>
                <c:manualLayout>
                  <c:x val="0"/>
                  <c:y val="6.329318264601040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A90-41EC-8724-75712C1F74CE}"/>
                </c:ext>
              </c:extLst>
            </c:dLbl>
            <c:dLbl>
              <c:idx val="3"/>
              <c:delete val="1"/>
              <c:extLst>
                <c:ext xmlns:c15="http://schemas.microsoft.com/office/drawing/2012/chart" uri="{CE6537A1-D6FC-4f65-9D91-7224C49458BB}"/>
                <c:ext xmlns:c16="http://schemas.microsoft.com/office/drawing/2014/chart" uri="{C3380CC4-5D6E-409C-BE32-E72D297353CC}">
                  <c16:uniqueId val="{0000000A-CA90-41EC-8724-75712C1F74CE}"/>
                </c:ext>
              </c:extLst>
            </c:dLbl>
            <c:dLbl>
              <c:idx val="4"/>
              <c:delete val="1"/>
              <c:extLst>
                <c:ext xmlns:c15="http://schemas.microsoft.com/office/drawing/2012/chart" uri="{CE6537A1-D6FC-4f65-9D91-7224C49458BB}"/>
                <c:ext xmlns:c16="http://schemas.microsoft.com/office/drawing/2014/chart" uri="{C3380CC4-5D6E-409C-BE32-E72D297353CC}">
                  <c16:uniqueId val="{0000000B-CA90-41EC-8724-75712C1F74CE}"/>
                </c:ext>
              </c:extLst>
            </c:dLbl>
            <c:dLbl>
              <c:idx val="5"/>
              <c:layout>
                <c:manualLayout>
                  <c:x val="1.4297662242159393E-3"/>
                  <c:y val="8.539458186101295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Prices_fuels!$D$8:$D$13</c:f>
              <c:numCache>
                <c:formatCode>0</c:formatCode>
                <c:ptCount val="6"/>
                <c:pt idx="0">
                  <c:v>476.32255555555554</c:v>
                </c:pt>
                <c:pt idx="1">
                  <c:v>409.99941999999999</c:v>
                </c:pt>
                <c:pt idx="2">
                  <c:v>754.9995600000002</c:v>
                </c:pt>
                <c:pt idx="3">
                  <c:v>664.9997800000001</c:v>
                </c:pt>
                <c:pt idx="4">
                  <c:v>496.99964</c:v>
                </c:pt>
                <c:pt idx="5">
                  <c:v>990.00009999999997</c:v>
                </c:pt>
              </c:numCache>
            </c:numRef>
          </c:val>
          <c:extLst>
            <c:ext xmlns:c16="http://schemas.microsoft.com/office/drawing/2014/chart" uri="{C3380CC4-5D6E-409C-BE32-E72D297353CC}">
              <c16:uniqueId val="{0000000D-CA90-41EC-8724-75712C1F74CE}"/>
            </c:ext>
          </c:extLst>
        </c:ser>
        <c:dLbls>
          <c:showLegendKey val="0"/>
          <c:showVal val="0"/>
          <c:showCatName val="0"/>
          <c:showSerName val="0"/>
          <c:showPercent val="0"/>
          <c:showBubbleSize val="0"/>
        </c:dLbls>
        <c:gapWidth val="219"/>
        <c:axId val="1594932080"/>
        <c:axId val="1594934160"/>
      </c:barChart>
      <c:lineChart>
        <c:grouping val="stacked"/>
        <c:varyColors val="0"/>
        <c:ser>
          <c:idx val="2"/>
          <c:order val="2"/>
          <c:tx>
            <c:strRef>
              <c:f>Prices_fuels!$E$7</c:f>
              <c:strCache>
                <c:ptCount val="1"/>
                <c:pt idx="0">
                  <c:v>Market prices</c:v>
                </c:pt>
              </c:strCache>
            </c:strRef>
          </c:tx>
          <c:spPr>
            <a:ln w="25400" cap="rnd">
              <a:noFill/>
              <a:round/>
            </a:ln>
            <a:effectLst/>
          </c:spPr>
          <c:marker>
            <c:symbol val="circle"/>
            <c:size val="8"/>
            <c:spPr>
              <a:solidFill>
                <a:schemeClr val="tx1"/>
              </a:solidFill>
              <a:ln w="9525">
                <a:solidFill>
                  <a:schemeClr val="tx1"/>
                </a:solidFill>
              </a:ln>
              <a:effectLst/>
            </c:spPr>
          </c:marker>
          <c:dLbls>
            <c:dLbl>
              <c:idx val="5"/>
              <c:layout>
                <c:manualLayout>
                  <c:x val="-1.1475034346042762E-3"/>
                  <c:y val="-3.4897986274163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CA90-41EC-8724-75712C1F74CE}"/>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Palatino"/>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Prices_fuels!$B$8:$B$13</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Prices_fuels!$E$8:$E$13</c:f>
              <c:numCache>
                <c:formatCode>0</c:formatCode>
                <c:ptCount val="6"/>
                <c:pt idx="0">
                  <c:v>641.59355555555555</c:v>
                </c:pt>
                <c:pt idx="1">
                  <c:v>771.7300251821863</c:v>
                </c:pt>
                <c:pt idx="2">
                  <c:v>922.80154137931049</c:v>
                </c:pt>
                <c:pt idx="3">
                  <c:v>872.64418834668618</c:v>
                </c:pt>
                <c:pt idx="4">
                  <c:v>720.61888834668605</c:v>
                </c:pt>
                <c:pt idx="5">
                  <c:v>990.00039042128606</c:v>
                </c:pt>
              </c:numCache>
            </c:numRef>
          </c:val>
          <c:smooth val="0"/>
          <c:extLst>
            <c:ext xmlns:c16="http://schemas.microsoft.com/office/drawing/2014/chart" uri="{C3380CC4-5D6E-409C-BE32-E72D297353CC}">
              <c16:uniqueId val="{0000000F-CA90-41EC-8724-75712C1F74CE}"/>
            </c:ext>
          </c:extLst>
        </c:ser>
        <c:dLbls>
          <c:showLegendKey val="0"/>
          <c:showVal val="0"/>
          <c:showCatName val="0"/>
          <c:showSerName val="0"/>
          <c:showPercent val="0"/>
          <c:showBubbleSize val="0"/>
        </c:dLbls>
        <c:marker val="1"/>
        <c:smooth val="0"/>
        <c:axId val="1594932080"/>
        <c:axId val="1594934160"/>
      </c:lineChart>
      <c:catAx>
        <c:axId val="159493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solidFill>
                <a:latin typeface="+mn-lt"/>
                <a:ea typeface="+mn-ea"/>
                <a:cs typeface="+mn-cs"/>
              </a:defRPr>
            </a:pPr>
            <a:endParaRPr lang="en-US"/>
          </a:p>
        </c:txPr>
        <c:crossAx val="1594934160"/>
        <c:crosses val="autoZero"/>
        <c:auto val="1"/>
        <c:lblAlgn val="ctr"/>
        <c:lblOffset val="100"/>
        <c:noMultiLvlLbl val="0"/>
      </c:catAx>
      <c:valAx>
        <c:axId val="1594934160"/>
        <c:scaling>
          <c:orientation val="minMax"/>
        </c:scaling>
        <c:delete val="0"/>
        <c:axPos val="l"/>
        <c:majorGridlines>
          <c:spPr>
            <a:ln w="9525" cap="flat" cmpd="sng" algn="ctr">
              <a:solidFill>
                <a:schemeClr val="tx1">
                  <a:lumMod val="15000"/>
                  <a:lumOff val="85000"/>
                </a:schemeClr>
              </a:solidFill>
              <a:prstDash val="sysDot"/>
              <a:round/>
            </a:ln>
            <a:effectLst/>
          </c:spPr>
        </c:majorGridlines>
        <c:title>
          <c:tx>
            <c:rich>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r>
                  <a:rPr lang="en-US" sz="1000" b="0" i="0" baseline="0">
                    <a:effectLst/>
                  </a:rPr>
                  <a:t>Retail price CFA per liter/kg in Jan 2023</a:t>
                </a:r>
              </a:p>
            </c:rich>
          </c:tx>
          <c:layout>
            <c:manualLayout>
              <c:xMode val="edge"/>
              <c:yMode val="edge"/>
              <c:x val="9.0115773089615089E-3"/>
              <c:y val="2.7646292730757357E-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Palatino"/>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crossAx val="1594932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Palatino"/>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solidFill>
            <a:schemeClr val="tx1"/>
          </a:solidFill>
          <a:latin typeface="Palatino"/>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0"/>
          <c:order val="0"/>
          <c:tx>
            <c:strRef>
              <c:f>'Fiscal Gains'!$K$20</c:f>
              <c:strCache>
                <c:ptCount val="1"/>
                <c:pt idx="0">
                  <c:v>VAT</c:v>
                </c:pt>
              </c:strCache>
            </c:strRef>
          </c:tx>
          <c:spPr>
            <a:solidFill>
              <a:srgbClr val="4472C4"/>
            </a:solidFill>
            <a:ln>
              <a:noFill/>
            </a:ln>
            <a:effectLst/>
          </c:spPr>
          <c:invertIfNegative val="0"/>
          <c:dLbls>
            <c:delete val="1"/>
          </c:dLbls>
          <c:cat>
            <c:strRef>
              <c:f>'Fiscal Gains'!$J$21:$J$23</c:f>
              <c:strCache>
                <c:ptCount val="3"/>
                <c:pt idx="0">
                  <c:v>Electricity</c:v>
                </c:pt>
                <c:pt idx="1">
                  <c:v>Fuel</c:v>
                </c:pt>
                <c:pt idx="2">
                  <c:v>Total</c:v>
                </c:pt>
              </c:strCache>
            </c:strRef>
          </c:cat>
          <c:val>
            <c:numRef>
              <c:f>'Fiscal Gains'!$K$21:$K$23</c:f>
              <c:numCache>
                <c:formatCode>0</c:formatCode>
                <c:ptCount val="3"/>
                <c:pt idx="0">
                  <c:v>1.9613442177740321</c:v>
                </c:pt>
                <c:pt idx="1">
                  <c:v>2.3263567123228839</c:v>
                </c:pt>
                <c:pt idx="2">
                  <c:v>4.2877009300969178</c:v>
                </c:pt>
              </c:numCache>
            </c:numRef>
          </c:val>
          <c:extLst>
            <c:ext xmlns:c16="http://schemas.microsoft.com/office/drawing/2014/chart" uri="{C3380CC4-5D6E-409C-BE32-E72D297353CC}">
              <c16:uniqueId val="{00000000-7151-4948-845F-0EF6D1383C1F}"/>
            </c:ext>
          </c:extLst>
        </c:ser>
        <c:ser>
          <c:idx val="1"/>
          <c:order val="1"/>
          <c:tx>
            <c:strRef>
              <c:f>'Fiscal Gains'!$L$20</c:f>
              <c:strCache>
                <c:ptCount val="1"/>
                <c:pt idx="0">
                  <c:v>Subsidies</c:v>
                </c:pt>
              </c:strCache>
            </c:strRef>
          </c:tx>
          <c:spPr>
            <a:solidFill>
              <a:srgbClr val="FFD966"/>
            </a:solidFill>
            <a:ln>
              <a:noFill/>
            </a:ln>
            <a:effectLst/>
          </c:spPr>
          <c:invertIfNegative val="0"/>
          <c:dLbls>
            <c:delete val="1"/>
          </c:dLbls>
          <c:cat>
            <c:strRef>
              <c:f>'Fiscal Gains'!$J$21:$J$23</c:f>
              <c:strCache>
                <c:ptCount val="3"/>
                <c:pt idx="0">
                  <c:v>Electricity</c:v>
                </c:pt>
                <c:pt idx="1">
                  <c:v>Fuel</c:v>
                </c:pt>
                <c:pt idx="2">
                  <c:v>Total</c:v>
                </c:pt>
              </c:strCache>
            </c:strRef>
          </c:cat>
          <c:val>
            <c:numRef>
              <c:f>'Fiscal Gains'!$L$21:$L$23</c:f>
              <c:numCache>
                <c:formatCode>0</c:formatCode>
                <c:ptCount val="3"/>
                <c:pt idx="0">
                  <c:v>75.743273388565555</c:v>
                </c:pt>
                <c:pt idx="1">
                  <c:v>30.673504213012748</c:v>
                </c:pt>
                <c:pt idx="2">
                  <c:v>106.41677760157827</c:v>
                </c:pt>
              </c:numCache>
            </c:numRef>
          </c:val>
          <c:extLst>
            <c:ext xmlns:c16="http://schemas.microsoft.com/office/drawing/2014/chart" uri="{C3380CC4-5D6E-409C-BE32-E72D297353CC}">
              <c16:uniqueId val="{00000001-7151-4948-845F-0EF6D1383C1F}"/>
            </c:ext>
          </c:extLst>
        </c:ser>
        <c:dLbls>
          <c:dLblPos val="inBase"/>
          <c:showLegendKey val="0"/>
          <c:showVal val="1"/>
          <c:showCatName val="0"/>
          <c:showSerName val="0"/>
          <c:showPercent val="0"/>
          <c:showBubbleSize val="0"/>
        </c:dLbls>
        <c:gapWidth val="150"/>
        <c:overlap val="100"/>
        <c:axId val="743104976"/>
        <c:axId val="743108304"/>
      </c:barChart>
      <c:lineChart>
        <c:grouping val="stacked"/>
        <c:varyColors val="0"/>
        <c:ser>
          <c:idx val="2"/>
          <c:order val="2"/>
          <c:tx>
            <c:strRef>
              <c:f>'Fiscal Gains'!$M$20</c:f>
              <c:strCache>
                <c:ptCount val="1"/>
                <c:pt idx="0">
                  <c:v>Total</c:v>
                </c:pt>
              </c:strCache>
            </c:strRef>
          </c:tx>
          <c:spPr>
            <a:ln w="25400" cap="rnd">
              <a:noFill/>
              <a:round/>
            </a:ln>
            <a:effectLst/>
          </c:spPr>
          <c:marker>
            <c:symbol val="circle"/>
            <c:size val="5"/>
            <c:spPr>
              <a:noFill/>
              <a:ln w="9525">
                <a:noFill/>
              </a:ln>
              <a:effectLst/>
            </c:spPr>
          </c:marker>
          <c:dLbls>
            <c:dLbl>
              <c:idx val="0"/>
              <c:layout>
                <c:manualLayout>
                  <c:x val="-4.2853379086795165E-2"/>
                  <c:y val="-5.266683414705379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B38-451E-8AB2-5B2463E21EC8}"/>
                </c:ext>
              </c:extLst>
            </c:dLbl>
            <c:dLbl>
              <c:idx val="1"/>
              <c:layout>
                <c:manualLayout>
                  <c:x val="-3.942510875985155E-2"/>
                  <c:y val="-3.60352023111420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B38-451E-8AB2-5B2463E21EC8}"/>
                </c:ext>
              </c:extLst>
            </c:dLbl>
            <c:dLbl>
              <c:idx val="2"/>
              <c:layout>
                <c:manualLayout>
                  <c:x val="-3.5996838432907942E-2"/>
                  <c:y val="-2.771938639318618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B38-451E-8AB2-5B2463E21EC8}"/>
                </c:ext>
              </c:extLst>
            </c:dLbl>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'Fiscal Gains'!$M$21:$M$23</c:f>
              <c:numCache>
                <c:formatCode>0.0</c:formatCode>
                <c:ptCount val="3"/>
                <c:pt idx="0">
                  <c:v>77.704617606339554</c:v>
                </c:pt>
                <c:pt idx="1">
                  <c:v>32.999860925335646</c:v>
                </c:pt>
                <c:pt idx="2">
                  <c:v>110.70447853167519</c:v>
                </c:pt>
              </c:numCache>
            </c:numRef>
          </c:val>
          <c:smooth val="0"/>
          <c:extLst>
            <c:ext xmlns:c16="http://schemas.microsoft.com/office/drawing/2014/chart" uri="{C3380CC4-5D6E-409C-BE32-E72D297353CC}">
              <c16:uniqueId val="{00000005-7151-4948-845F-0EF6D1383C1F}"/>
            </c:ext>
          </c:extLst>
        </c:ser>
        <c:dLbls>
          <c:showLegendKey val="0"/>
          <c:showVal val="1"/>
          <c:showCatName val="0"/>
          <c:showSerName val="0"/>
          <c:showPercent val="0"/>
          <c:showBubbleSize val="0"/>
        </c:dLbls>
        <c:marker val="1"/>
        <c:smooth val="0"/>
        <c:axId val="743104976"/>
        <c:axId val="743108304"/>
      </c:lineChart>
      <c:catAx>
        <c:axId val="743104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8304"/>
        <c:crosses val="autoZero"/>
        <c:auto val="1"/>
        <c:lblAlgn val="ctr"/>
        <c:lblOffset val="100"/>
        <c:noMultiLvlLbl val="0"/>
      </c:catAx>
      <c:valAx>
        <c:axId val="743108304"/>
        <c:scaling>
          <c:orientation val="minMax"/>
        </c:scaling>
        <c:delete val="0"/>
        <c:axPos val="l"/>
        <c:title>
          <c:tx>
            <c:rich>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r>
                  <a:rPr lang="en-US"/>
                  <a:t>Fiscal gains from households  (bn CFA)</a:t>
                </a:r>
              </a:p>
            </c:rich>
          </c:tx>
          <c:layout>
            <c:manualLayout>
              <c:xMode val="edge"/>
              <c:yMode val="edge"/>
              <c:x val="1.9282636241418055E-2"/>
              <c:y val="8.093414879955399E-2"/>
            </c:manualLayout>
          </c:layout>
          <c:overlay val="0"/>
          <c:spPr>
            <a:noFill/>
            <a:ln>
              <a:noFill/>
            </a:ln>
            <a:effectLst/>
          </c:spPr>
          <c:txPr>
            <a:bodyPr rot="-54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crossAx val="743104976"/>
        <c:crosses val="autoZero"/>
        <c:crossBetween val="between"/>
        <c:majorUnit val="25"/>
      </c:valAx>
      <c:spPr>
        <a:noFill/>
        <a:ln>
          <a:noFill/>
        </a:ln>
        <a:effectLst/>
      </c:spPr>
    </c:plotArea>
    <c:legend>
      <c:legendPos val="b"/>
      <c:legendEntry>
        <c:idx val="2"/>
        <c:delete val="1"/>
      </c:legendEntry>
      <c:layout>
        <c:manualLayout>
          <c:xMode val="edge"/>
          <c:yMode val="edge"/>
          <c:x val="0.34561799675908161"/>
          <c:y val="9.5653520569714504E-2"/>
          <c:w val="0.36661177717719867"/>
          <c:h val="6.0138807154310386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a:solidFill>
            <a:schemeClr val="tx1"/>
          </a:solidFill>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Comparisons'!$E$39</c:f>
          <c:strCache>
            <c:ptCount val="1"/>
            <c:pt idx="0">
              <c:v>VAT collected due to electricity</c:v>
            </c:pt>
          </c:strCache>
        </c:strRef>
      </c:tx>
      <c:overlay val="1"/>
    </c:title>
    <c:autoTitleDeleted val="0"/>
    <c:plotArea>
      <c:layout>
        <c:manualLayout>
          <c:layoutTarget val="inner"/>
          <c:xMode val="edge"/>
          <c:yMode val="edge"/>
          <c:x val="0.11483846175616177"/>
          <c:y val="3.1187679667456603E-2"/>
          <c:w val="0.85915000258944807"/>
          <c:h val="0.84376642921051115"/>
        </c:manualLayout>
      </c:layout>
      <c:barChart>
        <c:barDir val="col"/>
        <c:grouping val="clustered"/>
        <c:varyColors val="0"/>
        <c:ser>
          <c:idx val="1"/>
          <c:order val="0"/>
          <c:tx>
            <c:strRef>
              <c:f>'Decile Inc. Comparisons'!$J$7</c:f>
              <c:strCache>
                <c:ptCount val="1"/>
                <c:pt idx="0">
                  <c:v>Baseline</c:v>
                </c:pt>
              </c:strCache>
            </c:strRef>
          </c:tx>
          <c:spPr>
            <a:solidFill>
              <a:srgbClr val="FFA764">
                <a:alpha val="70196"/>
              </a:srgbClr>
            </a:solidFill>
          </c:spPr>
          <c:invertIfNegative val="0"/>
          <c:dLbls>
            <c:dLbl>
              <c:idx val="0"/>
              <c:layout>
                <c:manualLayout>
                  <c:x val="2.2034155447014796E-2"/>
                  <c:y val="-8.05535147020735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9-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8-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7-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6-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E-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4-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2-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1-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Comparisons'!$J$8:$J$17</c:f>
              <c:numCache>
                <c:formatCode>0.000</c:formatCode>
                <c:ptCount val="10"/>
                <c:pt idx="0">
                  <c:v>7.3850863758223194E-3</c:v>
                </c:pt>
                <c:pt idx="1">
                  <c:v>5.2752148668534567E-2</c:v>
                </c:pt>
                <c:pt idx="2">
                  <c:v>8.6473850186210316E-2</c:v>
                </c:pt>
                <c:pt idx="3">
                  <c:v>6.9414776932993541E-2</c:v>
                </c:pt>
                <c:pt idx="4">
                  <c:v>5.8313248865807965E-2</c:v>
                </c:pt>
                <c:pt idx="5">
                  <c:v>0.23769213793389007</c:v>
                </c:pt>
                <c:pt idx="6">
                  <c:v>0.31603214434125698</c:v>
                </c:pt>
                <c:pt idx="7">
                  <c:v>0.48494018378937959</c:v>
                </c:pt>
                <c:pt idx="8">
                  <c:v>0.78520915276896808</c:v>
                </c:pt>
                <c:pt idx="9">
                  <c:v>3.9964377182359088</c:v>
                </c:pt>
              </c:numCache>
            </c:numRef>
          </c:val>
          <c:extLst>
            <c:ext xmlns:c16="http://schemas.microsoft.com/office/drawing/2014/chart" uri="{C3380CC4-5D6E-409C-BE32-E72D297353CC}">
              <c16:uniqueId val="{00000009-FF67-45FE-AB37-A7A28DC45D98}"/>
            </c:ext>
          </c:extLst>
        </c:ser>
        <c:ser>
          <c:idx val="0"/>
          <c:order val="1"/>
          <c:tx>
            <c:strRef>
              <c:f>'Decile Inc. Comparisons'!$K$7</c:f>
              <c:strCache>
                <c:ptCount val="1"/>
                <c:pt idx="0">
                  <c:v>Reform</c:v>
                </c:pt>
              </c:strCache>
            </c:strRef>
          </c:tx>
          <c:spPr>
            <a:solidFill>
              <a:srgbClr val="ED7D31"/>
            </a:solidFill>
          </c:spPr>
          <c:invertIfNegative val="0"/>
          <c:dLbls>
            <c:dLbl>
              <c:idx val="0"/>
              <c:layout>
                <c:manualLayout>
                  <c:x val="8.0791903305720877E-2"/>
                  <c:y val="-5.1017225977979926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378D-4C16-899A-F9D7688C82FE}"/>
                </c:ext>
              </c:extLst>
            </c:dLbl>
            <c:dLbl>
              <c:idx val="1"/>
              <c:delete val="1"/>
              <c:extLst>
                <c:ext xmlns:c15="http://schemas.microsoft.com/office/drawing/2012/chart" uri="{CE6537A1-D6FC-4f65-9D91-7224C49458BB}"/>
                <c:ext xmlns:c16="http://schemas.microsoft.com/office/drawing/2014/chart" uri="{C3380CC4-5D6E-409C-BE32-E72D297353CC}">
                  <c16:uniqueId val="{0000000A-378D-4C16-899A-F9D7688C82FE}"/>
                </c:ext>
              </c:extLst>
            </c:dLbl>
            <c:dLbl>
              <c:idx val="2"/>
              <c:delete val="1"/>
              <c:extLst>
                <c:ext xmlns:c15="http://schemas.microsoft.com/office/drawing/2012/chart" uri="{CE6537A1-D6FC-4f65-9D91-7224C49458BB}"/>
                <c:ext xmlns:c16="http://schemas.microsoft.com/office/drawing/2014/chart" uri="{C3380CC4-5D6E-409C-BE32-E72D297353CC}">
                  <c16:uniqueId val="{0000000B-378D-4C16-899A-F9D7688C82FE}"/>
                </c:ext>
              </c:extLst>
            </c:dLbl>
            <c:dLbl>
              <c:idx val="3"/>
              <c:delete val="1"/>
              <c:extLst>
                <c:ext xmlns:c15="http://schemas.microsoft.com/office/drawing/2012/chart" uri="{CE6537A1-D6FC-4f65-9D91-7224C49458BB}"/>
                <c:ext xmlns:c16="http://schemas.microsoft.com/office/drawing/2014/chart" uri="{C3380CC4-5D6E-409C-BE32-E72D297353CC}">
                  <c16:uniqueId val="{0000000C-378D-4C16-899A-F9D7688C82FE}"/>
                </c:ext>
              </c:extLst>
            </c:dLbl>
            <c:dLbl>
              <c:idx val="4"/>
              <c:delete val="1"/>
              <c:extLst>
                <c:ext xmlns:c15="http://schemas.microsoft.com/office/drawing/2012/chart" uri="{CE6537A1-D6FC-4f65-9D91-7224C49458BB}"/>
                <c:ext xmlns:c16="http://schemas.microsoft.com/office/drawing/2014/chart" uri="{C3380CC4-5D6E-409C-BE32-E72D297353CC}">
                  <c16:uniqueId val="{0000000D-378D-4C16-899A-F9D7688C82FE}"/>
                </c:ext>
              </c:extLst>
            </c:dLbl>
            <c:dLbl>
              <c:idx val="5"/>
              <c:delete val="1"/>
              <c:extLst>
                <c:ext xmlns:c15="http://schemas.microsoft.com/office/drawing/2012/chart" uri="{CE6537A1-D6FC-4f65-9D91-7224C49458BB}"/>
                <c:ext xmlns:c16="http://schemas.microsoft.com/office/drawing/2014/chart" uri="{C3380CC4-5D6E-409C-BE32-E72D297353CC}">
                  <c16:uniqueId val="{0000000F-378D-4C16-899A-F9D7688C82FE}"/>
                </c:ext>
              </c:extLst>
            </c:dLbl>
            <c:dLbl>
              <c:idx val="6"/>
              <c:delete val="1"/>
              <c:extLst>
                <c:ext xmlns:c15="http://schemas.microsoft.com/office/drawing/2012/chart" uri="{CE6537A1-D6FC-4f65-9D91-7224C49458BB}"/>
                <c:ext xmlns:c16="http://schemas.microsoft.com/office/drawing/2014/chart" uri="{C3380CC4-5D6E-409C-BE32-E72D297353CC}">
                  <c16:uniqueId val="{00000005-378D-4C16-899A-F9D7688C82FE}"/>
                </c:ext>
              </c:extLst>
            </c:dLbl>
            <c:dLbl>
              <c:idx val="7"/>
              <c:delete val="1"/>
              <c:extLst>
                <c:ext xmlns:c15="http://schemas.microsoft.com/office/drawing/2012/chart" uri="{CE6537A1-D6FC-4f65-9D91-7224C49458BB}"/>
                <c:ext xmlns:c16="http://schemas.microsoft.com/office/drawing/2014/chart" uri="{C3380CC4-5D6E-409C-BE32-E72D297353CC}">
                  <c16:uniqueId val="{00000003-378D-4C16-899A-F9D7688C82FE}"/>
                </c:ext>
              </c:extLst>
            </c:dLbl>
            <c:dLbl>
              <c:idx val="8"/>
              <c:delete val="1"/>
              <c:extLst>
                <c:ext xmlns:c15="http://schemas.microsoft.com/office/drawing/2012/chart" uri="{CE6537A1-D6FC-4f65-9D91-7224C49458BB}"/>
                <c:ext xmlns:c16="http://schemas.microsoft.com/office/drawing/2014/chart" uri="{C3380CC4-5D6E-409C-BE32-E72D297353CC}">
                  <c16:uniqueId val="{00000000-378D-4C16-899A-F9D7688C82FE}"/>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Comparisons'!$K$8:$K$17</c:f>
              <c:numCache>
                <c:formatCode>0.000</c:formatCode>
                <c:ptCount val="10"/>
                <c:pt idx="0">
                  <c:v>9.773813177800383E-3</c:v>
                </c:pt>
                <c:pt idx="1">
                  <c:v>6.9878045733892766E-2</c:v>
                </c:pt>
                <c:pt idx="2">
                  <c:v>0.114435883295725</c:v>
                </c:pt>
                <c:pt idx="3">
                  <c:v>9.17154478955544E-2</c:v>
                </c:pt>
                <c:pt idx="4">
                  <c:v>7.7053235329487185E-2</c:v>
                </c:pt>
                <c:pt idx="5">
                  <c:v>0.31468259760073308</c:v>
                </c:pt>
                <c:pt idx="6">
                  <c:v>0.41797219205514735</c:v>
                </c:pt>
                <c:pt idx="7">
                  <c:v>0.64099478285222422</c:v>
                </c:pt>
                <c:pt idx="8">
                  <c:v>1.0373576540738885</c:v>
                </c:pt>
                <c:pt idx="9">
                  <c:v>5.2821310138583515</c:v>
                </c:pt>
              </c:numCache>
            </c:numRef>
          </c:val>
          <c:extLst>
            <c:ext xmlns:c16="http://schemas.microsoft.com/office/drawing/2014/chart" uri="{C3380CC4-5D6E-409C-BE32-E72D297353CC}">
              <c16:uniqueId val="{00000013-FF67-45FE-AB37-A7A28DC45D98}"/>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Comparisons'!$B$29</c:f>
              <c:strCache>
                <c:ptCount val="1"/>
                <c:pt idx="0">
                  <c:v>Total VAT collected from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0199087166598937"/>
          <c:y val="0.35404431216792248"/>
          <c:w val="0.29821605315357236"/>
          <c:h val="4.818982932322264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strRef>
          <c:f>'Decile Inc. Comparisons'!$E$40</c:f>
          <c:strCache>
            <c:ptCount val="1"/>
            <c:pt idx="0">
              <c:v>Subsidies received due to electricity</c:v>
            </c:pt>
          </c:strCache>
        </c:strRef>
      </c:tx>
      <c:overlay val="0"/>
    </c:title>
    <c:autoTitleDeleted val="0"/>
    <c:plotArea>
      <c:layout>
        <c:manualLayout>
          <c:layoutTarget val="inner"/>
          <c:xMode val="edge"/>
          <c:yMode val="edge"/>
          <c:x val="0.13195919627963365"/>
          <c:y val="3.1187679667456603E-2"/>
          <c:w val="0.84202904738113182"/>
          <c:h val="0.84094304346188775"/>
        </c:manualLayout>
      </c:layout>
      <c:barChart>
        <c:barDir val="col"/>
        <c:grouping val="clustered"/>
        <c:varyColors val="0"/>
        <c:ser>
          <c:idx val="1"/>
          <c:order val="0"/>
          <c:tx>
            <c:strRef>
              <c:f>'Decile Inc. Comparisons'!$L$7</c:f>
              <c:strCache>
                <c:ptCount val="1"/>
                <c:pt idx="0">
                  <c:v>Baseline</c:v>
                </c:pt>
              </c:strCache>
            </c:strRef>
          </c:tx>
          <c:spPr>
            <a:solidFill>
              <a:srgbClr val="70D5E4"/>
            </a:solidFill>
          </c:spPr>
          <c:invertIfNegative val="0"/>
          <c:dLbls>
            <c:dLbl>
              <c:idx val="0"/>
              <c:layout>
                <c:manualLayout>
                  <c:x val="2.9352652668943872E-2"/>
                  <c:y val="-6.450605252164073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8-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6-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5-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4-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3-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2-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1-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0-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Comparisons'!$L$8:$L$17</c:f>
              <c:numCache>
                <c:formatCode>0.000</c:formatCode>
                <c:ptCount val="10"/>
                <c:pt idx="0">
                  <c:v>1.4124179480399053</c:v>
                </c:pt>
                <c:pt idx="1">
                  <c:v>2.679127500338343</c:v>
                </c:pt>
                <c:pt idx="2">
                  <c:v>4.004951419989971</c:v>
                </c:pt>
                <c:pt idx="3">
                  <c:v>5.7395417892764025</c:v>
                </c:pt>
                <c:pt idx="4">
                  <c:v>7.0553427341118278</c:v>
                </c:pt>
                <c:pt idx="5">
                  <c:v>10.191163769503326</c:v>
                </c:pt>
                <c:pt idx="6">
                  <c:v>14.076043593900398</c:v>
                </c:pt>
                <c:pt idx="7">
                  <c:v>18.13184082099059</c:v>
                </c:pt>
                <c:pt idx="8">
                  <c:v>25.219020701326556</c:v>
                </c:pt>
                <c:pt idx="9">
                  <c:v>51.486910379897886</c:v>
                </c:pt>
              </c:numCache>
            </c:numRef>
          </c:val>
          <c:extLst>
            <c:ext xmlns:c16="http://schemas.microsoft.com/office/drawing/2014/chart" uri="{C3380CC4-5D6E-409C-BE32-E72D297353CC}">
              <c16:uniqueId val="{00000000-0C7F-4A19-B154-6733E287D81A}"/>
            </c:ext>
          </c:extLst>
        </c:ser>
        <c:ser>
          <c:idx val="0"/>
          <c:order val="1"/>
          <c:tx>
            <c:strRef>
              <c:f>'Decile Inc. Comparisons'!$M$7</c:f>
              <c:strCache>
                <c:ptCount val="1"/>
                <c:pt idx="0">
                  <c:v>Reform</c:v>
                </c:pt>
              </c:strCache>
            </c:strRef>
          </c:tx>
          <c:spPr>
            <a:solidFill>
              <a:srgbClr val="0070C0">
                <a:alpha val="60000"/>
              </a:srgbClr>
            </a:solidFill>
          </c:spPr>
          <c:invertIfNegative val="0"/>
          <c:dLbls>
            <c:dLbl>
              <c:idx val="0"/>
              <c:layout>
                <c:manualLayout>
                  <c:x val="4.1582924614337151E-2"/>
                  <c:y val="-3.225302626082041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7C95-433C-A404-BE00D0943E1A}"/>
                </c:ext>
              </c:extLst>
            </c:dLbl>
            <c:dLbl>
              <c:idx val="1"/>
              <c:delete val="1"/>
              <c:extLst>
                <c:ext xmlns:c15="http://schemas.microsoft.com/office/drawing/2012/chart" uri="{CE6537A1-D6FC-4f65-9D91-7224C49458BB}"/>
                <c:ext xmlns:c16="http://schemas.microsoft.com/office/drawing/2014/chart" uri="{C3380CC4-5D6E-409C-BE32-E72D297353CC}">
                  <c16:uniqueId val="{00000007-7C95-433C-A404-BE00D0943E1A}"/>
                </c:ext>
              </c:extLst>
            </c:dLbl>
            <c:dLbl>
              <c:idx val="2"/>
              <c:delete val="1"/>
              <c:extLst>
                <c:ext xmlns:c15="http://schemas.microsoft.com/office/drawing/2012/chart" uri="{CE6537A1-D6FC-4f65-9D91-7224C49458BB}"/>
                <c:ext xmlns:c16="http://schemas.microsoft.com/office/drawing/2014/chart" uri="{C3380CC4-5D6E-409C-BE32-E72D297353CC}">
                  <c16:uniqueId val="{00000009-7C95-433C-A404-BE00D0943E1A}"/>
                </c:ext>
              </c:extLst>
            </c:dLbl>
            <c:dLbl>
              <c:idx val="3"/>
              <c:delete val="1"/>
              <c:extLst>
                <c:ext xmlns:c15="http://schemas.microsoft.com/office/drawing/2012/chart" uri="{CE6537A1-D6FC-4f65-9D91-7224C49458BB}"/>
                <c:ext xmlns:c16="http://schemas.microsoft.com/office/drawing/2014/chart" uri="{C3380CC4-5D6E-409C-BE32-E72D297353CC}">
                  <c16:uniqueId val="{0000000A-7C95-433C-A404-BE00D0943E1A}"/>
                </c:ext>
              </c:extLst>
            </c:dLbl>
            <c:dLbl>
              <c:idx val="4"/>
              <c:delete val="1"/>
              <c:extLst>
                <c:ext xmlns:c15="http://schemas.microsoft.com/office/drawing/2012/chart" uri="{CE6537A1-D6FC-4f65-9D91-7224C49458BB}"/>
                <c:ext xmlns:c16="http://schemas.microsoft.com/office/drawing/2014/chart" uri="{C3380CC4-5D6E-409C-BE32-E72D297353CC}">
                  <c16:uniqueId val="{0000000B-7C95-433C-A404-BE00D0943E1A}"/>
                </c:ext>
              </c:extLst>
            </c:dLbl>
            <c:dLbl>
              <c:idx val="5"/>
              <c:delete val="1"/>
              <c:extLst>
                <c:ext xmlns:c15="http://schemas.microsoft.com/office/drawing/2012/chart" uri="{CE6537A1-D6FC-4f65-9D91-7224C49458BB}"/>
                <c:ext xmlns:c16="http://schemas.microsoft.com/office/drawing/2014/chart" uri="{C3380CC4-5D6E-409C-BE32-E72D297353CC}">
                  <c16:uniqueId val="{0000000C-7C95-433C-A404-BE00D0943E1A}"/>
                </c:ext>
              </c:extLst>
            </c:dLbl>
            <c:dLbl>
              <c:idx val="6"/>
              <c:delete val="1"/>
              <c:extLst>
                <c:ext xmlns:c15="http://schemas.microsoft.com/office/drawing/2012/chart" uri="{CE6537A1-D6FC-4f65-9D91-7224C49458BB}"/>
                <c:ext xmlns:c16="http://schemas.microsoft.com/office/drawing/2014/chart" uri="{C3380CC4-5D6E-409C-BE32-E72D297353CC}">
                  <c16:uniqueId val="{0000000D-7C95-433C-A404-BE00D0943E1A}"/>
                </c:ext>
              </c:extLst>
            </c:dLbl>
            <c:dLbl>
              <c:idx val="7"/>
              <c:delete val="1"/>
              <c:extLst>
                <c:ext xmlns:c15="http://schemas.microsoft.com/office/drawing/2012/chart" uri="{CE6537A1-D6FC-4f65-9D91-7224C49458BB}"/>
                <c:ext xmlns:c16="http://schemas.microsoft.com/office/drawing/2014/chart" uri="{C3380CC4-5D6E-409C-BE32-E72D297353CC}">
                  <c16:uniqueId val="{0000000E-7C95-433C-A404-BE00D0943E1A}"/>
                </c:ext>
              </c:extLst>
            </c:dLbl>
            <c:dLbl>
              <c:idx val="8"/>
              <c:delete val="1"/>
              <c:extLst>
                <c:ext xmlns:c15="http://schemas.microsoft.com/office/drawing/2012/chart" uri="{CE6537A1-D6FC-4f65-9D91-7224C49458BB}"/>
                <c:ext xmlns:c16="http://schemas.microsoft.com/office/drawing/2014/chart" uri="{C3380CC4-5D6E-409C-BE32-E72D297353CC}">
                  <c16:uniqueId val="{0000000F-7C95-433C-A404-BE00D0943E1A}"/>
                </c:ext>
              </c:extLst>
            </c:dLbl>
            <c:numFmt formatCode="#,##0.0" sourceLinked="0"/>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'Decile Inc. Comparisons'!$I$8:$I$17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Inc. Comparisons'!$M$8:$M$17</c:f>
              <c:numCache>
                <c:formatCode>0.000</c:formatCode>
                <c:ptCount val="10"/>
                <c:pt idx="0">
                  <c:v>0.64746534885267082</c:v>
                </c:pt>
                <c:pt idx="1">
                  <c:v>1.3624606819287883</c:v>
                </c:pt>
                <c:pt idx="2">
                  <c:v>2.2779931919064831</c:v>
                </c:pt>
                <c:pt idx="3">
                  <c:v>3.6510372571750858</c:v>
                </c:pt>
                <c:pt idx="4">
                  <c:v>4.5983064879108246</c:v>
                </c:pt>
                <c:pt idx="5">
                  <c:v>6.7696380706300303</c:v>
                </c:pt>
                <c:pt idx="6">
                  <c:v>9.8191888926925461</c:v>
                </c:pt>
                <c:pt idx="7">
                  <c:v>12.25219602070875</c:v>
                </c:pt>
                <c:pt idx="8">
                  <c:v>17.056684084861981</c:v>
                </c:pt>
                <c:pt idx="9">
                  <c:v>30.399037578359195</c:v>
                </c:pt>
              </c:numCache>
            </c:numRef>
          </c:val>
          <c:extLst>
            <c:ext xmlns:c16="http://schemas.microsoft.com/office/drawing/2014/chart" uri="{C3380CC4-5D6E-409C-BE32-E72D297353CC}">
              <c16:uniqueId val="{00000001-0C7F-4A19-B154-6733E287D81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Inc. Comparisons'!$A$21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ysClr val="window" lastClr="FFFFFF">
                <a:lumMod val="75000"/>
              </a:sys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majorGridlines>
          <c:spPr>
            <a:ln>
              <a:solidFill>
                <a:sysClr val="window" lastClr="FFFFFF">
                  <a:lumMod val="85000"/>
                </a:sysClr>
              </a:solidFill>
            </a:ln>
          </c:spPr>
        </c:majorGridlines>
        <c:title>
          <c:tx>
            <c:strRef>
              <c:f>'Decile Inc. Comparisons'!$B$30</c:f>
              <c:strCache>
                <c:ptCount val="1"/>
                <c:pt idx="0">
                  <c:v>Total subsidy to households (billion CFA)</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 sourceLinked="0"/>
        <c:majorTickMark val="none"/>
        <c:minorTickMark val="none"/>
        <c:tickLblPos val="nextTo"/>
        <c:spPr>
          <a:noFill/>
          <a:ln>
            <a:solidFill>
              <a:sysClr val="window" lastClr="FFFFFF">
                <a:lumMod val="75000"/>
              </a:sysClr>
            </a:solidFill>
          </a:ln>
          <a:effectLst/>
        </c:spPr>
        <c:txPr>
          <a:bodyPr rot="-60000000" vert="horz"/>
          <a:lstStyle/>
          <a:p>
            <a:pPr>
              <a:defRPr/>
            </a:pPr>
            <a:endParaRPr lang="en-US"/>
          </a:p>
        </c:txPr>
        <c:crossAx val="1514774928"/>
        <c:crosses val="autoZero"/>
        <c:crossBetween val="between"/>
      </c:valAx>
    </c:plotArea>
    <c:legend>
      <c:legendPos val="b"/>
      <c:layout>
        <c:manualLayout>
          <c:xMode val="edge"/>
          <c:yMode val="edge"/>
          <c:x val="0.33151830471172816"/>
          <c:y val="0.37730763801332601"/>
          <c:w val="0.29788565896616059"/>
          <c:h val="4.8248255787411293E-2"/>
        </c:manualLayout>
      </c:layout>
      <c:overlay val="1"/>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RI'!$I$7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RI'!$I$8:$I$17</c:f>
              <c:numCache>
                <c:formatCode>0.000</c:formatCode>
                <c:ptCount val="10"/>
                <c:pt idx="0">
                  <c:v>3.20780647547732E-3</c:v>
                </c:pt>
                <c:pt idx="1">
                  <c:v>1.5871212869126648E-2</c:v>
                </c:pt>
                <c:pt idx="2">
                  <c:v>2.2249097031247288E-2</c:v>
                </c:pt>
                <c:pt idx="3">
                  <c:v>1.468923082294157E-2</c:v>
                </c:pt>
                <c:pt idx="4">
                  <c:v>1.0496805656520666E-2</c:v>
                </c:pt>
                <c:pt idx="5">
                  <c:v>3.6849765202948255E-2</c:v>
                </c:pt>
                <c:pt idx="6">
                  <c:v>3.8873113857382999E-2</c:v>
                </c:pt>
                <c:pt idx="7">
                  <c:v>5.1957604098936627E-2</c:v>
                </c:pt>
                <c:pt idx="8">
                  <c:v>6.3689542163174725E-2</c:v>
                </c:pt>
                <c:pt idx="9">
                  <c:v>0.12031843259552541</c:v>
                </c:pt>
              </c:numCache>
            </c:numRef>
          </c:val>
          <c:extLst>
            <c:ext xmlns:c16="http://schemas.microsoft.com/office/drawing/2014/chart" uri="{C3380CC4-5D6E-409C-BE32-E72D297353CC}">
              <c16:uniqueId val="{00000000-142A-4944-B6F6-90021134AE7A}"/>
            </c:ext>
          </c:extLst>
        </c:ser>
        <c:ser>
          <c:idx val="0"/>
          <c:order val="1"/>
          <c:tx>
            <c:strRef>
              <c:f>'Decile shares RI'!$J$7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RI'!$J$8:$J$17</c:f>
              <c:numCache>
                <c:formatCode>0.000</c:formatCode>
                <c:ptCount val="10"/>
                <c:pt idx="0">
                  <c:v>0.13942335416879148</c:v>
                </c:pt>
                <c:pt idx="1">
                  <c:v>0.19482937840387715</c:v>
                </c:pt>
                <c:pt idx="2">
                  <c:v>0.16466119665310205</c:v>
                </c:pt>
                <c:pt idx="3">
                  <c:v>0.1845051924622168</c:v>
                </c:pt>
                <c:pt idx="4">
                  <c:v>0.22766071607092658</c:v>
                </c:pt>
                <c:pt idx="5">
                  <c:v>0.26232081188307682</c:v>
                </c:pt>
                <c:pt idx="6">
                  <c:v>0.27779665543522281</c:v>
                </c:pt>
                <c:pt idx="7">
                  <c:v>0.36753755576932023</c:v>
                </c:pt>
                <c:pt idx="8">
                  <c:v>0.38653785020139558</c:v>
                </c:pt>
                <c:pt idx="9">
                  <c:v>0.4680118201696718</c:v>
                </c:pt>
              </c:numCache>
            </c:numRef>
          </c:val>
          <c:extLst>
            <c:ext xmlns:c16="http://schemas.microsoft.com/office/drawing/2014/chart" uri="{C3380CC4-5D6E-409C-BE32-E72D297353CC}">
              <c16:uniqueId val="{00000001-142A-4944-B6F6-90021134AE7A}"/>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RI'!$B$29</c:f>
              <c:strCache>
                <c:ptCount val="1"/>
                <c:pt idx="0">
                  <c:v>Percentage of Disposable Income (-)</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0.13684394343878509"/>
          <c:y val="3.1187679667456603E-2"/>
          <c:w val="0.83714443312999631"/>
          <c:h val="0.74326404466355056"/>
        </c:manualLayout>
      </c:layout>
      <c:barChart>
        <c:barDir val="col"/>
        <c:grouping val="clustered"/>
        <c:varyColors val="0"/>
        <c:ser>
          <c:idx val="1"/>
          <c:order val="0"/>
          <c:tx>
            <c:strRef>
              <c:f>'Decile shares RI'!$K$7</c:f>
              <c:strCache>
                <c:ptCount val="1"/>
                <c:pt idx="0">
                  <c:v>Electricity</c:v>
                </c:pt>
              </c:strCache>
            </c:strRef>
          </c:tx>
          <c:spPr>
            <a:solidFill>
              <a:srgbClr val="5B9BD5"/>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RI'!$K$8:$K$17</c:f>
              <c:numCache>
                <c:formatCode>0.000</c:formatCode>
                <c:ptCount val="10"/>
                <c:pt idx="0">
                  <c:v>0.21427053736954549</c:v>
                </c:pt>
                <c:pt idx="1">
                  <c:v>0.31159292993524657</c:v>
                </c:pt>
                <c:pt idx="2">
                  <c:v>0.43489151249078151</c:v>
                </c:pt>
                <c:pt idx="3">
                  <c:v>0.58528761110625172</c:v>
                </c:pt>
                <c:pt idx="4">
                  <c:v>0.63362266965357084</c:v>
                </c:pt>
                <c:pt idx="5">
                  <c:v>0.78683826439815918</c:v>
                </c:pt>
                <c:pt idx="6">
                  <c:v>0.95006566453608066</c:v>
                </c:pt>
                <c:pt idx="7">
                  <c:v>0.98229601461930316</c:v>
                </c:pt>
                <c:pt idx="8">
                  <c:v>1.050536457694959</c:v>
                </c:pt>
                <c:pt idx="9">
                  <c:v>0.96313569545973809</c:v>
                </c:pt>
              </c:numCache>
            </c:numRef>
          </c:val>
          <c:extLst>
            <c:ext xmlns:c16="http://schemas.microsoft.com/office/drawing/2014/chart" uri="{C3380CC4-5D6E-409C-BE32-E72D297353CC}">
              <c16:uniqueId val="{00000000-2525-4201-AB8C-B93264987700}"/>
            </c:ext>
          </c:extLst>
        </c:ser>
        <c:ser>
          <c:idx val="0"/>
          <c:order val="1"/>
          <c:tx>
            <c:strRef>
              <c:f>'Decile shares RI'!$L$7</c:f>
              <c:strCache>
                <c:ptCount val="1"/>
                <c:pt idx="0">
                  <c:v>Fuel</c:v>
                </c:pt>
              </c:strCache>
            </c:strRef>
          </c:tx>
          <c:spPr>
            <a:solidFill>
              <a:srgbClr val="FFC000"/>
            </a:solidFill>
          </c:spPr>
          <c:invertIfNegative val="0"/>
          <c:cat>
            <c:strRef>
              <c:f>'Decile shares RI'!$H$8:$H$17</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RI'!$L$8:$L$17</c:f>
              <c:numCache>
                <c:formatCode>0.000</c:formatCode>
                <c:ptCount val="10"/>
                <c:pt idx="0">
                  <c:v>0.38174882409480082</c:v>
                </c:pt>
                <c:pt idx="1">
                  <c:v>0.48994784635849964</c:v>
                </c:pt>
                <c:pt idx="2">
                  <c:v>0.4633727795045956</c:v>
                </c:pt>
                <c:pt idx="3">
                  <c:v>0.5139324410342333</c:v>
                </c:pt>
                <c:pt idx="4">
                  <c:v>0.58771084433736498</c:v>
                </c:pt>
                <c:pt idx="5">
                  <c:v>0.65048556274067859</c:v>
                </c:pt>
                <c:pt idx="6">
                  <c:v>0.69276210357893964</c:v>
                </c:pt>
                <c:pt idx="7">
                  <c:v>0.82871060096914162</c:v>
                </c:pt>
                <c:pt idx="8">
                  <c:v>0.86024617664559044</c:v>
                </c:pt>
                <c:pt idx="9">
                  <c:v>0.95837287608474919</c:v>
                </c:pt>
              </c:numCache>
            </c:numRef>
          </c:val>
          <c:extLst>
            <c:ext xmlns:c16="http://schemas.microsoft.com/office/drawing/2014/chart" uri="{C3380CC4-5D6E-409C-BE32-E72D297353CC}">
              <c16:uniqueId val="{00000001-2525-4201-AB8C-B93264987700}"/>
            </c:ext>
          </c:extLst>
        </c:ser>
        <c:dLbls>
          <c:showLegendKey val="0"/>
          <c:showVal val="0"/>
          <c:showCatName val="0"/>
          <c:showSerName val="0"/>
          <c:showPercent val="0"/>
          <c:showBubbleSize val="0"/>
        </c:dLbls>
        <c:gapWidth val="150"/>
        <c:overlap val="-27"/>
        <c:axId val="1514774928"/>
        <c:axId val="1514580624"/>
      </c:barChart>
      <c:catAx>
        <c:axId val="1514774928"/>
        <c:scaling>
          <c:orientation val="minMax"/>
        </c:scaling>
        <c:delete val="0"/>
        <c:axPos val="b"/>
        <c:title>
          <c:tx>
            <c:strRef>
              <c:f>'Decile shares RI'!$A$21</c:f>
              <c:strCache>
                <c:ptCount val="1"/>
                <c:pt idx="0">
                  <c:v>Deciles of Per Capita Disposable Income</c:v>
                </c:pt>
              </c:strCache>
            </c:strRef>
          </c:tx>
          <c:overlay val="0"/>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vert="horz"/>
          <a:lstStyle/>
          <a:p>
            <a:pPr>
              <a:defRPr/>
            </a:pPr>
            <a:endParaRPr lang="en-US"/>
          </a:p>
        </c:txPr>
        <c:crossAx val="1514580624"/>
        <c:crosses val="autoZero"/>
        <c:auto val="1"/>
        <c:lblAlgn val="ctr"/>
        <c:lblOffset val="100"/>
        <c:noMultiLvlLbl val="0"/>
      </c:catAx>
      <c:valAx>
        <c:axId val="1514580624"/>
        <c:scaling>
          <c:orientation val="minMax"/>
        </c:scaling>
        <c:delete val="0"/>
        <c:axPos val="l"/>
        <c:title>
          <c:tx>
            <c:strRef>
              <c:f>'Decile shares RI'!$B$30</c:f>
              <c:strCache>
                <c:ptCount val="1"/>
                <c:pt idx="0">
                  <c:v>Percentage of Disposable Income</c:v>
                </c:pt>
              </c:strCache>
            </c:strRef>
          </c:tx>
          <c:layout>
            <c:manualLayout>
              <c:xMode val="edge"/>
              <c:yMode val="edge"/>
              <c:x val="5.6042994783918228E-3"/>
              <c:y val="0.1539718271684874"/>
            </c:manualLayout>
          </c:layout>
          <c:overlay val="0"/>
          <c:spPr>
            <a:noFill/>
            <a:ln>
              <a:noFill/>
            </a:ln>
            <a:effectLst/>
          </c:spPr>
          <c:txPr>
            <a:bodyPr rot="-5400000" vert="horz"/>
            <a:lstStyle/>
            <a:p>
              <a:pPr>
                <a:defRPr/>
              </a:pPr>
              <a:endParaRPr lang="en-US"/>
            </a:p>
          </c:txPr>
        </c:title>
        <c:numFmt formatCode="#,##0.00" sourceLinked="0"/>
        <c:majorTickMark val="none"/>
        <c:minorTickMark val="none"/>
        <c:tickLblPos val="nextTo"/>
        <c:spPr>
          <a:noFill/>
          <a:ln>
            <a:noFill/>
          </a:ln>
          <a:effectLst/>
        </c:spPr>
        <c:txPr>
          <a:bodyPr rot="-60000000" vert="horz"/>
          <a:lstStyle/>
          <a:p>
            <a:pPr>
              <a:defRPr/>
            </a:pPr>
            <a:endParaRPr lang="en-US"/>
          </a:p>
        </c:txPr>
        <c:crossAx val="1514774928"/>
        <c:crosses val="autoZero"/>
        <c:crossBetween val="between"/>
      </c:valAx>
    </c:plotArea>
    <c:legend>
      <c:legendPos val="b"/>
      <c:overlay val="0"/>
    </c:legend>
    <c:plotVisOnly val="1"/>
    <c:dispBlanksAs val="gap"/>
    <c:showDLblsOverMax val="0"/>
  </c:chart>
  <c:spPr>
    <a:solidFill>
      <a:schemeClr val="bg1"/>
    </a:solidFill>
    <a:ln w="9525" cap="flat" cmpd="sng" algn="ctr">
      <a:noFill/>
      <a:round/>
    </a:ln>
    <a:effectLst/>
  </c:spPr>
  <c:txPr>
    <a:bodyPr/>
    <a:lstStyle/>
    <a:p>
      <a:pPr>
        <a:defRPr sz="1100" b="0">
          <a:solidFill>
            <a:schemeClr val="tx1"/>
          </a:solidFill>
          <a:latin typeface="Times New Roman" panose="02020603050405020304" pitchFamily="18" charset="0"/>
          <a:cs typeface="Times New Roman" panose="02020603050405020304" pitchFamily="18" charset="0"/>
        </a:defRPr>
      </a:pPr>
      <a:endParaRPr lang="en-US"/>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'Decile shares RI'!$I$34</c:f>
              <c:strCache>
                <c:ptCount val="1"/>
                <c:pt idx="0">
                  <c:v>Cost</c:v>
                </c:pt>
              </c:strCache>
            </c:strRef>
          </c:tx>
          <c:spPr>
            <a:solidFill>
              <a:schemeClr val="accent4"/>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RI'!$I$35:$I$44</c:f>
              <c:numCache>
                <c:formatCode>0.000</c:formatCode>
                <c:ptCount val="10"/>
                <c:pt idx="0">
                  <c:v>0.76071281536266677</c:v>
                </c:pt>
                <c:pt idx="1">
                  <c:v>1.1403041768935227</c:v>
                </c:pt>
                <c:pt idx="2">
                  <c:v>1.503155567008539</c:v>
                </c:pt>
                <c:pt idx="3">
                  <c:v>1.8836051790643342</c:v>
                </c:pt>
                <c:pt idx="4">
                  <c:v>1.9466362127531236</c:v>
                </c:pt>
                <c:pt idx="5">
                  <c:v>2.5793590814124472</c:v>
                </c:pt>
                <c:pt idx="6">
                  <c:v>2.9892093995178186</c:v>
                </c:pt>
                <c:pt idx="7">
                  <c:v>3.2825041813009035</c:v>
                </c:pt>
                <c:pt idx="8">
                  <c:v>3.5818481066294852</c:v>
                </c:pt>
                <c:pt idx="9">
                  <c:v>3.74231993059436</c:v>
                </c:pt>
              </c:numCache>
            </c:numRef>
          </c:val>
          <c:extLst>
            <c:ext xmlns:c16="http://schemas.microsoft.com/office/drawing/2014/chart" uri="{C3380CC4-5D6E-409C-BE32-E72D297353CC}">
              <c16:uniqueId val="{00000000-81F4-40DE-BAE3-0CDB7D4C53AA}"/>
            </c:ext>
          </c:extLst>
        </c:ser>
        <c:ser>
          <c:idx val="1"/>
          <c:order val="1"/>
          <c:tx>
            <c:strRef>
              <c:f>'Decile shares RI'!$J$34</c:f>
              <c:strCache>
                <c:ptCount val="1"/>
                <c:pt idx="0">
                  <c:v>Baseline (Direct Effect)</c:v>
                </c:pt>
              </c:strCache>
            </c:strRef>
          </c:tx>
          <c:spPr>
            <a:solidFill>
              <a:srgbClr val="F5B5E7"/>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RI'!$J$35:$J$44</c:f>
              <c:numCache>
                <c:formatCode>0.000</c:formatCode>
                <c:ptCount val="10"/>
                <c:pt idx="0">
                  <c:v>0.3117740698437127</c:v>
                </c:pt>
                <c:pt idx="1">
                  <c:v>0.44544740130908428</c:v>
                </c:pt>
                <c:pt idx="2">
                  <c:v>0.59219185328734569</c:v>
                </c:pt>
                <c:pt idx="3">
                  <c:v>0.74348868329534323</c:v>
                </c:pt>
                <c:pt idx="4">
                  <c:v>0.78644608162676843</c:v>
                </c:pt>
                <c:pt idx="5">
                  <c:v>1.002334867491067</c:v>
                </c:pt>
                <c:pt idx="6">
                  <c:v>1.1724951646690007</c:v>
                </c:pt>
                <c:pt idx="7">
                  <c:v>1.2582816156987373</c:v>
                </c:pt>
                <c:pt idx="8">
                  <c:v>1.3594151033170569</c:v>
                </c:pt>
                <c:pt idx="9">
                  <c:v>1.3662531099960951</c:v>
                </c:pt>
              </c:numCache>
            </c:numRef>
          </c:val>
          <c:extLst>
            <c:ext xmlns:c16="http://schemas.microsoft.com/office/drawing/2014/chart" uri="{C3380CC4-5D6E-409C-BE32-E72D297353CC}">
              <c16:uniqueId val="{00000001-81F4-40DE-BAE3-0CDB7D4C53AA}"/>
            </c:ext>
          </c:extLst>
        </c:ser>
        <c:ser>
          <c:idx val="2"/>
          <c:order val="2"/>
          <c:tx>
            <c:strRef>
              <c:f>'Decile shares RI'!$K$34</c:f>
              <c:strCache>
                <c:ptCount val="1"/>
                <c:pt idx="0">
                  <c:v>Reform (Direct Effect)</c:v>
                </c:pt>
              </c:strCache>
            </c:strRef>
          </c:tx>
          <c:spPr>
            <a:solidFill>
              <a:schemeClr val="accent2"/>
            </a:solidFill>
            <a:ln>
              <a:noFill/>
            </a:ln>
            <a:effectLst/>
          </c:spPr>
          <c:invertIfNegative val="0"/>
          <c:cat>
            <c:strRef>
              <c:f>'Decile shares RI'!$H$35:$H$44</c:f>
              <c:strCache>
                <c:ptCount val="10"/>
                <c:pt idx="0">
                  <c:v>Bottom decile</c:v>
                </c:pt>
                <c:pt idx="1">
                  <c:v>2</c:v>
                </c:pt>
                <c:pt idx="2">
                  <c:v>3</c:v>
                </c:pt>
                <c:pt idx="3">
                  <c:v>4</c:v>
                </c:pt>
                <c:pt idx="4">
                  <c:v>5</c:v>
                </c:pt>
                <c:pt idx="5">
                  <c:v>6</c:v>
                </c:pt>
                <c:pt idx="6">
                  <c:v>7</c:v>
                </c:pt>
                <c:pt idx="7">
                  <c:v>8</c:v>
                </c:pt>
                <c:pt idx="8">
                  <c:v>9</c:v>
                </c:pt>
                <c:pt idx="9">
                  <c:v>Top decile</c:v>
                </c:pt>
              </c:strCache>
            </c:strRef>
          </c:cat>
          <c:val>
            <c:numRef>
              <c:f>'Decile shares RI'!$K$35:$K$44</c:f>
              <c:numCache>
                <c:formatCode>0.000</c:formatCode>
                <c:ptCount val="10"/>
                <c:pt idx="0">
                  <c:v>0.29637684958593102</c:v>
                </c:pt>
                <c:pt idx="1">
                  <c:v>0.40050521392123739</c:v>
                </c:pt>
                <c:pt idx="2">
                  <c:v>0.52428860190884696</c:v>
                </c:pt>
                <c:pt idx="3">
                  <c:v>0.67684156643176163</c:v>
                </c:pt>
                <c:pt idx="4">
                  <c:v>0.72909520908476111</c:v>
                </c:pt>
                <c:pt idx="5">
                  <c:v>0.88205698679408429</c:v>
                </c:pt>
                <c:pt idx="6">
                  <c:v>1.0472600769848135</c:v>
                </c:pt>
                <c:pt idx="7">
                  <c:v>1.0835319607030318</c:v>
                </c:pt>
                <c:pt idx="8">
                  <c:v>1.1507277495627215</c:v>
                </c:pt>
                <c:pt idx="9">
                  <c:v>1.0631350314650621</c:v>
                </c:pt>
              </c:numCache>
            </c:numRef>
          </c:val>
          <c:extLst>
            <c:ext xmlns:c16="http://schemas.microsoft.com/office/drawing/2014/chart" uri="{C3380CC4-5D6E-409C-BE32-E72D297353CC}">
              <c16:uniqueId val="{00000002-81F4-40DE-BAE3-0CDB7D4C53AA}"/>
            </c:ext>
          </c:extLst>
        </c:ser>
        <c:dLbls>
          <c:showLegendKey val="0"/>
          <c:showVal val="0"/>
          <c:showCatName val="0"/>
          <c:showSerName val="0"/>
          <c:showPercent val="0"/>
          <c:showBubbleSize val="0"/>
        </c:dLbls>
        <c:gapWidth val="219"/>
        <c:overlap val="-27"/>
        <c:axId val="1928215904"/>
        <c:axId val="1074458400"/>
      </c:barChart>
      <c:catAx>
        <c:axId val="192821590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 of per capita disposable</a:t>
                </a:r>
                <a:r>
                  <a:rPr lang="en-US" baseline="0"/>
                  <a:t> </a:t>
                </a:r>
                <a:r>
                  <a:rPr lang="en-US"/>
                  <a:t>income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458400"/>
        <c:crosses val="autoZero"/>
        <c:auto val="1"/>
        <c:lblAlgn val="ctr"/>
        <c:lblOffset val="100"/>
        <c:noMultiLvlLbl val="0"/>
      </c:catAx>
      <c:valAx>
        <c:axId val="10744584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disposable income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solidFill>
              <a:schemeClr val="bg1">
                <a:lumMod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215904"/>
        <c:crosses val="autoZero"/>
        <c:crossBetween val="between"/>
      </c:valAx>
      <c:spPr>
        <a:noFill/>
        <a:ln>
          <a:noFill/>
        </a:ln>
        <a:effectLst/>
      </c:spPr>
    </c:plotArea>
    <c:legend>
      <c:legendPos val="b"/>
      <c:layout>
        <c:manualLayout>
          <c:xMode val="edge"/>
          <c:yMode val="edge"/>
          <c:x val="0.13580877575683206"/>
          <c:y val="0.19489709642980368"/>
          <c:w val="0.21528627649911966"/>
          <c:h val="0.2127354921439687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Comparisons'!$J$41:$J$43</c:f>
              <c:numCache>
                <c:formatCode>0.00</c:formatCode>
                <c:ptCount val="3"/>
                <c:pt idx="0">
                  <c:v>0.1647000000000034</c:v>
                </c:pt>
                <c:pt idx="1">
                  <c:v>7.1500000000000341E-2</c:v>
                </c:pt>
                <c:pt idx="2">
                  <c:v>0.23410000000000508</c:v>
                </c:pt>
              </c:numCache>
            </c:numRef>
          </c:val>
          <c:extLst>
            <c:ext xmlns:c16="http://schemas.microsoft.com/office/drawing/2014/chart" uri="{C3380CC4-5D6E-409C-BE32-E72D297353CC}">
              <c16:uniqueId val="{00000000-56CD-4842-AD2B-15EC0E4874EF}"/>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Comparisons'!$M$41:$M$43</c:f>
              <c:numCache>
                <c:formatCode>0.00</c:formatCode>
                <c:ptCount val="3"/>
                <c:pt idx="0">
                  <c:v>8.7319999999998288E-2</c:v>
                </c:pt>
                <c:pt idx="1">
                  <c:v>3.9389999999997372E-2</c:v>
                </c:pt>
                <c:pt idx="2">
                  <c:v>0.12619000000000113</c:v>
                </c:pt>
              </c:numCache>
            </c:numRef>
          </c:val>
          <c:extLst>
            <c:ext xmlns:c16="http://schemas.microsoft.com/office/drawing/2014/chart" uri="{C3380CC4-5D6E-409C-BE32-E72D297353CC}">
              <c16:uniqueId val="{00000001-56CD-4842-AD2B-15EC0E4874EF}"/>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Comparisons'!$N$41:$N$43</c:f>
              <c:numCache>
                <c:formatCode>0.00</c:formatCode>
                <c:ptCount val="3"/>
                <c:pt idx="0">
                  <c:v>-7.7380000000005111E-2</c:v>
                </c:pt>
                <c:pt idx="1">
                  <c:v>-3.211000000000297E-2</c:v>
                </c:pt>
                <c:pt idx="2">
                  <c:v>-0.10791000000000395</c:v>
                </c:pt>
              </c:numCache>
            </c:numRef>
          </c:val>
          <c:extLst>
            <c:ext xmlns:c16="http://schemas.microsoft.com/office/drawing/2014/chart" uri="{C3380CC4-5D6E-409C-BE32-E72D297353CC}">
              <c16:uniqueId val="{00000002-56CD-4842-AD2B-15EC0E4874EF}"/>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'MC Comparisons'!$I$36</c:f>
              <c:strCache>
                <c:ptCount val="1"/>
                <c:pt idx="0">
                  <c:v>Baseline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Comparisons'!$J$70:$J$72</c:f>
              <c:numCache>
                <c:formatCode>0.00</c:formatCode>
                <c:ptCount val="3"/>
                <c:pt idx="0">
                  <c:v>-0.62655972561096718</c:v>
                </c:pt>
                <c:pt idx="1">
                  <c:v>-0.40762776171057169</c:v>
                </c:pt>
                <c:pt idx="2">
                  <c:v>-1.0373194720386962</c:v>
                </c:pt>
              </c:numCache>
            </c:numRef>
          </c:val>
          <c:extLst>
            <c:ext xmlns:c16="http://schemas.microsoft.com/office/drawing/2014/chart" uri="{C3380CC4-5D6E-409C-BE32-E72D297353CC}">
              <c16:uniqueId val="{00000000-DFC4-4B53-A203-8C2BC100E7D2}"/>
            </c:ext>
          </c:extLst>
        </c:ser>
        <c:ser>
          <c:idx val="1"/>
          <c:order val="1"/>
          <c:tx>
            <c:strRef>
              <c:f>'MC Comparisons'!$L$36</c:f>
              <c:strCache>
                <c:ptCount val="1"/>
                <c:pt idx="0">
                  <c:v>Reform</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Comparisons'!$M$70:$M$72</c:f>
              <c:numCache>
                <c:formatCode>0.00</c:formatCode>
                <c:ptCount val="3"/>
                <c:pt idx="0">
                  <c:v>-0.62655972561096718</c:v>
                </c:pt>
                <c:pt idx="1">
                  <c:v>-0.36290302569276633</c:v>
                </c:pt>
                <c:pt idx="2">
                  <c:v>-1.0256434341179244</c:v>
                </c:pt>
              </c:numCache>
            </c:numRef>
          </c:val>
          <c:extLst>
            <c:ext xmlns:c16="http://schemas.microsoft.com/office/drawing/2014/chart" uri="{C3380CC4-5D6E-409C-BE32-E72D297353CC}">
              <c16:uniqueId val="{00000001-DFC4-4B53-A203-8C2BC100E7D2}"/>
            </c:ext>
          </c:extLst>
        </c:ser>
        <c:ser>
          <c:idx val="2"/>
          <c:order val="2"/>
          <c:tx>
            <c:strRef>
              <c:f>'MC Comparisons'!$N$36</c:f>
              <c:strCache>
                <c:ptCount val="1"/>
                <c:pt idx="0">
                  <c:v>Change</c:v>
                </c:pt>
              </c:strCache>
            </c:strRef>
          </c:tx>
          <c:spPr>
            <a:solidFill>
              <a:srgbClr val="C0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'MC Comparisons'!$H$41:$H$43</c:f>
              <c:strCache>
                <c:ptCount val="3"/>
                <c:pt idx="0">
                  <c:v>Electricity (w/ social tariff)</c:v>
                </c:pt>
                <c:pt idx="1">
                  <c:v>Fuel</c:v>
                </c:pt>
                <c:pt idx="2">
                  <c:v>Fuel and Electricity</c:v>
                </c:pt>
              </c:strCache>
            </c:strRef>
          </c:cat>
          <c:val>
            <c:numRef>
              <c:f>'MC Comparisons'!$N$70:$N$72</c:f>
              <c:numCache>
                <c:formatCode>0.00</c:formatCode>
                <c:ptCount val="3"/>
                <c:pt idx="0">
                  <c:v>0</c:v>
                </c:pt>
                <c:pt idx="1">
                  <c:v>4.4724736017805355E-2</c:v>
                </c:pt>
                <c:pt idx="2">
                  <c:v>1.1676037920771876E-2</c:v>
                </c:pt>
              </c:numCache>
            </c:numRef>
          </c:val>
          <c:extLst>
            <c:ext xmlns:c16="http://schemas.microsoft.com/office/drawing/2014/chart" uri="{C3380CC4-5D6E-409C-BE32-E72D297353CC}">
              <c16:uniqueId val="{00000002-DFC4-4B53-A203-8C2BC100E7D2}"/>
            </c:ext>
          </c:extLst>
        </c:ser>
        <c:dLbls>
          <c:showLegendKey val="0"/>
          <c:showVal val="0"/>
          <c:showCatName val="0"/>
          <c:showSerName val="0"/>
          <c:showPercent val="0"/>
          <c:showBubbleSize val="0"/>
        </c:dLbls>
        <c:gapWidth val="219"/>
        <c:overlap val="-27"/>
        <c:axId val="1470569951"/>
        <c:axId val="1470582847"/>
      </c:barChart>
      <c:catAx>
        <c:axId val="147056995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Subsidies</a:t>
                </a:r>
                <a:r>
                  <a:rPr lang="en-US" baseline="0"/>
                  <a:t> and VAT by energy policy</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82847"/>
        <c:crosses val="autoZero"/>
        <c:auto val="1"/>
        <c:lblAlgn val="ctr"/>
        <c:lblOffset val="100"/>
        <c:noMultiLvlLbl val="0"/>
      </c:catAx>
      <c:valAx>
        <c:axId val="1470582847"/>
        <c:scaling>
          <c:orientation val="minMax"/>
        </c:scaling>
        <c:delete val="0"/>
        <c:axPos val="l"/>
        <c:majorGridlines>
          <c:spPr>
            <a:ln w="9525" cap="flat" cmpd="sng" algn="ctr">
              <a:solidFill>
                <a:schemeClr val="tx1">
                  <a:lumMod val="15000"/>
                  <a:lumOff val="85000"/>
                </a:schemeClr>
              </a:solidFill>
              <a:round/>
            </a:ln>
            <a:effectLst/>
          </c:spPr>
        </c:majorGridlines>
        <c:title>
          <c:tx>
            <c:strRef>
              <c:f>'MC Comparisons'!$H$38</c:f>
              <c:strCache>
                <c:ptCount val="1"/>
                <c:pt idx="0">
                  <c:v>Effect of subsidies and VAT on Inequality (gini points)</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0569951"/>
        <c:crosses val="autoZero"/>
        <c:crossBetween val="between"/>
        <c:majorUnit val="0.4"/>
        <c:minorUnit val="0.1"/>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'F1'!$P$32</c:f>
              <c:strCache>
                <c:ptCount val="1"/>
                <c:pt idx="0">
                  <c:v>Baseline</c:v>
                </c:pt>
              </c:strCache>
            </c:strRef>
          </c:tx>
          <c:spPr>
            <a:solidFill>
              <a:srgbClr val="F1C6A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'F1'!$P$33:$P$38</c:f>
              <c:numCache>
                <c:formatCode>0</c:formatCode>
                <c:ptCount val="6"/>
                <c:pt idx="0">
                  <c:v>25.759454497153101</c:v>
                </c:pt>
                <c:pt idx="1">
                  <c:v>46.872687776634152</c:v>
                </c:pt>
                <c:pt idx="2">
                  <c:v>29.020491337609815</c:v>
                </c:pt>
                <c:pt idx="3">
                  <c:v>23.794853746758996</c:v>
                </c:pt>
                <c:pt idx="4">
                  <c:v>31.031555231605861</c:v>
                </c:pt>
                <c:pt idx="5">
                  <c:v>10.10104555400574</c:v>
                </c:pt>
              </c:numCache>
            </c:numRef>
          </c:val>
          <c:extLst>
            <c:ext xmlns:c16="http://schemas.microsoft.com/office/drawing/2014/chart" uri="{C3380CC4-5D6E-409C-BE32-E72D297353CC}">
              <c16:uniqueId val="{00000000-1C41-4B22-9E01-78B5301D4781}"/>
            </c:ext>
          </c:extLst>
        </c:ser>
        <c:ser>
          <c:idx val="1"/>
          <c:order val="1"/>
          <c:tx>
            <c:strRef>
              <c:f>'F1'!$Q$32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'F1'!$O$33:$O$38</c:f>
              <c:strCache>
                <c:ptCount val="6"/>
                <c:pt idx="0">
                  <c:v>LPG (Butane)</c:v>
                </c:pt>
                <c:pt idx="1">
                  <c:v>Kerosene (Pétrole Lampant)</c:v>
                </c:pt>
                <c:pt idx="2">
                  <c:v>Diesel (Gasoil)</c:v>
                </c:pt>
                <c:pt idx="3">
                  <c:v>Regular Gasoline (Essence Ordinaire)</c:v>
                </c:pt>
                <c:pt idx="4">
                  <c:v>Boat Gasoline (Essence Pirogue)</c:v>
                </c:pt>
                <c:pt idx="5">
                  <c:v>Premium Gasoline  (Super Carburant)</c:v>
                </c:pt>
              </c:strCache>
            </c:strRef>
          </c:cat>
          <c:val>
            <c:numRef>
              <c:f>'F1'!$Q$33:$Q$38</c:f>
              <c:numCache>
                <c:formatCode>0</c:formatCode>
                <c:ptCount val="6"/>
                <c:pt idx="0">
                  <c:v>25.759454497153101</c:v>
                </c:pt>
                <c:pt idx="1">
                  <c:v>46.872687776634152</c:v>
                </c:pt>
                <c:pt idx="2">
                  <c:v>18.183972810502336</c:v>
                </c:pt>
                <c:pt idx="3">
                  <c:v>23.794853746758996</c:v>
                </c:pt>
                <c:pt idx="4">
                  <c:v>31.031555231605861</c:v>
                </c:pt>
                <c:pt idx="5">
                  <c:v>2.9335471873669536E-5</c:v>
                </c:pt>
              </c:numCache>
            </c:numRef>
          </c:val>
          <c:extLst>
            <c:ext xmlns:c16="http://schemas.microsoft.com/office/drawing/2014/chart" uri="{C3380CC4-5D6E-409C-BE32-E72D297353CC}">
              <c16:uniqueId val="{00000001-1C41-4B22-9E01-78B5301D4781}"/>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ax val="60"/>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of retail market price)</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layout>
        <c:manualLayout>
          <c:xMode val="edge"/>
          <c:yMode val="edge"/>
          <c:x val="0.33665535409948438"/>
          <c:y val="0.92656953166066147"/>
          <c:w val="0.39904879090843753"/>
          <c:h val="6.7135551073879376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462255922767701"/>
          <c:y val="5.2532542349426767E-2"/>
          <c:w val="0.72833811331439424"/>
          <c:h val="0.61987497480543774"/>
        </c:manualLayout>
      </c:layout>
      <c:barChart>
        <c:barDir val="col"/>
        <c:grouping val="clustered"/>
        <c:varyColors val="0"/>
        <c:ser>
          <c:idx val="0"/>
          <c:order val="0"/>
          <c:tx>
            <c:strRef>
              <c:f>'F1'!$H$3</c:f>
              <c:strCache>
                <c:ptCount val="1"/>
                <c:pt idx="0">
                  <c:v>Tariffs</c:v>
                </c:pt>
              </c:strCache>
            </c:strRef>
          </c:tx>
          <c:spPr>
            <a:solidFill>
              <a:schemeClr val="accent1"/>
            </a:solidFill>
            <a:ln>
              <a:noFill/>
            </a:ln>
            <a:effectLst/>
          </c:spPr>
          <c:invertIfNegative val="0"/>
          <c:dPt>
            <c:idx val="0"/>
            <c:invertIfNegative val="0"/>
            <c:bubble3D val="0"/>
            <c:spPr>
              <a:solidFill>
                <a:srgbClr val="7397FF">
                  <a:alpha val="61917"/>
                </a:srgbClr>
              </a:solidFill>
              <a:ln>
                <a:noFill/>
              </a:ln>
              <a:effectLst/>
            </c:spPr>
            <c:extLst>
              <c:ext xmlns:c16="http://schemas.microsoft.com/office/drawing/2014/chart" uri="{C3380CC4-5D6E-409C-BE32-E72D297353CC}">
                <c16:uniqueId val="{00000001-00BA-482B-9504-B957A9651105}"/>
              </c:ext>
            </c:extLst>
          </c:dPt>
          <c:dPt>
            <c:idx val="1"/>
            <c:invertIfNegative val="0"/>
            <c:bubble3D val="0"/>
            <c:spPr>
              <a:solidFill>
                <a:srgbClr val="7397FF">
                  <a:alpha val="90254"/>
                </a:srgbClr>
              </a:solidFill>
              <a:ln>
                <a:noFill/>
              </a:ln>
              <a:effectLst/>
            </c:spPr>
            <c:extLst>
              <c:ext xmlns:c16="http://schemas.microsoft.com/office/drawing/2014/chart" uri="{C3380CC4-5D6E-409C-BE32-E72D297353CC}">
                <c16:uniqueId val="{00000003-00BA-482B-9504-B957A9651105}"/>
              </c:ext>
            </c:extLst>
          </c:dPt>
          <c:dPt>
            <c:idx val="2"/>
            <c:invertIfNegative val="0"/>
            <c:bubble3D val="0"/>
            <c:spPr>
              <a:solidFill>
                <a:schemeClr val="accent1">
                  <a:alpha val="85459"/>
                </a:schemeClr>
              </a:solidFill>
              <a:ln>
                <a:noFill/>
              </a:ln>
              <a:effectLst/>
            </c:spPr>
            <c:extLst>
              <c:ext xmlns:c16="http://schemas.microsoft.com/office/drawing/2014/chart" uri="{C3380CC4-5D6E-409C-BE32-E72D297353CC}">
                <c16:uniqueId val="{00000005-00BA-482B-9504-B957A9651105}"/>
              </c:ext>
            </c:extLst>
          </c:dPt>
          <c:dPt>
            <c:idx val="3"/>
            <c:invertIfNegative val="0"/>
            <c:bubble3D val="0"/>
            <c:spPr>
              <a:solidFill>
                <a:srgbClr val="7397FF">
                  <a:alpha val="59901"/>
                </a:srgbClr>
              </a:solidFill>
              <a:ln>
                <a:noFill/>
              </a:ln>
              <a:effectLst/>
            </c:spPr>
            <c:extLst>
              <c:ext xmlns:c16="http://schemas.microsoft.com/office/drawing/2014/chart" uri="{C3380CC4-5D6E-409C-BE32-E72D297353CC}">
                <c16:uniqueId val="{00000007-00BA-482B-9504-B957A9651105}"/>
              </c:ext>
            </c:extLst>
          </c:dPt>
          <c:dPt>
            <c:idx val="4"/>
            <c:invertIfNegative val="0"/>
            <c:bubble3D val="0"/>
            <c:spPr>
              <a:solidFill>
                <a:srgbClr val="81A1FF">
                  <a:alpha val="90000"/>
                </a:srgbClr>
              </a:solidFill>
              <a:ln>
                <a:noFill/>
              </a:ln>
              <a:effectLst/>
            </c:spPr>
            <c:extLst>
              <c:ext xmlns:c16="http://schemas.microsoft.com/office/drawing/2014/chart" uri="{C3380CC4-5D6E-409C-BE32-E72D297353CC}">
                <c16:uniqueId val="{00000009-00BA-482B-9504-B957A9651105}"/>
              </c:ext>
            </c:extLst>
          </c:dPt>
          <c:dPt>
            <c:idx val="5"/>
            <c:invertIfNegative val="0"/>
            <c:bubble3D val="0"/>
            <c:spPr>
              <a:solidFill>
                <a:schemeClr val="accent1">
                  <a:alpha val="88919"/>
                </a:schemeClr>
              </a:solidFill>
              <a:ln>
                <a:noFill/>
              </a:ln>
              <a:effectLst/>
            </c:spPr>
            <c:extLst>
              <c:ext xmlns:c16="http://schemas.microsoft.com/office/drawing/2014/chart" uri="{C3380CC4-5D6E-409C-BE32-E72D297353CC}">
                <c16:uniqueId val="{0000000B-00BA-482B-9504-B957A965110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'F1'!$G$4:$H$9</c:f>
              <c:multiLvlStrCache>
                <c:ptCount val="6"/>
                <c:lvl>
                  <c:pt idx="0">
                    <c:v>0 - 150</c:v>
                  </c:pt>
                  <c:pt idx="1">
                    <c:v>150 - 250</c:v>
                  </c:pt>
                  <c:pt idx="2">
                    <c:v>250 + </c:v>
                  </c:pt>
                  <c:pt idx="3">
                    <c:v>0 - 150</c:v>
                  </c:pt>
                  <c:pt idx="4">
                    <c:v>150 - 250</c:v>
                  </c:pt>
                  <c:pt idx="5">
                    <c:v>250 + </c:v>
                  </c:pt>
                </c:lvl>
                <c:lvl>
                  <c:pt idx="0">
                    <c:v>Prepaid monthly blocks</c:v>
                  </c:pt>
                  <c:pt idx="3">
                    <c:v>Postpaid bi-monthly blocks</c:v>
                  </c:pt>
                </c:lvl>
              </c:multiLvlStrCache>
            </c:multiLvlStrRef>
          </c:cat>
          <c:val>
            <c:numRef>
              <c:f>'F1'!$I$4:$I$9</c:f>
              <c:numCache>
                <c:formatCode>0</c:formatCode>
                <c:ptCount val="6"/>
                <c:pt idx="0">
                  <c:v>91.17</c:v>
                </c:pt>
                <c:pt idx="1">
                  <c:v>112.5</c:v>
                </c:pt>
                <c:pt idx="2">
                  <c:v>112.5</c:v>
                </c:pt>
                <c:pt idx="3">
                  <c:v>91.17</c:v>
                </c:pt>
                <c:pt idx="4">
                  <c:v>112.5</c:v>
                </c:pt>
                <c:pt idx="5">
                  <c:v>124.62</c:v>
                </c:pt>
              </c:numCache>
            </c:numRef>
          </c:val>
          <c:extLst>
            <c:ext xmlns:c16="http://schemas.microsoft.com/office/drawing/2014/chart" uri="{C3380CC4-5D6E-409C-BE32-E72D297353CC}">
              <c16:uniqueId val="{0000000C-00BA-482B-9504-B957A9651105}"/>
            </c:ext>
          </c:extLst>
        </c:ser>
        <c:ser>
          <c:idx val="1"/>
          <c:order val="1"/>
          <c:tx>
            <c:strRef>
              <c:f>'F1'!$J$3</c:f>
              <c:strCache>
                <c:ptCount val="1"/>
                <c:pt idx="0">
                  <c:v>VAT rate</c:v>
                </c:pt>
              </c:strCache>
            </c:strRef>
          </c:tx>
          <c:spPr>
            <a:solidFill>
              <a:srgbClr val="C00000"/>
            </a:solidFill>
            <a:ln w="19050">
              <a:noFill/>
              <a:prstDash val="sysDot"/>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'F1'!$J$4:$J$9</c:f>
              <c:numCache>
                <c:formatCode>0</c:formatCode>
                <c:ptCount val="6"/>
                <c:pt idx="2">
                  <c:v>18</c:v>
                </c:pt>
                <c:pt idx="5">
                  <c:v>18</c:v>
                </c:pt>
              </c:numCache>
            </c:numRef>
          </c:val>
          <c:extLst>
            <c:ext xmlns:c16="http://schemas.microsoft.com/office/drawing/2014/chart" uri="{C3380CC4-5D6E-409C-BE32-E72D297353CC}">
              <c16:uniqueId val="{0000000D-00BA-482B-9504-B957A9651105}"/>
            </c:ext>
          </c:extLst>
        </c:ser>
        <c:dLbls>
          <c:showLegendKey val="0"/>
          <c:showVal val="0"/>
          <c:showCatName val="0"/>
          <c:showSerName val="0"/>
          <c:showPercent val="0"/>
          <c:showBubbleSize val="0"/>
        </c:dLbls>
        <c:gapWidth val="100"/>
        <c:axId val="1816940047"/>
        <c:axId val="1816206527"/>
      </c:barChart>
      <c:catAx>
        <c:axId val="1816940047"/>
        <c:scaling>
          <c:orientation val="minMax"/>
        </c:scaling>
        <c:delete val="0"/>
        <c:axPos val="b"/>
        <c:title>
          <c:tx>
            <c:strRef>
              <c:f>'F1'!$B$7</c:f>
              <c:strCache>
                <c:ptCount val="1"/>
                <c:pt idx="0">
                  <c:v>2</c:v>
                </c:pt>
              </c:strCache>
            </c:strRef>
          </c:tx>
          <c:layout>
            <c:manualLayout>
              <c:xMode val="edge"/>
              <c:yMode val="edge"/>
              <c:x val="0.31241334644956847"/>
              <c:y val="0.826558052826501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206527"/>
        <c:crosses val="autoZero"/>
        <c:auto val="1"/>
        <c:lblAlgn val="ctr"/>
        <c:lblOffset val="100"/>
        <c:noMultiLvlLbl val="0"/>
      </c:catAx>
      <c:valAx>
        <c:axId val="1816206527"/>
        <c:scaling>
          <c:orientation val="minMax"/>
        </c:scaling>
        <c:delete val="0"/>
        <c:axPos val="l"/>
        <c:title>
          <c:tx>
            <c:strRef>
              <c:f>'F1'!$B$21</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816940047"/>
        <c:crosses val="autoZero"/>
        <c:crossBetween val="between"/>
        <c:majorUnit val="30"/>
      </c:valAx>
      <c:spPr>
        <a:noFill/>
        <a:ln>
          <a:noFill/>
        </a:ln>
        <a:effectLst/>
      </c:spPr>
    </c:plotArea>
    <c:legend>
      <c:legendPos val="b"/>
      <c:layout>
        <c:manualLayout>
          <c:xMode val="edge"/>
          <c:yMode val="edge"/>
          <c:x val="0.41721951135105206"/>
          <c:y val="0.89844598436282574"/>
          <c:w val="0.26275118315632567"/>
          <c:h val="7.7435623575822149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'F1'!$P$5</c:f>
              <c:strCache>
                <c:ptCount val="1"/>
                <c:pt idx="0">
                  <c:v>Cost</c:v>
                </c:pt>
              </c:strCache>
            </c:strRef>
          </c:tx>
          <c:spPr>
            <a:solidFill>
              <a:srgbClr val="A3E08A">
                <a:alpha val="5100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'F1'!$Q$5:$T$5</c:f>
              <c:numCache>
                <c:formatCode>0</c:formatCode>
                <c:ptCount val="4"/>
                <c:pt idx="0">
                  <c:v>158</c:v>
                </c:pt>
                <c:pt idx="1">
                  <c:v>136.99999999999997</c:v>
                </c:pt>
                <c:pt idx="2">
                  <c:v>124</c:v>
                </c:pt>
                <c:pt idx="3">
                  <c:v>142.39140180447515</c:v>
                </c:pt>
              </c:numCache>
            </c:numRef>
          </c:val>
          <c:extLst>
            <c:ext xmlns:c16="http://schemas.microsoft.com/office/drawing/2014/chart" uri="{C3380CC4-5D6E-409C-BE32-E72D297353CC}">
              <c16:uniqueId val="{00000000-E5B7-43FF-A1B7-EE61672CD32A}"/>
            </c:ext>
          </c:extLst>
        </c:ser>
        <c:ser>
          <c:idx val="1"/>
          <c:order val="1"/>
          <c:tx>
            <c:strRef>
              <c:f>'F1'!$P$6</c:f>
              <c:strCache>
                <c:ptCount val="1"/>
                <c:pt idx="0">
                  <c:v>Tariff</c:v>
                </c:pt>
              </c:strCache>
            </c:strRef>
          </c:tx>
          <c:spPr>
            <a:solidFill>
              <a:srgbClr val="81A1FF">
                <a:alpha val="69182"/>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'F1'!$Q$6:$T$6</c:f>
              <c:numCache>
                <c:formatCode>0</c:formatCode>
                <c:ptCount val="4"/>
                <c:pt idx="0">
                  <c:v>148.99728315331177</c:v>
                </c:pt>
                <c:pt idx="1">
                  <c:v>114.2821636932038</c:v>
                </c:pt>
                <c:pt idx="2">
                  <c:v>85.270977168535367</c:v>
                </c:pt>
                <c:pt idx="3">
                  <c:v>122.0362669208306</c:v>
                </c:pt>
              </c:numCache>
            </c:numRef>
          </c:val>
          <c:extLst>
            <c:ext xmlns:c16="http://schemas.microsoft.com/office/drawing/2014/chart" uri="{C3380CC4-5D6E-409C-BE32-E72D297353CC}">
              <c16:uniqueId val="{00000001-E5B7-43FF-A1B7-EE61672CD32A}"/>
            </c:ext>
          </c:extLst>
        </c:ser>
        <c:dLbls>
          <c:dLblPos val="outEnd"/>
          <c:showLegendKey val="0"/>
          <c:showVal val="1"/>
          <c:showCatName val="0"/>
          <c:showSerName val="0"/>
          <c:showPercent val="0"/>
          <c:showBubbleSize val="0"/>
        </c:dLbls>
        <c:gapWidth val="120"/>
        <c:axId val="501407247"/>
        <c:axId val="499278831"/>
      </c:barChart>
      <c:barChart>
        <c:barDir val="col"/>
        <c:grouping val="clustered"/>
        <c:varyColors val="0"/>
        <c:ser>
          <c:idx val="2"/>
          <c:order val="2"/>
          <c:tx>
            <c:strRef>
              <c:f>'F1'!$P$7</c:f>
              <c:strCache>
                <c:ptCount val="1"/>
                <c:pt idx="0">
                  <c:v>Subsidy rate (right axis)</c:v>
                </c:pt>
              </c:strCache>
            </c:strRef>
          </c:tx>
          <c:spPr>
            <a:solidFill>
              <a:schemeClr val="accent3"/>
            </a:solidFill>
            <a:ln w="25400">
              <a:noFill/>
            </a:ln>
            <a:effectLst/>
          </c:spPr>
          <c:invertIfNegative val="0"/>
          <c:dLbls>
            <c:dLbl>
              <c:idx val="0"/>
              <c:layout>
                <c:manualLayout>
                  <c:x val="-5.4650140171462573E-2"/>
                  <c:y val="4.30082240741640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5B7-43FF-A1B7-EE61672CD32A}"/>
                </c:ext>
              </c:extLst>
            </c:dLbl>
            <c:dLbl>
              <c:idx val="1"/>
              <c:layout>
                <c:manualLayout>
                  <c:x val="-6.093596726674292E-2"/>
                  <c:y val="4.79122405022329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5B7-43FF-A1B7-EE61672CD32A}"/>
                </c:ext>
              </c:extLst>
            </c:dLbl>
            <c:dLbl>
              <c:idx val="2"/>
              <c:layout>
                <c:manualLayout>
                  <c:x val="-5.739473477283976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5B7-43FF-A1B7-EE61672CD32A}"/>
                </c:ext>
              </c:extLst>
            </c:dLbl>
            <c:dLbl>
              <c:idx val="3"/>
              <c:layout>
                <c:manualLayout>
                  <c:x val="-6.093596726674292E-2"/>
                  <c:y val="5.281625693030195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5B7-43FF-A1B7-EE61672CD32A}"/>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'F1'!$Q$3:$T$4</c:f>
              <c:multiLvlStrCache>
                <c:ptCount val="4"/>
                <c:lvl>
                  <c:pt idx="0">
                    <c:v>Low</c:v>
                  </c:pt>
                  <c:pt idx="1">
                    <c:v>Medium</c:v>
                  </c:pt>
                  <c:pt idx="2">
                    <c:v>High</c:v>
                  </c:pt>
                  <c:pt idx="3">
                    <c:v>All</c:v>
                  </c:pt>
                </c:lvl>
                <c:lvl>
                  <c:pt idx="0">
                    <c:v>Tension levels</c:v>
                  </c:pt>
                </c:lvl>
              </c:multiLvlStrCache>
            </c:multiLvlStrRef>
          </c:cat>
          <c:val>
            <c:numRef>
              <c:f>'F1'!$Q$7:$T$7</c:f>
              <c:numCache>
                <c:formatCode>0.0</c:formatCode>
                <c:ptCount val="4"/>
                <c:pt idx="0">
                  <c:v>5.6979220548659688</c:v>
                </c:pt>
                <c:pt idx="1">
                  <c:v>16.582362267734435</c:v>
                </c:pt>
                <c:pt idx="2">
                  <c:v>31.23308292860051</c:v>
                </c:pt>
                <c:pt idx="3">
                  <c:v>14.295199447221695</c:v>
                </c:pt>
              </c:numCache>
            </c:numRef>
          </c:val>
          <c:extLst>
            <c:ext xmlns:c16="http://schemas.microsoft.com/office/drawing/2014/chart" uri="{C3380CC4-5D6E-409C-BE32-E72D297353CC}">
              <c16:uniqueId val="{00000006-E5B7-43FF-A1B7-EE61672CD32A}"/>
            </c:ext>
          </c:extLst>
        </c:ser>
        <c:dLbls>
          <c:showLegendKey val="0"/>
          <c:showVal val="1"/>
          <c:showCatName val="0"/>
          <c:showSerName val="0"/>
          <c:showPercent val="0"/>
          <c:showBubbleSize val="0"/>
        </c:dLbls>
        <c:gapWidth val="150"/>
        <c:axId val="795559967"/>
        <c:axId val="795054527"/>
      </c:barChart>
      <c:catAx>
        <c:axId val="501407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499278831"/>
        <c:crosses val="autoZero"/>
        <c:auto val="1"/>
        <c:lblAlgn val="ctr"/>
        <c:lblOffset val="100"/>
        <c:noMultiLvlLbl val="0"/>
      </c:catAx>
      <c:valAx>
        <c:axId val="499278831"/>
        <c:scaling>
          <c:orientation val="minMax"/>
        </c:scaling>
        <c:delete val="0"/>
        <c:axPos val="l"/>
        <c:title>
          <c:tx>
            <c:strRef>
              <c:f>'F1'!$B$18</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01407247"/>
        <c:crosses val="autoZero"/>
        <c:crossBetween val="between"/>
        <c:majorUnit val="30"/>
      </c:valAx>
      <c:valAx>
        <c:axId val="795054527"/>
        <c:scaling>
          <c:orientation val="minMax"/>
          <c:max val="100"/>
        </c:scaling>
        <c:delete val="0"/>
        <c:axPos val="r"/>
        <c:title>
          <c:tx>
            <c:strRef>
              <c:f>'F1'!$B$17</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795559967"/>
        <c:crosses val="max"/>
        <c:crossBetween val="between"/>
        <c:majorUnit val="20"/>
      </c:valAx>
      <c:catAx>
        <c:axId val="795559967"/>
        <c:scaling>
          <c:orientation val="minMax"/>
        </c:scaling>
        <c:delete val="1"/>
        <c:axPos val="b"/>
        <c:numFmt formatCode="General" sourceLinked="1"/>
        <c:majorTickMark val="out"/>
        <c:minorTickMark val="none"/>
        <c:tickLblPos val="nextTo"/>
        <c:crossAx val="795054527"/>
        <c:crosses val="autoZero"/>
        <c:auto val="1"/>
        <c:lblAlgn val="ctr"/>
        <c:lblOffset val="100"/>
        <c:noMultiLvlLbl val="1"/>
      </c:cat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'F1'!$I$32</c:f>
              <c:strCache>
                <c:ptCount val="1"/>
                <c:pt idx="0">
                  <c:v>Baseline</c:v>
                </c:pt>
              </c:strCache>
            </c:strRef>
          </c:tx>
          <c:spPr>
            <a:solidFill>
              <a:srgbClr val="E9A670">
                <a:alpha val="64820"/>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'F1'!$I$33:$I$39</c:f>
              <c:numCache>
                <c:formatCode>0</c:formatCode>
                <c:ptCount val="7"/>
                <c:pt idx="0">
                  <c:v>42.44318181818182</c:v>
                </c:pt>
                <c:pt idx="1">
                  <c:v>28.977272727272734</c:v>
                </c:pt>
                <c:pt idx="2">
                  <c:v>28.977272727272734</c:v>
                </c:pt>
                <c:pt idx="3">
                  <c:v>42.44318181818182</c:v>
                </c:pt>
                <c:pt idx="4">
                  <c:v>28.977272727272734</c:v>
                </c:pt>
                <c:pt idx="5">
                  <c:v>21.325757575757574</c:v>
                </c:pt>
                <c:pt idx="6">
                  <c:v>14.295199447221693</c:v>
                </c:pt>
              </c:numCache>
            </c:numRef>
          </c:val>
          <c:extLst>
            <c:ext xmlns:c16="http://schemas.microsoft.com/office/drawing/2014/chart" uri="{C3380CC4-5D6E-409C-BE32-E72D297353CC}">
              <c16:uniqueId val="{00000000-0AFB-451B-A92A-06BB8E4FFC2B}"/>
            </c:ext>
          </c:extLst>
        </c:ser>
        <c:ser>
          <c:idx val="1"/>
          <c:order val="1"/>
          <c:tx>
            <c:strRef>
              <c:f>'F1'!$J$32</c:f>
              <c:strCache>
                <c:ptCount val="1"/>
                <c:pt idx="0">
                  <c:v>Reform</c:v>
                </c:pt>
              </c:strCache>
            </c:strRef>
          </c:tx>
          <c:spPr>
            <a:solidFill>
              <a:schemeClr val="accent1">
                <a:lumMod val="60000"/>
                <a:lumOff val="40000"/>
                <a:alpha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'F1'!$G$33:$H$39</c:f>
              <c:multiLvlStrCache>
                <c:ptCount val="7"/>
                <c:lvl>
                  <c:pt idx="0">
                    <c:v>0 - 150</c:v>
                  </c:pt>
                  <c:pt idx="1">
                    <c:v>150 - 250</c:v>
                  </c:pt>
                  <c:pt idx="2">
                    <c:v>250 + </c:v>
                  </c:pt>
                  <c:pt idx="3">
                    <c:v>0 - 150</c:v>
                  </c:pt>
                  <c:pt idx="4">
                    <c:v>150 - 250</c:v>
                  </c:pt>
                  <c:pt idx="5">
                    <c:v>250 + </c:v>
                  </c:pt>
                </c:lvl>
                <c:lvl>
                  <c:pt idx="0">
                    <c:v>Prepaid monthly blocks</c:v>
                  </c:pt>
                  <c:pt idx="3">
                    <c:v>Postpaid bi-monthly blocks</c:v>
                  </c:pt>
                  <c:pt idx="6">
                    <c:v>Non residential</c:v>
                  </c:pt>
                </c:lvl>
              </c:multiLvlStrCache>
            </c:multiLvlStrRef>
          </c:cat>
          <c:val>
            <c:numRef>
              <c:f>'F1'!$J$33:$J$39</c:f>
              <c:numCache>
                <c:formatCode>0</c:formatCode>
                <c:ptCount val="7"/>
                <c:pt idx="0">
                  <c:v>42.44318181818182</c:v>
                </c:pt>
                <c:pt idx="1">
                  <c:v>13.832070707070704</c:v>
                </c:pt>
                <c:pt idx="2">
                  <c:v>5.896464646464648</c:v>
                </c:pt>
                <c:pt idx="3">
                  <c:v>42.44318181818182</c:v>
                </c:pt>
                <c:pt idx="4">
                  <c:v>13.832070707070704</c:v>
                </c:pt>
                <c:pt idx="5">
                  <c:v>-0.60606060606061107</c:v>
                </c:pt>
                <c:pt idx="6">
                  <c:v>-7.4030307748696096</c:v>
                </c:pt>
              </c:numCache>
            </c:numRef>
          </c:val>
          <c:extLst>
            <c:ext xmlns:c16="http://schemas.microsoft.com/office/drawing/2014/chart" uri="{C3380CC4-5D6E-409C-BE32-E72D297353CC}">
              <c16:uniqueId val="{00000001-0AFB-451B-A92A-06BB8E4FFC2B}"/>
            </c:ext>
          </c:extLst>
        </c:ser>
        <c:dLbls>
          <c:dLblPos val="outEnd"/>
          <c:showLegendKey val="0"/>
          <c:showVal val="1"/>
          <c:showCatName val="0"/>
          <c:showSerName val="0"/>
          <c:showPercent val="0"/>
          <c:showBubbleSize val="0"/>
        </c:dLbls>
        <c:gapWidth val="137"/>
        <c:overlap val="-27"/>
        <c:axId val="577428976"/>
        <c:axId val="577430704"/>
      </c:barChart>
      <c:catAx>
        <c:axId val="577428976"/>
        <c:scaling>
          <c:orientation val="minMax"/>
        </c:scaling>
        <c:delete val="0"/>
        <c:axPos val="b"/>
        <c:title>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30704"/>
        <c:crosses val="autoZero"/>
        <c:auto val="1"/>
        <c:lblAlgn val="ctr"/>
        <c:lblOffset val="100"/>
        <c:noMultiLvlLbl val="0"/>
      </c:catAx>
      <c:valAx>
        <c:axId val="577430704"/>
        <c:scaling>
          <c:orientation val="minMax"/>
          <c:min val="-2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a:t>
                </a:r>
                <a:r>
                  <a:rPr lang="en-US" baseline="0"/>
                  <a:t> (% of electricity cost)</a:t>
                </a:r>
                <a:endParaRPr lang="en-US"/>
              </a:p>
            </c:rich>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577428976"/>
        <c:crosses val="autoZero"/>
        <c:crossBetween val="between"/>
        <c:majorUnit val="2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1"/>
          <c:order val="0"/>
          <c:tx>
            <c:strRef>
              <c:f>'F1'!$I$63</c:f>
              <c:strCache>
                <c:ptCount val="1"/>
                <c:pt idx="0">
                  <c:v>Prepaid</c:v>
                </c:pt>
              </c:strCache>
            </c:strRef>
          </c:tx>
          <c:spPr>
            <a:ln w="19050" cap="rnd">
              <a:solidFill>
                <a:srgbClr val="00B8A4"/>
              </a:solidFill>
              <a:round/>
              <a:tailEnd type="none"/>
            </a:ln>
            <a:effectLst/>
          </c:spPr>
          <c:marker>
            <c:symbol val="none"/>
          </c:marker>
          <c:dPt>
            <c:idx val="14"/>
            <c:marker>
              <c:symbol val="none"/>
            </c:marker>
            <c:bubble3D val="0"/>
            <c:spPr>
              <a:ln w="19050" cap="rnd">
                <a:solidFill>
                  <a:srgbClr val="00B8A4"/>
                </a:solidFill>
                <a:round/>
                <a:tailEnd type="triangle"/>
              </a:ln>
              <a:effectLst/>
            </c:spPr>
            <c:extLst>
              <c:ext xmlns:c16="http://schemas.microsoft.com/office/drawing/2014/chart" uri="{C3380CC4-5D6E-409C-BE32-E72D297353CC}">
                <c16:uniqueId val="{00000001-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'F1'!$I$64:$I$79</c:f>
              <c:numCache>
                <c:formatCode>General</c:formatCode>
                <c:ptCount val="16"/>
                <c:pt idx="0">
                  <c:v>42.44318181818182</c:v>
                </c:pt>
                <c:pt idx="1">
                  <c:v>42.44318181818182</c:v>
                </c:pt>
                <c:pt idx="2">
                  <c:v>42.44318181818182</c:v>
                </c:pt>
                <c:pt idx="3">
                  <c:v>42.44318181818182</c:v>
                </c:pt>
                <c:pt idx="4">
                  <c:v>42.44318181818182</c:v>
                </c:pt>
                <c:pt idx="5">
                  <c:v>42.44318181818182</c:v>
                </c:pt>
                <c:pt idx="6">
                  <c:v>42.44318181818182</c:v>
                </c:pt>
                <c:pt idx="7">
                  <c:v>42.44318181818182</c:v>
                </c:pt>
                <c:pt idx="8">
                  <c:v>28.977272727272734</c:v>
                </c:pt>
                <c:pt idx="9">
                  <c:v>28.977272727272734</c:v>
                </c:pt>
                <c:pt idx="10">
                  <c:v>28.977272727272734</c:v>
                </c:pt>
                <c:pt idx="11">
                  <c:v>28.977272727272734</c:v>
                </c:pt>
                <c:pt idx="12">
                  <c:v>28.977272727272734</c:v>
                </c:pt>
                <c:pt idx="13">
                  <c:v>28.977272727272734</c:v>
                </c:pt>
                <c:pt idx="14">
                  <c:v>28.977272727272734</c:v>
                </c:pt>
                <c:pt idx="15">
                  <c:v>28.977272727272734</c:v>
                </c:pt>
              </c:numCache>
            </c:numRef>
          </c:yVal>
          <c:smooth val="0"/>
          <c:extLst>
            <c:ext xmlns:c16="http://schemas.microsoft.com/office/drawing/2014/chart" uri="{C3380CC4-5D6E-409C-BE32-E72D297353CC}">
              <c16:uniqueId val="{00000002-BD5F-4A38-98A2-63A34EB97D73}"/>
            </c:ext>
          </c:extLst>
        </c:ser>
        <c:ser>
          <c:idx val="2"/>
          <c:order val="1"/>
          <c:tx>
            <c:strRef>
              <c:f>'F1'!$H$63</c:f>
              <c:strCache>
                <c:ptCount val="1"/>
                <c:pt idx="0">
                  <c:v>Postpaid</c:v>
                </c:pt>
              </c:strCache>
            </c:strRef>
          </c:tx>
          <c:spPr>
            <a:ln w="12700" cap="rnd">
              <a:solidFill>
                <a:srgbClr val="6B5EAA"/>
              </a:solidFill>
              <a:prstDash val="sysDash"/>
              <a:round/>
              <a:tailEnd type="none"/>
            </a:ln>
            <a:effectLst/>
          </c:spPr>
          <c:marker>
            <c:symbol val="none"/>
          </c:marker>
          <c:dPt>
            <c:idx val="14"/>
            <c:marker>
              <c:symbol val="none"/>
            </c:marker>
            <c:bubble3D val="0"/>
            <c:spPr>
              <a:ln w="12700" cap="rnd">
                <a:solidFill>
                  <a:srgbClr val="6B5EAA"/>
                </a:solidFill>
                <a:prstDash val="sysDash"/>
                <a:round/>
                <a:tailEnd type="triangle"/>
              </a:ln>
              <a:effectLst/>
            </c:spPr>
            <c:extLst>
              <c:ext xmlns:c16="http://schemas.microsoft.com/office/drawing/2014/chart" uri="{C3380CC4-5D6E-409C-BE32-E72D297353CC}">
                <c16:uniqueId val="{00000004-BD5F-4A38-98A2-63A34EB97D73}"/>
              </c:ext>
            </c:extLst>
          </c:dPt>
          <c:xVal>
            <c:numRef>
              <c:f>'F1'!$G$64:$G$79</c:f>
              <c:numCache>
                <c:formatCode>General</c:formatCode>
                <c:ptCount val="16"/>
                <c:pt idx="0">
                  <c:v>0</c:v>
                </c:pt>
                <c:pt idx="1">
                  <c:v>100</c:v>
                </c:pt>
                <c:pt idx="2">
                  <c:v>150</c:v>
                </c:pt>
                <c:pt idx="3">
                  <c:v>150</c:v>
                </c:pt>
                <c:pt idx="4">
                  <c:v>200</c:v>
                </c:pt>
                <c:pt idx="5">
                  <c:v>250</c:v>
                </c:pt>
                <c:pt idx="6">
                  <c:v>250</c:v>
                </c:pt>
                <c:pt idx="7">
                  <c:v>300</c:v>
                </c:pt>
                <c:pt idx="8">
                  <c:v>300</c:v>
                </c:pt>
                <c:pt idx="9">
                  <c:v>350</c:v>
                </c:pt>
                <c:pt idx="10">
                  <c:v>400</c:v>
                </c:pt>
                <c:pt idx="11">
                  <c:v>450</c:v>
                </c:pt>
                <c:pt idx="12">
                  <c:v>500</c:v>
                </c:pt>
                <c:pt idx="13">
                  <c:v>500</c:v>
                </c:pt>
                <c:pt idx="14">
                  <c:v>550</c:v>
                </c:pt>
                <c:pt idx="15">
                  <c:v>600</c:v>
                </c:pt>
              </c:numCache>
            </c:numRef>
          </c:xVal>
          <c:yVal>
            <c:numRef>
              <c:f>'F1'!$H$64:$H$79</c:f>
              <c:numCache>
                <c:formatCode>General</c:formatCode>
                <c:ptCount val="16"/>
                <c:pt idx="0">
                  <c:v>42.44318181818182</c:v>
                </c:pt>
                <c:pt idx="1">
                  <c:v>42.44318181818182</c:v>
                </c:pt>
                <c:pt idx="2">
                  <c:v>42.44318181818182</c:v>
                </c:pt>
                <c:pt idx="3">
                  <c:v>28.977272727272734</c:v>
                </c:pt>
                <c:pt idx="4">
                  <c:v>28.977272727272734</c:v>
                </c:pt>
                <c:pt idx="5">
                  <c:v>28.977272727272734</c:v>
                </c:pt>
                <c:pt idx="6">
                  <c:v>21.325757575757574</c:v>
                </c:pt>
                <c:pt idx="7">
                  <c:v>21.325757575757574</c:v>
                </c:pt>
                <c:pt idx="8">
                  <c:v>21.325757575757574</c:v>
                </c:pt>
                <c:pt idx="9">
                  <c:v>21.325757575757574</c:v>
                </c:pt>
                <c:pt idx="10">
                  <c:v>21.325757575757574</c:v>
                </c:pt>
                <c:pt idx="11">
                  <c:v>21.325757575757574</c:v>
                </c:pt>
                <c:pt idx="12">
                  <c:v>21.325757575757574</c:v>
                </c:pt>
                <c:pt idx="13">
                  <c:v>21.325757575757574</c:v>
                </c:pt>
                <c:pt idx="14">
                  <c:v>21.325757575757574</c:v>
                </c:pt>
                <c:pt idx="15">
                  <c:v>21.325757575757574</c:v>
                </c:pt>
              </c:numCache>
            </c:numRef>
          </c:yVal>
          <c:smooth val="0"/>
          <c:extLst>
            <c:ext xmlns:c16="http://schemas.microsoft.com/office/drawing/2014/chart" uri="{C3380CC4-5D6E-409C-BE32-E72D297353CC}">
              <c16:uniqueId val="{00000005-BD5F-4A38-98A2-63A34EB97D73}"/>
            </c:ext>
          </c:extLst>
        </c:ser>
        <c:dLbls>
          <c:showLegendKey val="0"/>
          <c:showVal val="0"/>
          <c:showCatName val="0"/>
          <c:showSerName val="0"/>
          <c:showPercent val="0"/>
          <c:showBubbleSize val="0"/>
        </c:dLbls>
        <c:axId val="1303583360"/>
        <c:axId val="1147784448"/>
      </c:scatterChart>
      <c:valAx>
        <c:axId val="1303583360"/>
        <c:scaling>
          <c:orientation val="minMax"/>
          <c:max val="550"/>
          <c:min val="0"/>
        </c:scaling>
        <c:delete val="0"/>
        <c:axPos val="b"/>
        <c:title>
          <c:tx>
            <c:strRef>
              <c:f>'F1'!$B$20</c:f>
              <c:strCache>
                <c:ptCount val="1"/>
                <c:pt idx="0">
                  <c:v>0</c:v>
                </c:pt>
              </c:strCache>
            </c:strRef>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147784448"/>
        <c:crosses val="autoZero"/>
        <c:crossBetween val="midCat"/>
        <c:majorUnit val="50"/>
      </c:valAx>
      <c:valAx>
        <c:axId val="1147784448"/>
        <c:scaling>
          <c:orientation val="minMax"/>
        </c:scaling>
        <c:delete val="0"/>
        <c:axPos val="l"/>
        <c:majorGridlines>
          <c:spPr>
            <a:ln w="9525" cap="flat" cmpd="sng" algn="ctr">
              <a:solidFill>
                <a:schemeClr val="tx1">
                  <a:lumMod val="15000"/>
                  <a:lumOff val="85000"/>
                </a:schemeClr>
              </a:solidFill>
              <a:round/>
            </a:ln>
            <a:effectLst/>
          </c:spPr>
        </c:majorGridlines>
        <c:title>
          <c:tx>
            <c:strRef>
              <c:f>'F1'!$B$19</c:f>
              <c:strCache>
                <c:ptCount val="1"/>
                <c:pt idx="0">
                  <c:v>0</c:v>
                </c:pt>
              </c:strCache>
            </c:strRef>
          </c:tx>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303583360"/>
        <c:crosses val="autoZero"/>
        <c:crossBetween val="midCat"/>
        <c:majorUnit val="10"/>
      </c:valAx>
      <c:spPr>
        <a:noFill/>
        <a:ln>
          <a:noFill/>
        </a:ln>
        <a:effectLst/>
      </c:spPr>
    </c:plotArea>
    <c:legend>
      <c:legendPos val="b"/>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strRef>
              <c:f>'F1'!$Z$2</c:f>
              <c:strCache>
                <c:ptCount val="1"/>
                <c:pt idx="0">
                  <c:v>Level of Subsidy</c:v>
                </c:pt>
              </c:strCache>
            </c:strRef>
          </c:tx>
          <c:spPr>
            <a:solidFill>
              <a:srgbClr val="B1F2B5">
                <a:alpha val="73000"/>
              </a:srgbClr>
            </a:solidFill>
            <a:ln>
              <a:noFill/>
            </a:ln>
            <a:effectLst/>
          </c:spPr>
          <c:invertIfNegative val="0"/>
          <c:dPt>
            <c:idx val="0"/>
            <c:invertIfNegative val="0"/>
            <c:bubble3D val="0"/>
            <c:spPr>
              <a:solidFill>
                <a:srgbClr val="007600">
                  <a:alpha val="41569"/>
                </a:srgbClr>
              </a:solidFill>
              <a:ln>
                <a:noFill/>
              </a:ln>
              <a:effectLst/>
            </c:spPr>
            <c:extLst>
              <c:ext xmlns:c16="http://schemas.microsoft.com/office/drawing/2014/chart" uri="{C3380CC4-5D6E-409C-BE32-E72D297353CC}">
                <c16:uniqueId val="{00000001-CF38-4D01-9F68-73BFF9951EF6}"/>
              </c:ext>
            </c:extLst>
          </c:dPt>
          <c:dPt>
            <c:idx val="1"/>
            <c:invertIfNegative val="0"/>
            <c:bubble3D val="0"/>
            <c:spPr>
              <a:solidFill>
                <a:schemeClr val="accent5">
                  <a:lumMod val="60000"/>
                  <a:lumOff val="40000"/>
                  <a:alpha val="32762"/>
                </a:schemeClr>
              </a:solidFill>
              <a:ln>
                <a:noFill/>
              </a:ln>
              <a:effectLst/>
            </c:spPr>
            <c:extLst>
              <c:ext xmlns:c16="http://schemas.microsoft.com/office/drawing/2014/chart" uri="{C3380CC4-5D6E-409C-BE32-E72D297353CC}">
                <c16:uniqueId val="{00000003-CF38-4D01-9F68-73BFF9951EF6}"/>
              </c:ext>
            </c:extLst>
          </c:dPt>
          <c:dPt>
            <c:idx val="2"/>
            <c:invertIfNegative val="0"/>
            <c:bubble3D val="0"/>
            <c:spPr>
              <a:solidFill>
                <a:srgbClr val="C39BE1"/>
              </a:solidFill>
              <a:ln>
                <a:noFill/>
              </a:ln>
              <a:effectLst/>
            </c:spPr>
            <c:extLst>
              <c:ext xmlns:c16="http://schemas.microsoft.com/office/drawing/2014/chart" uri="{C3380CC4-5D6E-409C-BE32-E72D297353CC}">
                <c16:uniqueId val="{00000005-CF38-4D01-9F68-73BFF9951EF6}"/>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7-CF38-4D01-9F68-73BFF9951EF6}"/>
              </c:ext>
            </c:extLst>
          </c:dPt>
          <c:dPt>
            <c:idx val="4"/>
            <c:invertIfNegative val="0"/>
            <c:bubble3D val="0"/>
            <c:spPr>
              <a:solidFill>
                <a:srgbClr val="C7F7CA">
                  <a:alpha val="38000"/>
                </a:srgbClr>
              </a:solidFill>
              <a:ln>
                <a:noFill/>
              </a:ln>
              <a:effectLst/>
            </c:spPr>
            <c:extLst>
              <c:ext xmlns:c16="http://schemas.microsoft.com/office/drawing/2014/chart" uri="{C3380CC4-5D6E-409C-BE32-E72D297353CC}">
                <c16:uniqueId val="{00000009-CF38-4D01-9F68-73BFF9951EF6}"/>
              </c:ext>
            </c:extLst>
          </c:dPt>
          <c:dPt>
            <c:idx val="5"/>
            <c:invertIfNegative val="0"/>
            <c:bubble3D val="0"/>
            <c:spPr>
              <a:solidFill>
                <a:srgbClr val="8D42C6"/>
              </a:solidFill>
              <a:ln>
                <a:noFill/>
              </a:ln>
              <a:effectLst/>
            </c:spPr>
            <c:extLst>
              <c:ext xmlns:c16="http://schemas.microsoft.com/office/drawing/2014/chart" uri="{C3380CC4-5D6E-409C-BE32-E72D297353CC}">
                <c16:uniqueId val="{0000000B-CF38-4D01-9F68-73BFF9951EF6}"/>
              </c:ext>
            </c:extLst>
          </c:dPt>
          <c:dLbls>
            <c:spPr>
              <a:noFill/>
              <a:ln>
                <a:noFill/>
              </a:ln>
              <a:effectLst/>
            </c:spPr>
            <c:txPr>
              <a:bodyPr rot="0" spcFirstLastPara="1" vertOverflow="ellipsis" vert="horz" wrap="square" anchor="ctr" anchorCtr="1"/>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'F1'!$Y$3:$Y$8</c:f>
              <c:strCache>
                <c:ptCount val="6"/>
                <c:pt idx="0">
                  <c:v>Premium Gasoline  (Super Carburant)</c:v>
                </c:pt>
                <c:pt idx="1">
                  <c:v>Regular Gasoline (Essence Ordinaire)</c:v>
                </c:pt>
                <c:pt idx="2">
                  <c:v>LPG (Butane)</c:v>
                </c:pt>
                <c:pt idx="3">
                  <c:v>Diesel (Gasoil)</c:v>
                </c:pt>
                <c:pt idx="4">
                  <c:v>Boat Gasoline (Essence Pirogue)</c:v>
                </c:pt>
                <c:pt idx="5">
                  <c:v>Kerosene (Pétrole Lampant)</c:v>
                </c:pt>
              </c:strCache>
            </c:strRef>
          </c:cat>
          <c:val>
            <c:numRef>
              <c:f>'F1'!$Z$3:$Z$8</c:f>
              <c:numCache>
                <c:formatCode>0</c:formatCode>
                <c:ptCount val="6"/>
                <c:pt idx="0">
                  <c:v>10.10104555400574</c:v>
                </c:pt>
                <c:pt idx="1">
                  <c:v>23.794853746758996</c:v>
                </c:pt>
                <c:pt idx="2">
                  <c:v>25.759454497153101</c:v>
                </c:pt>
                <c:pt idx="3">
                  <c:v>29.020491337609815</c:v>
                </c:pt>
                <c:pt idx="4">
                  <c:v>31.031555231605861</c:v>
                </c:pt>
                <c:pt idx="5">
                  <c:v>46.872687776634152</c:v>
                </c:pt>
              </c:numCache>
            </c:numRef>
          </c:val>
          <c:extLst>
            <c:ext xmlns:c16="http://schemas.microsoft.com/office/drawing/2014/chart" uri="{C3380CC4-5D6E-409C-BE32-E72D297353CC}">
              <c16:uniqueId val="{0000000C-CF38-4D01-9F68-73BFF9951EF6}"/>
            </c:ext>
          </c:extLst>
        </c:ser>
        <c:dLbls>
          <c:dLblPos val="outEnd"/>
          <c:showLegendKey val="0"/>
          <c:showVal val="1"/>
          <c:showCatName val="0"/>
          <c:showSerName val="0"/>
          <c:showPercent val="0"/>
          <c:showBubbleSize val="0"/>
        </c:dLbls>
        <c:gapWidth val="105"/>
        <c:axId val="692946655"/>
        <c:axId val="1011564064"/>
      </c:barChart>
      <c:catAx>
        <c:axId val="6929466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011564064"/>
        <c:crosses val="autoZero"/>
        <c:auto val="1"/>
        <c:lblAlgn val="ctr"/>
        <c:lblOffset val="100"/>
        <c:noMultiLvlLbl val="0"/>
      </c:catAx>
      <c:valAx>
        <c:axId val="1011564064"/>
        <c:scaling>
          <c:orientation val="minMax"/>
        </c:scaling>
        <c:delete val="0"/>
        <c:axPos val="b"/>
        <c:majorGridlines>
          <c:spPr>
            <a:ln w="0"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r>
                  <a:rPr lang="en-US"/>
                  <a:t>Subsidy rate (Percentage)</a:t>
                </a:r>
              </a:p>
            </c:rich>
          </c:tx>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692946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pieChart>
        <c:varyColors val="1"/>
        <c:ser>
          <c:idx val="0"/>
          <c:order val="0"/>
          <c:tx>
            <c:strRef>
              <c:f>'F1'!$Z$34</c:f>
              <c:strCache>
                <c:ptCount val="1"/>
                <c:pt idx="0">
                  <c:v>Fuel Products</c:v>
                </c:pt>
              </c:strCache>
            </c:strRef>
          </c:tx>
          <c:dPt>
            <c:idx val="0"/>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01-55F3-47F5-82D9-33F20934FE1E}"/>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F3-47F5-82D9-33F20934FE1E}"/>
              </c:ext>
            </c:extLst>
          </c:dPt>
          <c:dPt>
            <c:idx val="2"/>
            <c:bubble3D val="0"/>
            <c:spPr>
              <a:solidFill>
                <a:srgbClr val="8D42C6"/>
              </a:solidFill>
              <a:ln w="19050">
                <a:solidFill>
                  <a:schemeClr val="lt1"/>
                </a:solidFill>
              </a:ln>
              <a:effectLst/>
            </c:spPr>
            <c:extLst>
              <c:ext xmlns:c16="http://schemas.microsoft.com/office/drawing/2014/chart" uri="{C3380CC4-5D6E-409C-BE32-E72D297353CC}">
                <c16:uniqueId val="{00000005-55F3-47F5-82D9-33F20934FE1E}"/>
              </c:ext>
            </c:extLst>
          </c:dPt>
          <c:dPt>
            <c:idx val="3"/>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7-55F3-47F5-82D9-33F20934FE1E}"/>
              </c:ext>
            </c:extLst>
          </c:dPt>
          <c:dPt>
            <c:idx val="4"/>
            <c:bubble3D val="0"/>
            <c:spPr>
              <a:solidFill>
                <a:srgbClr val="009200"/>
              </a:solidFill>
              <a:ln w="19050">
                <a:solidFill>
                  <a:schemeClr val="lt1"/>
                </a:solidFill>
              </a:ln>
              <a:effectLst/>
            </c:spPr>
            <c:extLst>
              <c:ext xmlns:c16="http://schemas.microsoft.com/office/drawing/2014/chart" uri="{C3380CC4-5D6E-409C-BE32-E72D297353CC}">
                <c16:uniqueId val="{00000009-55F3-47F5-82D9-33F20934FE1E}"/>
              </c:ext>
            </c:extLst>
          </c:dPt>
          <c:dPt>
            <c:idx val="5"/>
            <c:bubble3D val="0"/>
            <c:spPr>
              <a:solidFill>
                <a:srgbClr val="AC75D5"/>
              </a:solidFill>
              <a:ln w="19050">
                <a:solidFill>
                  <a:schemeClr val="lt1"/>
                </a:solidFill>
              </a:ln>
              <a:effectLst/>
            </c:spPr>
            <c:extLst>
              <c:ext xmlns:c16="http://schemas.microsoft.com/office/drawing/2014/chart" uri="{C3380CC4-5D6E-409C-BE32-E72D297353CC}">
                <c16:uniqueId val="{0000000B-55F3-47F5-82D9-33F20934FE1E}"/>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'F1'!$Z$35:$Z$40</c:f>
              <c:strCache>
                <c:ptCount val="6"/>
                <c:pt idx="0">
                  <c:v>Regular</c:v>
                </c:pt>
                <c:pt idx="1">
                  <c:v>Diesel (Gasoil)</c:v>
                </c:pt>
                <c:pt idx="2">
                  <c:v>Kerosene (Petrole Lamp)</c:v>
                </c:pt>
                <c:pt idx="3">
                  <c:v>Boat Gasoline (Essence Pirogue)</c:v>
                </c:pt>
                <c:pt idx="4">
                  <c:v>Premium Gasoline (Super)</c:v>
                </c:pt>
                <c:pt idx="5">
                  <c:v>LPG (Butane)</c:v>
                </c:pt>
              </c:strCache>
            </c:strRef>
          </c:cat>
          <c:val>
            <c:numRef>
              <c:f>'F1'!$AA$35:$AA$40</c:f>
              <c:numCache>
                <c:formatCode>0</c:formatCode>
                <c:ptCount val="6"/>
                <c:pt idx="0">
                  <c:v>3</c:v>
                </c:pt>
                <c:pt idx="1">
                  <c:v>60</c:v>
                </c:pt>
                <c:pt idx="2">
                  <c:v>0.5</c:v>
                </c:pt>
                <c:pt idx="3">
                  <c:v>5</c:v>
                </c:pt>
                <c:pt idx="4">
                  <c:v>15</c:v>
                </c:pt>
                <c:pt idx="5">
                  <c:v>17</c:v>
                </c:pt>
              </c:numCache>
            </c:numRef>
          </c:val>
          <c:extLst>
            <c:ext xmlns:c16="http://schemas.microsoft.com/office/drawing/2014/chart" uri="{C3380CC4-5D6E-409C-BE32-E72D297353CC}">
              <c16:uniqueId val="{0000000C-55F3-47F5-82D9-33F20934FE1E}"/>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3.1603390067184232E-2"/>
          <c:y val="0.7517535635123983"/>
          <c:w val="0.89593088334988724"/>
          <c:h val="0.21532256322291016"/>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'F1'!$T$32</c:f>
              <c:strCache>
                <c:ptCount val="1"/>
                <c:pt idx="0">
                  <c:v>Baseline</c:v>
                </c:pt>
              </c:strCache>
            </c:strRef>
          </c:tx>
          <c:spPr>
            <a:solidFill>
              <a:srgbClr val="F1C7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'F1'!$T$33:$T$36</c:f>
              <c:numCache>
                <c:formatCode>0</c:formatCode>
                <c:ptCount val="4"/>
                <c:pt idx="0">
                  <c:v>41.957356893675062</c:v>
                </c:pt>
                <c:pt idx="1">
                  <c:v>53.276345251792613</c:v>
                </c:pt>
                <c:pt idx="2">
                  <c:v>31.990288677038293</c:v>
                </c:pt>
                <c:pt idx="3">
                  <c:v>37.199142808936806</c:v>
                </c:pt>
              </c:numCache>
            </c:numRef>
          </c:val>
          <c:extLst>
            <c:ext xmlns:c16="http://schemas.microsoft.com/office/drawing/2014/chart" uri="{C3380CC4-5D6E-409C-BE32-E72D297353CC}">
              <c16:uniqueId val="{00000000-1F8A-4FEA-8B63-C2DD0A6CAA26}"/>
            </c:ext>
          </c:extLst>
        </c:ser>
        <c:ser>
          <c:idx val="1"/>
          <c:order val="1"/>
          <c:tx>
            <c:strRef>
              <c:f>'F1'!$U$32</c:f>
              <c:strCache>
                <c:ptCount val="1"/>
                <c:pt idx="0">
                  <c:v>Reform</c:v>
                </c:pt>
              </c:strCache>
            </c:strRef>
          </c:tx>
          <c:spPr>
            <a:solidFill>
              <a:srgbClr val="B6C8E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'F1'!$R$33:$S$36</c:f>
              <c:multiLvlStrCache>
                <c:ptCount val="4"/>
                <c:lvl>
                  <c:pt idx="0">
                    <c:v>LPG</c:v>
                  </c:pt>
                  <c:pt idx="1">
                    <c:v>Kerosene</c:v>
                  </c:pt>
                  <c:pt idx="2">
                    <c:v>Gasoline</c:v>
                  </c:pt>
                </c:lvl>
                <c:lvl>
                  <c:pt idx="0">
                    <c:v>Hoseholds</c:v>
                  </c:pt>
                  <c:pt idx="3">
                    <c:v>Firms</c:v>
                  </c:pt>
                </c:lvl>
              </c:multiLvlStrCache>
            </c:multiLvlStrRef>
          </c:cat>
          <c:val>
            <c:numRef>
              <c:f>'F1'!$U$33:$U$36</c:f>
              <c:numCache>
                <c:formatCode>0</c:formatCode>
                <c:ptCount val="4"/>
                <c:pt idx="0">
                  <c:v>41.965525611708706</c:v>
                </c:pt>
                <c:pt idx="1">
                  <c:v>53.276279154821658</c:v>
                </c:pt>
                <c:pt idx="2">
                  <c:v>27.201449500370583</c:v>
                </c:pt>
                <c:pt idx="3">
                  <c:v>34.00793379466878</c:v>
                </c:pt>
              </c:numCache>
            </c:numRef>
          </c:val>
          <c:extLst>
            <c:ext xmlns:c16="http://schemas.microsoft.com/office/drawing/2014/chart" uri="{C3380CC4-5D6E-409C-BE32-E72D297353CC}">
              <c16:uniqueId val="{00000001-1F8A-4FEA-8B63-C2DD0A6CAA26}"/>
            </c:ext>
          </c:extLst>
        </c:ser>
        <c:dLbls>
          <c:dLblPos val="outEnd"/>
          <c:showLegendKey val="0"/>
          <c:showVal val="1"/>
          <c:showCatName val="0"/>
          <c:showSerName val="0"/>
          <c:showPercent val="0"/>
          <c:showBubbleSize val="0"/>
        </c:dLbls>
        <c:gapWidth val="219"/>
        <c:overlap val="-27"/>
        <c:axId val="1415298751"/>
        <c:axId val="1414618415"/>
      </c:barChart>
      <c:catAx>
        <c:axId val="1415298751"/>
        <c:scaling>
          <c:orientation val="minMax"/>
        </c:scaling>
        <c:delete val="0"/>
        <c:axPos val="b"/>
        <c:title>
          <c:layout>
            <c:manualLayout>
              <c:xMode val="edge"/>
              <c:yMode val="edge"/>
              <c:x val="0.49737313922557408"/>
              <c:y val="0.8174658459774639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4618415"/>
        <c:crosses val="autoZero"/>
        <c:auto val="1"/>
        <c:lblAlgn val="ctr"/>
        <c:lblOffset val="100"/>
        <c:noMultiLvlLbl val="0"/>
      </c:catAx>
      <c:valAx>
        <c:axId val="1414618415"/>
        <c:scaling>
          <c:orientation val="minMax"/>
          <c:max val="100"/>
        </c:scaling>
        <c:delete val="0"/>
        <c:axPos val="l"/>
        <c:majorGridlines>
          <c:spPr>
            <a:ln w="9525" cap="flat" cmpd="sng" algn="ctr">
              <a:solidFill>
                <a:schemeClr val="tx1">
                  <a:lumMod val="15000"/>
                  <a:lumOff val="85000"/>
                </a:schemeClr>
              </a:solidFill>
              <a:round/>
            </a:ln>
            <a:effectLst/>
          </c:spPr>
        </c:majorGridlines>
        <c:title>
          <c:tx>
            <c:strRef>
              <c:f>'F1'!$B$24</c:f>
              <c:strCache>
                <c:ptCount val="1"/>
                <c:pt idx="0">
                  <c:v>0</c:v>
                </c:pt>
              </c:strCache>
            </c:strRef>
          </c:tx>
          <c:layout>
            <c:manualLayout>
              <c:xMode val="edge"/>
              <c:yMode val="edge"/>
              <c:x val="4.5473661733246358E-2"/>
              <c:y val="0.30618003879365235"/>
            </c:manualLayout>
          </c:layout>
          <c:overlay val="0"/>
          <c:spPr>
            <a:noFill/>
            <a:ln>
              <a:noFill/>
            </a:ln>
            <a:effectLst/>
          </c:spPr>
          <c:txPr>
            <a:bodyPr rot="-54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415298751"/>
        <c:crosses val="autoZero"/>
        <c:crossBetween val="between"/>
        <c:majorUnit val="20"/>
      </c:valAx>
      <c:spPr>
        <a:noFill/>
        <a:ln>
          <a:noFill/>
        </a:ln>
        <a:effectLst/>
      </c:spPr>
    </c:plotArea>
    <c:legend>
      <c:legendPos val="b"/>
      <c:layout>
        <c:manualLayout>
          <c:xMode val="edge"/>
          <c:yMode val="edge"/>
          <c:x val="0.42901258679707877"/>
          <c:y val="0.89627548203647911"/>
          <c:w val="0.29886855940567325"/>
          <c:h val="7.204791293123404E-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sz="700"/>
      </a:pPr>
      <a:endParaRPr lang="en-US"/>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rgbClr val="67CFE0">
                <a:alpha val="58223"/>
              </a:srgb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'F1'!$AG$5:$AH$9</c:f>
              <c:multiLvlStrCache>
                <c:ptCount val="5"/>
                <c:lvl>
                  <c:pt idx="0">
                    <c:v> Domestic Small Power (DPP)</c:v>
                  </c:pt>
                  <c:pt idx="1">
                    <c:v> Domestic Medium Power (DMP)</c:v>
                  </c:pt>
                  <c:pt idx="2">
                    <c:v> Domestic Small Power (DPP)</c:v>
                  </c:pt>
                  <c:pt idx="3">
                    <c:v> Domestic Medium Power (DMP)</c:v>
                  </c:pt>
                  <c:pt idx="4">
                    <c:v> Domestic High Power (DGP)</c:v>
                  </c:pt>
                </c:lvl>
                <c:lvl>
                  <c:pt idx="0">
                    <c:v>Postpaid monthly blocks</c:v>
                  </c:pt>
                  <c:pt idx="2">
                    <c:v>Prepaid monthly blocks</c:v>
                  </c:pt>
                </c:lvl>
              </c:multiLvlStrCache>
            </c:multiLvlStrRef>
          </c:cat>
          <c:val>
            <c:numRef>
              <c:f>'F1'!$AI$5:$AI$9</c:f>
              <c:numCache>
                <c:formatCode>0.0</c:formatCode>
                <c:ptCount val="5"/>
                <c:pt idx="0">
                  <c:v>16.400396583391</c:v>
                </c:pt>
                <c:pt idx="1">
                  <c:v>23.158566810061998</c:v>
                </c:pt>
                <c:pt idx="2">
                  <c:v>17.940740740740999</c:v>
                </c:pt>
                <c:pt idx="3">
                  <c:v>24.70140074663</c:v>
                </c:pt>
                <c:pt idx="4">
                  <c:v>25.715459572383999</c:v>
                </c:pt>
              </c:numCache>
            </c:numRef>
          </c:val>
          <c:extLst>
            <c:ext xmlns:c16="http://schemas.microsoft.com/office/drawing/2014/chart" uri="{C3380CC4-5D6E-409C-BE32-E72D297353CC}">
              <c16:uniqueId val="{00000000-22EA-4CB3-8D33-2B15C110A57E}"/>
            </c:ext>
          </c:extLst>
        </c:ser>
        <c:dLbls>
          <c:showLegendKey val="0"/>
          <c:showVal val="0"/>
          <c:showCatName val="0"/>
          <c:showSerName val="0"/>
          <c:showPercent val="0"/>
          <c:showBubbleSize val="0"/>
        </c:dLbls>
        <c:gapWidth val="219"/>
        <c:overlap val="-27"/>
        <c:axId val="551696063"/>
        <c:axId val="642043327"/>
      </c:barChart>
      <c:catAx>
        <c:axId val="551696063"/>
        <c:scaling>
          <c:orientation val="minMax"/>
        </c:scaling>
        <c:delete val="0"/>
        <c:axPos val="b"/>
        <c:title>
          <c:tx>
            <c:strRef>
              <c:f>'F1'!$B$26</c:f>
              <c:strCache>
                <c:ptCount val="1"/>
                <c:pt idx="0">
                  <c:v>0</c:v>
                </c:pt>
              </c:strCache>
            </c:strRef>
          </c:tx>
          <c:layout>
            <c:manualLayout>
              <c:xMode val="edge"/>
              <c:yMode val="edge"/>
              <c:x val="0.22405620590023909"/>
              <c:y val="0.9326660487418970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42043327"/>
        <c:crosses val="autoZero"/>
        <c:auto val="1"/>
        <c:lblAlgn val="ctr"/>
        <c:lblOffset val="100"/>
        <c:noMultiLvlLbl val="0"/>
      </c:catAx>
      <c:valAx>
        <c:axId val="642043327"/>
        <c:scaling>
          <c:orientation val="minMax"/>
          <c:max val="50"/>
          <c:min val="0"/>
        </c:scaling>
        <c:delete val="0"/>
        <c:axPos val="l"/>
        <c:majorGridlines>
          <c:spPr>
            <a:ln w="9525" cap="flat" cmpd="sng" algn="ctr">
              <a:solidFill>
                <a:schemeClr val="tx1">
                  <a:lumMod val="15000"/>
                  <a:lumOff val="85000"/>
                </a:schemeClr>
              </a:solidFill>
              <a:round/>
            </a:ln>
            <a:effectLst/>
          </c:spPr>
        </c:majorGridlines>
        <c:title>
          <c:tx>
            <c:strRef>
              <c:f>'F1'!$B$25</c:f>
              <c:strCache>
                <c:ptCount val="1"/>
                <c:pt idx="0">
                  <c:v>0</c:v>
                </c:pt>
              </c:strCache>
            </c:strRef>
          </c:tx>
          <c:layout>
            <c:manualLayout>
              <c:xMode val="edge"/>
              <c:yMode val="edge"/>
              <c:x val="8.1374316087317843E-3"/>
              <c:y val="0.2953112204384997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1696063"/>
        <c:crosses val="autoZero"/>
        <c:crossBetween val="between"/>
        <c:majorUnit val="20"/>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4"/>
          <c:order val="0"/>
          <c:tx>
            <c:strRef>
              <c:f>'F1'!$Q$87</c:f>
              <c:strCache>
                <c:ptCount val="1"/>
                <c:pt idx="0">
                  <c:v>No electricity spending</c:v>
                </c:pt>
              </c:strCache>
            </c:strRef>
          </c:tx>
          <c:spPr>
            <a:solidFill>
              <a:srgbClr val="92D05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'F1'!$Q$89:$Q$98</c:f>
              <c:numCache>
                <c:formatCode>General</c:formatCode>
                <c:ptCount val="10"/>
                <c:pt idx="0">
                  <c:v>83.2797872343845</c:v>
                </c:pt>
                <c:pt idx="1">
                  <c:v>73.22984669662462</c:v>
                </c:pt>
                <c:pt idx="2">
                  <c:v>64.850416865556653</c:v>
                </c:pt>
                <c:pt idx="3">
                  <c:v>52.039472303249589</c:v>
                </c:pt>
                <c:pt idx="4">
                  <c:v>45.298585386861376</c:v>
                </c:pt>
                <c:pt idx="5">
                  <c:v>34.470275447393917</c:v>
                </c:pt>
                <c:pt idx="6">
                  <c:v>23.961131424789183</c:v>
                </c:pt>
                <c:pt idx="7">
                  <c:v>16.031531967366107</c:v>
                </c:pt>
                <c:pt idx="8">
                  <c:v>10.235454588061966</c:v>
                </c:pt>
                <c:pt idx="9">
                  <c:v>4.7251583244469657</c:v>
                </c:pt>
              </c:numCache>
            </c:numRef>
          </c:val>
          <c:extLst>
            <c:ext xmlns:c16="http://schemas.microsoft.com/office/drawing/2014/chart" uri="{C3380CC4-5D6E-409C-BE32-E72D297353CC}">
              <c16:uniqueId val="{00000004-10B3-4457-9C55-010C9CA288B5}"/>
            </c:ext>
          </c:extLst>
        </c:ser>
        <c:ser>
          <c:idx val="0"/>
          <c:order val="1"/>
          <c:tx>
            <c:strRef>
              <c:f>'F1'!$M$87</c:f>
              <c:strCache>
                <c:ptCount val="1"/>
                <c:pt idx="0">
                  <c:v>Tranche 1</c:v>
                </c:pt>
              </c:strCache>
            </c:strRef>
          </c:tx>
          <c:spPr>
            <a:solidFill>
              <a:srgbClr val="ED7D31">
                <a:alpha val="6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'F1'!$M$89:$M$98</c:f>
              <c:numCache>
                <c:formatCode>General</c:formatCode>
                <c:ptCount val="10"/>
                <c:pt idx="0">
                  <c:v>13.728934268391392</c:v>
                </c:pt>
                <c:pt idx="1">
                  <c:v>19.176608856651235</c:v>
                </c:pt>
                <c:pt idx="2">
                  <c:v>21.922011140181837</c:v>
                </c:pt>
                <c:pt idx="3">
                  <c:v>29.700843164240489</c:v>
                </c:pt>
                <c:pt idx="4">
                  <c:v>32.489648060634337</c:v>
                </c:pt>
                <c:pt idx="5">
                  <c:v>31.616988022640047</c:v>
                </c:pt>
                <c:pt idx="6">
                  <c:v>41.101975808419716</c:v>
                </c:pt>
                <c:pt idx="7">
                  <c:v>32.220071553701061</c:v>
                </c:pt>
                <c:pt idx="8">
                  <c:v>28.261205282655826</c:v>
                </c:pt>
                <c:pt idx="9">
                  <c:v>23.545160522997275</c:v>
                </c:pt>
              </c:numCache>
            </c:numRef>
          </c:val>
          <c:extLst>
            <c:ext xmlns:c16="http://schemas.microsoft.com/office/drawing/2014/chart" uri="{C3380CC4-5D6E-409C-BE32-E72D297353CC}">
              <c16:uniqueId val="{00000000-10B3-4457-9C55-010C9CA288B5}"/>
            </c:ext>
          </c:extLst>
        </c:ser>
        <c:ser>
          <c:idx val="1"/>
          <c:order val="2"/>
          <c:tx>
            <c:strRef>
              <c:f>'F1'!$N$87</c:f>
              <c:strCache>
                <c:ptCount val="1"/>
                <c:pt idx="0">
                  <c:v>Tranche 2</c:v>
                </c:pt>
              </c:strCache>
            </c:strRef>
          </c:tx>
          <c:spPr>
            <a:solidFill>
              <a:srgbClr val="FFC000">
                <a:alpha val="80000"/>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'F1'!$N$89:$N$98</c:f>
              <c:numCache>
                <c:formatCode>General</c:formatCode>
                <c:ptCount val="10"/>
                <c:pt idx="0">
                  <c:v>2.2240698582069114</c:v>
                </c:pt>
                <c:pt idx="1">
                  <c:v>4.6396413129968996</c:v>
                </c:pt>
                <c:pt idx="2">
                  <c:v>8.5772679486939545</c:v>
                </c:pt>
                <c:pt idx="3">
                  <c:v>10.888776919205515</c:v>
                </c:pt>
                <c:pt idx="4">
                  <c:v>16.134674492338739</c:v>
                </c:pt>
                <c:pt idx="5">
                  <c:v>18.86075046122593</c:v>
                </c:pt>
                <c:pt idx="6">
                  <c:v>24.378170706322237</c:v>
                </c:pt>
                <c:pt idx="7">
                  <c:v>29.53288767718178</c:v>
                </c:pt>
                <c:pt idx="8">
                  <c:v>30.937259382732108</c:v>
                </c:pt>
                <c:pt idx="9">
                  <c:v>27.084504829265477</c:v>
                </c:pt>
              </c:numCache>
            </c:numRef>
          </c:val>
          <c:extLst>
            <c:ext xmlns:c16="http://schemas.microsoft.com/office/drawing/2014/chart" uri="{C3380CC4-5D6E-409C-BE32-E72D297353CC}">
              <c16:uniqueId val="{00000001-10B3-4457-9C55-010C9CA288B5}"/>
            </c:ext>
          </c:extLst>
        </c:ser>
        <c:ser>
          <c:idx val="2"/>
          <c:order val="3"/>
          <c:tx>
            <c:strRef>
              <c:f>'F1'!$O$87</c:f>
              <c:strCache>
                <c:ptCount val="1"/>
                <c:pt idx="0">
                  <c:v>Tranche 3</c:v>
                </c:pt>
              </c:strCache>
            </c:strRef>
          </c:tx>
          <c:spPr>
            <a:solidFill>
              <a:srgbClr val="8D42C6">
                <a:alpha val="50196"/>
              </a:srgbClr>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'F1'!$O$89:$O$98</c:f>
              <c:numCache>
                <c:formatCode>General</c:formatCode>
                <c:ptCount val="10"/>
                <c:pt idx="0">
                  <c:v>0.76720863901720193</c:v>
                </c:pt>
                <c:pt idx="1">
                  <c:v>2.9539031337272346</c:v>
                </c:pt>
                <c:pt idx="2">
                  <c:v>4.566171388924162</c:v>
                </c:pt>
                <c:pt idx="3">
                  <c:v>7.3709076133044089</c:v>
                </c:pt>
                <c:pt idx="4">
                  <c:v>6.0006080699687567</c:v>
                </c:pt>
                <c:pt idx="5">
                  <c:v>15.051986068740106</c:v>
                </c:pt>
                <c:pt idx="6">
                  <c:v>10.408302204961089</c:v>
                </c:pt>
                <c:pt idx="7">
                  <c:v>22.169628676084368</c:v>
                </c:pt>
                <c:pt idx="8">
                  <c:v>30.566080746550099</c:v>
                </c:pt>
                <c:pt idx="9">
                  <c:v>44.629075063143311</c:v>
                </c:pt>
              </c:numCache>
            </c:numRef>
          </c:val>
          <c:extLst>
            <c:ext xmlns:c16="http://schemas.microsoft.com/office/drawing/2014/chart" uri="{C3380CC4-5D6E-409C-BE32-E72D297353CC}">
              <c16:uniqueId val="{00000002-10B3-4457-9C55-010C9CA288B5}"/>
            </c:ext>
          </c:extLst>
        </c:ser>
        <c:ser>
          <c:idx val="3"/>
          <c:order val="4"/>
          <c:tx>
            <c:strRef>
              <c:f>'F1'!$P$87</c:f>
              <c:strCache>
                <c:ptCount val="1"/>
                <c:pt idx="0">
                  <c:v>DGP</c:v>
                </c:pt>
              </c:strCache>
            </c:strRef>
          </c:tx>
          <c:spPr>
            <a:solidFill>
              <a:srgbClr val="00B050"/>
            </a:solidFill>
            <a:ln>
              <a:noFill/>
            </a:ln>
            <a:effectLst/>
          </c:spPr>
          <c:invertIfNegative val="0"/>
          <c:cat>
            <c:numRef>
              <c:f>'F1'!$L$89:$L$98</c:f>
              <c:numCache>
                <c:formatCode>General</c:formatCode>
                <c:ptCount val="10"/>
                <c:pt idx="0">
                  <c:v>1</c:v>
                </c:pt>
                <c:pt idx="1">
                  <c:v>2</c:v>
                </c:pt>
                <c:pt idx="2">
                  <c:v>3</c:v>
                </c:pt>
                <c:pt idx="3">
                  <c:v>4</c:v>
                </c:pt>
                <c:pt idx="4">
                  <c:v>5</c:v>
                </c:pt>
                <c:pt idx="5">
                  <c:v>6</c:v>
                </c:pt>
                <c:pt idx="6">
                  <c:v>7</c:v>
                </c:pt>
                <c:pt idx="7">
                  <c:v>8</c:v>
                </c:pt>
                <c:pt idx="8">
                  <c:v>9</c:v>
                </c:pt>
                <c:pt idx="9">
                  <c:v>10</c:v>
                </c:pt>
              </c:numCache>
            </c:numRef>
          </c:cat>
          <c:val>
            <c:numRef>
              <c:f>'F1'!$P$89:$P$98</c:f>
              <c:numCache>
                <c:formatCode>General</c:formatCode>
                <c:ptCount val="10"/>
                <c:pt idx="0">
                  <c:v>0</c:v>
                </c:pt>
                <c:pt idx="1">
                  <c:v>0</c:v>
                </c:pt>
                <c:pt idx="2">
                  <c:v>8.4132656643387468E-2</c:v>
                </c:pt>
                <c:pt idx="3">
                  <c:v>0</c:v>
                </c:pt>
                <c:pt idx="4">
                  <c:v>7.6483990196789864E-2</c:v>
                </c:pt>
                <c:pt idx="5">
                  <c:v>0</c:v>
                </c:pt>
                <c:pt idx="6">
                  <c:v>0.1504198555077739</c:v>
                </c:pt>
                <c:pt idx="7">
                  <c:v>4.5880125666682876E-2</c:v>
                </c:pt>
                <c:pt idx="8">
                  <c:v>0</c:v>
                </c:pt>
                <c:pt idx="9">
                  <c:v>1.6101260146961418E-2</c:v>
                </c:pt>
              </c:numCache>
            </c:numRef>
          </c:val>
          <c:extLst>
            <c:ext xmlns:c16="http://schemas.microsoft.com/office/drawing/2014/chart" uri="{C3380CC4-5D6E-409C-BE32-E72D297353CC}">
              <c16:uniqueId val="{00000003-10B3-4457-9C55-010C9CA288B5}"/>
            </c:ext>
          </c:extLst>
        </c:ser>
        <c:dLbls>
          <c:showLegendKey val="0"/>
          <c:showVal val="0"/>
          <c:showCatName val="0"/>
          <c:showSerName val="0"/>
          <c:showPercent val="0"/>
          <c:showBubbleSize val="0"/>
        </c:dLbls>
        <c:gapWidth val="150"/>
        <c:overlap val="100"/>
        <c:axId val="1591744719"/>
        <c:axId val="1551043183"/>
      </c:barChart>
      <c:catAx>
        <c:axId val="15917447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Deciles</a:t>
                </a:r>
                <a:r>
                  <a:rPr lang="en-US" baseline="0"/>
                  <a:t> of disposable per capita income</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1043183"/>
        <c:crosses val="autoZero"/>
        <c:auto val="1"/>
        <c:lblAlgn val="ctr"/>
        <c:lblOffset val="100"/>
        <c:noMultiLvlLbl val="0"/>
      </c:catAx>
      <c:valAx>
        <c:axId val="15510431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 of households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447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withinLinear" id="19">
  <a:schemeClr val="accent6"/>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6.png"/><Relationship Id="rId18" Type="http://schemas.openxmlformats.org/officeDocument/2006/relationships/chart" Target="../charts/chart13.xml"/><Relationship Id="rId3" Type="http://schemas.openxmlformats.org/officeDocument/2006/relationships/image" Target="../media/image2.png"/><Relationship Id="rId7" Type="http://schemas.openxmlformats.org/officeDocument/2006/relationships/image" Target="../media/image5.png"/><Relationship Id="rId12" Type="http://schemas.openxmlformats.org/officeDocument/2006/relationships/chart" Target="../charts/chart10.xml"/><Relationship Id="rId17" Type="http://schemas.openxmlformats.org/officeDocument/2006/relationships/chart" Target="../charts/chart12.xml"/><Relationship Id="rId2" Type="http://schemas.openxmlformats.org/officeDocument/2006/relationships/chart" Target="../charts/chart4.xml"/><Relationship Id="rId16" Type="http://schemas.openxmlformats.org/officeDocument/2006/relationships/chart" Target="../charts/chart11.xml"/><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8.png"/><Relationship Id="rId10" Type="http://schemas.openxmlformats.org/officeDocument/2006/relationships/chart" Target="../charts/chart8.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12" Type="http://schemas.openxmlformats.org/officeDocument/2006/relationships/chart" Target="../charts/chart24.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3.xml"/><Relationship Id="rId5" Type="http://schemas.openxmlformats.org/officeDocument/2006/relationships/chart" Target="../charts/chart18.xml"/><Relationship Id="rId10" Type="http://schemas.openxmlformats.org/officeDocument/2006/relationships/image" Target="../media/image9.png"/><Relationship Id="rId4" Type="http://schemas.openxmlformats.org/officeDocument/2006/relationships/chart" Target="../charts/chart17.xml"/><Relationship Id="rId9"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8" Type="http://schemas.openxmlformats.org/officeDocument/2006/relationships/chart" Target="../charts/chart27.xml"/><Relationship Id="rId3" Type="http://schemas.openxmlformats.org/officeDocument/2006/relationships/image" Target="../media/image15.png"/><Relationship Id="rId7" Type="http://schemas.openxmlformats.org/officeDocument/2006/relationships/chart" Target="../charts/chart26.xml"/><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chart" Target="../charts/chart30.xml"/><Relationship Id="rId5" Type="http://schemas.openxmlformats.org/officeDocument/2006/relationships/image" Target="../media/image17.png"/><Relationship Id="rId10" Type="http://schemas.openxmlformats.org/officeDocument/2006/relationships/chart" Target="../charts/chart29.xml"/><Relationship Id="rId4" Type="http://schemas.openxmlformats.org/officeDocument/2006/relationships/image" Target="../media/image16.png"/><Relationship Id="rId9"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4"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chart" Target="../charts/chart33.xml"/><Relationship Id="rId2" Type="http://schemas.openxmlformats.org/officeDocument/2006/relationships/chart" Target="../charts/chart32.xml"/><Relationship Id="rId1" Type="http://schemas.openxmlformats.org/officeDocument/2006/relationships/chart" Target="../charts/chart31.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36.xml"/><Relationship Id="rId2" Type="http://schemas.openxmlformats.org/officeDocument/2006/relationships/chart" Target="../charts/chart35.xml"/><Relationship Id="rId1" Type="http://schemas.openxmlformats.org/officeDocument/2006/relationships/chart" Target="../charts/chart3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9.xml"/><Relationship Id="rId1" Type="http://schemas.openxmlformats.org/officeDocument/2006/relationships/chart" Target="../charts/chart3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42.xml"/><Relationship Id="rId2" Type="http://schemas.openxmlformats.org/officeDocument/2006/relationships/chart" Target="../charts/chart41.xml"/><Relationship Id="rId1" Type="http://schemas.openxmlformats.org/officeDocument/2006/relationships/chart" Target="../charts/chart40.xml"/><Relationship Id="rId4" Type="http://schemas.openxmlformats.org/officeDocument/2006/relationships/chart" Target="../charts/chart4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19.xml.rels><?xml version="1.0" encoding="UTF-8" standalone="yes"?>
<Relationships xmlns="http://schemas.openxmlformats.org/package/2006/relationships"><Relationship Id="rId8" Type="http://schemas.openxmlformats.org/officeDocument/2006/relationships/chart" Target="../charts/chart60.xml"/><Relationship Id="rId3" Type="http://schemas.openxmlformats.org/officeDocument/2006/relationships/chart" Target="../charts/chart55.xml"/><Relationship Id="rId7" Type="http://schemas.openxmlformats.org/officeDocument/2006/relationships/chart" Target="../charts/chart59.xml"/><Relationship Id="rId2" Type="http://schemas.openxmlformats.org/officeDocument/2006/relationships/chart" Target="../charts/chart54.xml"/><Relationship Id="rId1" Type="http://schemas.openxmlformats.org/officeDocument/2006/relationships/chart" Target="../charts/chart53.xml"/><Relationship Id="rId6" Type="http://schemas.openxmlformats.org/officeDocument/2006/relationships/chart" Target="../charts/chart58.xml"/><Relationship Id="rId5" Type="http://schemas.openxmlformats.org/officeDocument/2006/relationships/chart" Target="../charts/chart57.xml"/><Relationship Id="rId10" Type="http://schemas.openxmlformats.org/officeDocument/2006/relationships/chart" Target="../charts/chart62.xml"/><Relationship Id="rId4" Type="http://schemas.openxmlformats.org/officeDocument/2006/relationships/chart" Target="../charts/chart56.xml"/><Relationship Id="rId9" Type="http://schemas.openxmlformats.org/officeDocument/2006/relationships/chart" Target="../charts/chart61.xml"/></Relationships>
</file>

<file path=xl/drawings/drawing1.xml><?xml version="1.0" encoding="utf-8"?>
<xdr:wsDr xmlns:xdr="http://schemas.openxmlformats.org/drawingml/2006/spreadsheetDrawing" xmlns:a="http://schemas.openxmlformats.org/drawingml/2006/main">
  <xdr:twoCellAnchor>
    <xdr:from>
      <xdr:col>0</xdr:col>
      <xdr:colOff>323850</xdr:colOff>
      <xdr:row>73</xdr:row>
      <xdr:rowOff>76200</xdr:rowOff>
    </xdr:from>
    <xdr:to>
      <xdr:col>6</xdr:col>
      <xdr:colOff>104775</xdr:colOff>
      <xdr:row>88</xdr:row>
      <xdr:rowOff>100965</xdr:rowOff>
    </xdr:to>
    <xdr:graphicFrame macro="">
      <xdr:nvGraphicFramePr>
        <xdr:cNvPr id="2" name="Gráfico 1">
          <a:extLst>
            <a:ext uri="{FF2B5EF4-FFF2-40B4-BE49-F238E27FC236}">
              <a16:creationId xmlns:a16="http://schemas.microsoft.com/office/drawing/2014/main" id="{0597B7DC-C7A0-E474-B138-F44253FEF3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74</xdr:row>
      <xdr:rowOff>0</xdr:rowOff>
    </xdr:from>
    <xdr:to>
      <xdr:col>12</xdr:col>
      <xdr:colOff>316230</xdr:colOff>
      <xdr:row>89</xdr:row>
      <xdr:rowOff>20955</xdr:rowOff>
    </xdr:to>
    <xdr:graphicFrame macro="">
      <xdr:nvGraphicFramePr>
        <xdr:cNvPr id="3" name="Gráfico 2">
          <a:extLst>
            <a:ext uri="{FF2B5EF4-FFF2-40B4-BE49-F238E27FC236}">
              <a16:creationId xmlns:a16="http://schemas.microsoft.com/office/drawing/2014/main" id="{D562339F-C020-4635-AEAA-1F8785A67D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388620</xdr:colOff>
      <xdr:row>90</xdr:row>
      <xdr:rowOff>7620</xdr:rowOff>
    </xdr:from>
    <xdr:to>
      <xdr:col>12</xdr:col>
      <xdr:colOff>710565</xdr:colOff>
      <xdr:row>105</xdr:row>
      <xdr:rowOff>34290</xdr:rowOff>
    </xdr:to>
    <xdr:graphicFrame macro="">
      <xdr:nvGraphicFramePr>
        <xdr:cNvPr id="4" name="Gráfico 3">
          <a:extLst>
            <a:ext uri="{FF2B5EF4-FFF2-40B4-BE49-F238E27FC236}">
              <a16:creationId xmlns:a16="http://schemas.microsoft.com/office/drawing/2014/main" id="{92F7E63D-E9B9-4DBC-A40D-5E89628BAB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52</xdr:col>
      <xdr:colOff>784449</xdr:colOff>
      <xdr:row>18</xdr:row>
      <xdr:rowOff>114300</xdr:rowOff>
    </xdr:from>
    <xdr:to>
      <xdr:col>60</xdr:col>
      <xdr:colOff>768232</xdr:colOff>
      <xdr:row>40</xdr:row>
      <xdr:rowOff>35472</xdr:rowOff>
    </xdr:to>
    <xdr:pic>
      <xdr:nvPicPr>
        <xdr:cNvPr id="2" name="Imagen 1">
          <a:extLst>
            <a:ext uri="{FF2B5EF4-FFF2-40B4-BE49-F238E27FC236}">
              <a16:creationId xmlns:a16="http://schemas.microsoft.com/office/drawing/2014/main" id="{48F487ED-6FDB-45AB-A821-5300C1030DF0}"/>
            </a:ext>
          </a:extLst>
        </xdr:cNvPr>
        <xdr:cNvPicPr>
          <a:picLocks noChangeAspect="1"/>
        </xdr:cNvPicPr>
      </xdr:nvPicPr>
      <xdr:blipFill>
        <a:blip xmlns:r="http://schemas.openxmlformats.org/officeDocument/2006/relationships" r:embed="rId1"/>
        <a:stretch>
          <a:fillRect/>
        </a:stretch>
      </xdr:blipFill>
      <xdr:spPr>
        <a:xfrm>
          <a:off x="13334589" y="3589020"/>
          <a:ext cx="6618897" cy="3944532"/>
        </a:xfrm>
        <a:prstGeom prst="rect">
          <a:avLst/>
        </a:prstGeom>
      </xdr:spPr>
    </xdr:pic>
    <xdr:clientData/>
  </xdr:twoCellAnchor>
  <xdr:twoCellAnchor>
    <xdr:from>
      <xdr:col>53</xdr:col>
      <xdr:colOff>350520</xdr:colOff>
      <xdr:row>19</xdr:row>
      <xdr:rowOff>22860</xdr:rowOff>
    </xdr:from>
    <xdr:to>
      <xdr:col>60</xdr:col>
      <xdr:colOff>777240</xdr:colOff>
      <xdr:row>40</xdr:row>
      <xdr:rowOff>147869</xdr:rowOff>
    </xdr:to>
    <xdr:graphicFrame macro="">
      <xdr:nvGraphicFramePr>
        <xdr:cNvPr id="3" name="Gráfico 2">
          <a:extLst>
            <a:ext uri="{FF2B5EF4-FFF2-40B4-BE49-F238E27FC236}">
              <a16:creationId xmlns:a16="http://schemas.microsoft.com/office/drawing/2014/main" id="{F5F57359-7965-DC2F-9C65-226B4B051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487295</xdr:colOff>
      <xdr:row>42</xdr:row>
      <xdr:rowOff>21772</xdr:rowOff>
    </xdr:from>
    <xdr:to>
      <xdr:col>57</xdr:col>
      <xdr:colOff>477979</xdr:colOff>
      <xdr:row>60</xdr:row>
      <xdr:rowOff>58432</xdr:rowOff>
    </xdr:to>
    <xdr:pic>
      <xdr:nvPicPr>
        <xdr:cNvPr id="4" name="Imagen 3">
          <a:extLst>
            <a:ext uri="{FF2B5EF4-FFF2-40B4-BE49-F238E27FC236}">
              <a16:creationId xmlns:a16="http://schemas.microsoft.com/office/drawing/2014/main" id="{B194F3EF-341B-0598-3EED-714F7D6BA772}"/>
            </a:ext>
          </a:extLst>
        </xdr:cNvPr>
        <xdr:cNvPicPr>
          <a:picLocks noChangeAspect="1"/>
        </xdr:cNvPicPr>
      </xdr:nvPicPr>
      <xdr:blipFill>
        <a:blip xmlns:r="http://schemas.openxmlformats.org/officeDocument/2006/relationships" r:embed="rId3"/>
        <a:stretch>
          <a:fillRect/>
        </a:stretch>
      </xdr:blipFill>
      <xdr:spPr>
        <a:xfrm>
          <a:off x="12248989" y="7749348"/>
          <a:ext cx="3438286" cy="3260143"/>
        </a:xfrm>
        <a:prstGeom prst="rect">
          <a:avLst/>
        </a:prstGeom>
      </xdr:spPr>
    </xdr:pic>
    <xdr:clientData/>
  </xdr:twoCellAnchor>
  <xdr:twoCellAnchor editAs="oneCell">
    <xdr:from>
      <xdr:col>54</xdr:col>
      <xdr:colOff>141108</xdr:colOff>
      <xdr:row>62</xdr:row>
      <xdr:rowOff>23446</xdr:rowOff>
    </xdr:from>
    <xdr:to>
      <xdr:col>57</xdr:col>
      <xdr:colOff>708224</xdr:colOff>
      <xdr:row>77</xdr:row>
      <xdr:rowOff>171513</xdr:rowOff>
    </xdr:to>
    <xdr:pic>
      <xdr:nvPicPr>
        <xdr:cNvPr id="5" name="Imagen 4">
          <a:extLst>
            <a:ext uri="{FF2B5EF4-FFF2-40B4-BE49-F238E27FC236}">
              <a16:creationId xmlns:a16="http://schemas.microsoft.com/office/drawing/2014/main" id="{BDD76D9E-8BBC-81C1-BC8A-B6595F1D0D20}"/>
            </a:ext>
          </a:extLst>
        </xdr:cNvPr>
        <xdr:cNvPicPr>
          <a:picLocks noChangeAspect="1"/>
        </xdr:cNvPicPr>
      </xdr:nvPicPr>
      <xdr:blipFill>
        <a:blip xmlns:r="http://schemas.openxmlformats.org/officeDocument/2006/relationships" r:embed="rId4"/>
        <a:stretch>
          <a:fillRect/>
        </a:stretch>
      </xdr:blipFill>
      <xdr:spPr>
        <a:xfrm>
          <a:off x="12690662" y="11476892"/>
          <a:ext cx="3245546" cy="2860350"/>
        </a:xfrm>
        <a:prstGeom prst="rect">
          <a:avLst/>
        </a:prstGeom>
      </xdr:spPr>
    </xdr:pic>
    <xdr:clientData/>
  </xdr:twoCellAnchor>
  <xdr:twoCellAnchor editAs="oneCell">
    <xdr:from>
      <xdr:col>59</xdr:col>
      <xdr:colOff>489858</xdr:colOff>
      <xdr:row>69</xdr:row>
      <xdr:rowOff>87084</xdr:rowOff>
    </xdr:from>
    <xdr:to>
      <xdr:col>66</xdr:col>
      <xdr:colOff>2068</xdr:colOff>
      <xdr:row>96</xdr:row>
      <xdr:rowOff>173513</xdr:rowOff>
    </xdr:to>
    <xdr:pic>
      <xdr:nvPicPr>
        <xdr:cNvPr id="6" name="Imagen 5">
          <a:extLst>
            <a:ext uri="{FF2B5EF4-FFF2-40B4-BE49-F238E27FC236}">
              <a16:creationId xmlns:a16="http://schemas.microsoft.com/office/drawing/2014/main" id="{DFCBB930-AE63-B47A-6540-A528047D8DFF}"/>
            </a:ext>
          </a:extLst>
        </xdr:cNvPr>
        <xdr:cNvPicPr>
          <a:picLocks noChangeAspect="1"/>
        </xdr:cNvPicPr>
      </xdr:nvPicPr>
      <xdr:blipFill>
        <a:blip xmlns:r="http://schemas.openxmlformats.org/officeDocument/2006/relationships" r:embed="rId5"/>
        <a:stretch>
          <a:fillRect/>
        </a:stretch>
      </xdr:blipFill>
      <xdr:spPr>
        <a:xfrm>
          <a:off x="33996087" y="13095513"/>
          <a:ext cx="5065013" cy="5079160"/>
        </a:xfrm>
        <a:prstGeom prst="rect">
          <a:avLst/>
        </a:prstGeom>
      </xdr:spPr>
    </xdr:pic>
    <xdr:clientData/>
  </xdr:twoCellAnchor>
  <xdr:twoCellAnchor>
    <xdr:from>
      <xdr:col>53</xdr:col>
      <xdr:colOff>427547</xdr:colOff>
      <xdr:row>45</xdr:row>
      <xdr:rowOff>17584</xdr:rowOff>
    </xdr:from>
    <xdr:to>
      <xdr:col>57</xdr:col>
      <xdr:colOff>382723</xdr:colOff>
      <xdr:row>58</xdr:row>
      <xdr:rowOff>134315</xdr:rowOff>
    </xdr:to>
    <xdr:graphicFrame macro="">
      <xdr:nvGraphicFramePr>
        <xdr:cNvPr id="7" name="Gráfico 6">
          <a:extLst>
            <a:ext uri="{FF2B5EF4-FFF2-40B4-BE49-F238E27FC236}">
              <a16:creationId xmlns:a16="http://schemas.microsoft.com/office/drawing/2014/main" id="{B64F1C7F-D92C-4C7D-80D0-C5F111F16E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126496</xdr:colOff>
      <xdr:row>81</xdr:row>
      <xdr:rowOff>121773</xdr:rowOff>
    </xdr:from>
    <xdr:to>
      <xdr:col>55</xdr:col>
      <xdr:colOff>555925</xdr:colOff>
      <xdr:row>89</xdr:row>
      <xdr:rowOff>67893</xdr:rowOff>
    </xdr:to>
    <xdr:pic>
      <xdr:nvPicPr>
        <xdr:cNvPr id="8" name="Imagen 7">
          <a:extLst>
            <a:ext uri="{FF2B5EF4-FFF2-40B4-BE49-F238E27FC236}">
              <a16:creationId xmlns:a16="http://schemas.microsoft.com/office/drawing/2014/main" id="{71DF05BF-D103-94E3-0D9F-021C00A4141D}"/>
            </a:ext>
          </a:extLst>
        </xdr:cNvPr>
        <xdr:cNvPicPr>
          <a:picLocks noChangeAspect="1"/>
        </xdr:cNvPicPr>
      </xdr:nvPicPr>
      <xdr:blipFill>
        <a:blip xmlns:r="http://schemas.openxmlformats.org/officeDocument/2006/relationships" r:embed="rId7"/>
        <a:stretch>
          <a:fillRect/>
        </a:stretch>
      </xdr:blipFill>
      <xdr:spPr>
        <a:xfrm>
          <a:off x="29990270" y="15573808"/>
          <a:ext cx="2800657" cy="1434173"/>
        </a:xfrm>
        <a:prstGeom prst="rect">
          <a:avLst/>
        </a:prstGeom>
      </xdr:spPr>
    </xdr:pic>
    <xdr:clientData/>
  </xdr:twoCellAnchor>
  <xdr:twoCellAnchor>
    <xdr:from>
      <xdr:col>0</xdr:col>
      <xdr:colOff>0</xdr:colOff>
      <xdr:row>71</xdr:row>
      <xdr:rowOff>59873</xdr:rowOff>
    </xdr:from>
    <xdr:to>
      <xdr:col>11</xdr:col>
      <xdr:colOff>0</xdr:colOff>
      <xdr:row>86</xdr:row>
      <xdr:rowOff>27215</xdr:rowOff>
    </xdr:to>
    <xdr:graphicFrame macro="">
      <xdr:nvGraphicFramePr>
        <xdr:cNvPr id="9" name="Gráfico 8">
          <a:extLst>
            <a:ext uri="{FF2B5EF4-FFF2-40B4-BE49-F238E27FC236}">
              <a16:creationId xmlns:a16="http://schemas.microsoft.com/office/drawing/2014/main" id="{619DB073-6102-65A1-39DE-D9E0A274F7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0</xdr:colOff>
      <xdr:row>86</xdr:row>
      <xdr:rowOff>108857</xdr:rowOff>
    </xdr:from>
    <xdr:to>
      <xdr:col>11</xdr:col>
      <xdr:colOff>0</xdr:colOff>
      <xdr:row>101</xdr:row>
      <xdr:rowOff>76200</xdr:rowOff>
    </xdr:to>
    <xdr:graphicFrame macro="">
      <xdr:nvGraphicFramePr>
        <xdr:cNvPr id="10" name="Gráfico 9">
          <a:extLst>
            <a:ext uri="{FF2B5EF4-FFF2-40B4-BE49-F238E27FC236}">
              <a16:creationId xmlns:a16="http://schemas.microsoft.com/office/drawing/2014/main" id="{DB3BB42F-781A-4B0E-9A19-7F934C0E87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1</xdr:colOff>
      <xdr:row>101</xdr:row>
      <xdr:rowOff>87086</xdr:rowOff>
    </xdr:from>
    <xdr:to>
      <xdr:col>10</xdr:col>
      <xdr:colOff>1</xdr:colOff>
      <xdr:row>116</xdr:row>
      <xdr:rowOff>54429</xdr:rowOff>
    </xdr:to>
    <xdr:graphicFrame macro="">
      <xdr:nvGraphicFramePr>
        <xdr:cNvPr id="11" name="Gráfico 10">
          <a:extLst>
            <a:ext uri="{FF2B5EF4-FFF2-40B4-BE49-F238E27FC236}">
              <a16:creationId xmlns:a16="http://schemas.microsoft.com/office/drawing/2014/main" id="{4F1934C8-3529-45A8-AA41-9955D5BD9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117</xdr:row>
      <xdr:rowOff>0</xdr:rowOff>
    </xdr:from>
    <xdr:to>
      <xdr:col>9</xdr:col>
      <xdr:colOff>1074419</xdr:colOff>
      <xdr:row>131</xdr:row>
      <xdr:rowOff>150223</xdr:rowOff>
    </xdr:to>
    <xdr:graphicFrame macro="">
      <xdr:nvGraphicFramePr>
        <xdr:cNvPr id="12" name="Gráfico 11">
          <a:extLst>
            <a:ext uri="{FF2B5EF4-FFF2-40B4-BE49-F238E27FC236}">
              <a16:creationId xmlns:a16="http://schemas.microsoft.com/office/drawing/2014/main" id="{F89F698F-D47C-4AD9-9E45-C891BE920B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458404</xdr:colOff>
      <xdr:row>71</xdr:row>
      <xdr:rowOff>137092</xdr:rowOff>
    </xdr:from>
    <xdr:to>
      <xdr:col>25</xdr:col>
      <xdr:colOff>583910</xdr:colOff>
      <xdr:row>93</xdr:row>
      <xdr:rowOff>66260</xdr:rowOff>
    </xdr:to>
    <xdr:graphicFrame macro="">
      <xdr:nvGraphicFramePr>
        <xdr:cNvPr id="13" name="Gráfico 12">
          <a:extLst>
            <a:ext uri="{FF2B5EF4-FFF2-40B4-BE49-F238E27FC236}">
              <a16:creationId xmlns:a16="http://schemas.microsoft.com/office/drawing/2014/main" id="{B70B1617-E164-4A62-8A52-63E5F9B68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40</xdr:col>
      <xdr:colOff>317407</xdr:colOff>
      <xdr:row>94</xdr:row>
      <xdr:rowOff>35201</xdr:rowOff>
    </xdr:from>
    <xdr:to>
      <xdr:col>46</xdr:col>
      <xdr:colOff>740037</xdr:colOff>
      <xdr:row>119</xdr:row>
      <xdr:rowOff>17783</xdr:rowOff>
    </xdr:to>
    <xdr:pic>
      <xdr:nvPicPr>
        <xdr:cNvPr id="14" name="Imagen 13">
          <a:extLst>
            <a:ext uri="{FF2B5EF4-FFF2-40B4-BE49-F238E27FC236}">
              <a16:creationId xmlns:a16="http://schemas.microsoft.com/office/drawing/2014/main" id="{1F22A20B-891C-A3D5-6C2F-DB41D690A1EE}"/>
            </a:ext>
          </a:extLst>
        </xdr:cNvPr>
        <xdr:cNvPicPr>
          <a:picLocks noChangeAspect="1"/>
        </xdr:cNvPicPr>
      </xdr:nvPicPr>
      <xdr:blipFill>
        <a:blip xmlns:r="http://schemas.openxmlformats.org/officeDocument/2006/relationships" r:embed="rId13"/>
        <a:stretch>
          <a:fillRect/>
        </a:stretch>
      </xdr:blipFill>
      <xdr:spPr>
        <a:xfrm>
          <a:off x="20899027" y="17652641"/>
          <a:ext cx="5093690" cy="4562202"/>
        </a:xfrm>
        <a:prstGeom prst="rect">
          <a:avLst/>
        </a:prstGeom>
      </xdr:spPr>
    </xdr:pic>
    <xdr:clientData/>
  </xdr:twoCellAnchor>
  <xdr:twoCellAnchor editAs="oneCell">
    <xdr:from>
      <xdr:col>41</xdr:col>
      <xdr:colOff>0</xdr:colOff>
      <xdr:row>115</xdr:row>
      <xdr:rowOff>1</xdr:rowOff>
    </xdr:from>
    <xdr:to>
      <xdr:col>46</xdr:col>
      <xdr:colOff>402929</xdr:colOff>
      <xdr:row>128</xdr:row>
      <xdr:rowOff>131446</xdr:rowOff>
    </xdr:to>
    <xdr:pic>
      <xdr:nvPicPr>
        <xdr:cNvPr id="15" name="Imagen 14">
          <a:extLst>
            <a:ext uri="{FF2B5EF4-FFF2-40B4-BE49-F238E27FC236}">
              <a16:creationId xmlns:a16="http://schemas.microsoft.com/office/drawing/2014/main" id="{5FE0E05D-DAB0-0683-B904-21C40C6D266A}"/>
            </a:ext>
          </a:extLst>
        </xdr:cNvPr>
        <xdr:cNvPicPr>
          <a:picLocks noChangeAspect="1"/>
        </xdr:cNvPicPr>
      </xdr:nvPicPr>
      <xdr:blipFill>
        <a:blip xmlns:r="http://schemas.openxmlformats.org/officeDocument/2006/relationships" r:embed="rId14"/>
        <a:stretch>
          <a:fillRect/>
        </a:stretch>
      </xdr:blipFill>
      <xdr:spPr>
        <a:xfrm>
          <a:off x="19225260" y="27089101"/>
          <a:ext cx="4300560" cy="2522220"/>
        </a:xfrm>
        <a:prstGeom prst="rect">
          <a:avLst/>
        </a:prstGeom>
      </xdr:spPr>
    </xdr:pic>
    <xdr:clientData/>
  </xdr:twoCellAnchor>
  <xdr:twoCellAnchor editAs="oneCell">
    <xdr:from>
      <xdr:col>40</xdr:col>
      <xdr:colOff>233005</xdr:colOff>
      <xdr:row>79</xdr:row>
      <xdr:rowOff>122954</xdr:rowOff>
    </xdr:from>
    <xdr:to>
      <xdr:col>46</xdr:col>
      <xdr:colOff>432199</xdr:colOff>
      <xdr:row>89</xdr:row>
      <xdr:rowOff>170172</xdr:rowOff>
    </xdr:to>
    <xdr:pic>
      <xdr:nvPicPr>
        <xdr:cNvPr id="16" name="Imagen 15">
          <a:extLst>
            <a:ext uri="{FF2B5EF4-FFF2-40B4-BE49-F238E27FC236}">
              <a16:creationId xmlns:a16="http://schemas.microsoft.com/office/drawing/2014/main" id="{01C2FF79-C51E-201C-2C18-2D6DDA9980F6}"/>
            </a:ext>
          </a:extLst>
        </xdr:cNvPr>
        <xdr:cNvPicPr>
          <a:picLocks noChangeAspect="1"/>
        </xdr:cNvPicPr>
      </xdr:nvPicPr>
      <xdr:blipFill>
        <a:blip xmlns:r="http://schemas.openxmlformats.org/officeDocument/2006/relationships" r:embed="rId15"/>
        <a:stretch>
          <a:fillRect/>
        </a:stretch>
      </xdr:blipFill>
      <xdr:spPr>
        <a:xfrm>
          <a:off x="20793753" y="15203928"/>
          <a:ext cx="4846897" cy="1910142"/>
        </a:xfrm>
        <a:prstGeom prst="rect">
          <a:avLst/>
        </a:prstGeom>
      </xdr:spPr>
    </xdr:pic>
    <xdr:clientData/>
  </xdr:twoCellAnchor>
  <xdr:twoCellAnchor>
    <xdr:from>
      <xdr:col>13</xdr:col>
      <xdr:colOff>54429</xdr:colOff>
      <xdr:row>98</xdr:row>
      <xdr:rowOff>141514</xdr:rowOff>
    </xdr:from>
    <xdr:to>
      <xdr:col>24</xdr:col>
      <xdr:colOff>653143</xdr:colOff>
      <xdr:row>113</xdr:row>
      <xdr:rowOff>108857</xdr:rowOff>
    </xdr:to>
    <xdr:graphicFrame macro="">
      <xdr:nvGraphicFramePr>
        <xdr:cNvPr id="17" name="Gráfico 16">
          <a:extLst>
            <a:ext uri="{FF2B5EF4-FFF2-40B4-BE49-F238E27FC236}">
              <a16:creationId xmlns:a16="http://schemas.microsoft.com/office/drawing/2014/main" id="{578E6309-684F-4716-9ED6-9FDA526A10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132</xdr:row>
      <xdr:rowOff>20732</xdr:rowOff>
    </xdr:from>
    <xdr:to>
      <xdr:col>26</xdr:col>
      <xdr:colOff>941293</xdr:colOff>
      <xdr:row>164</xdr:row>
      <xdr:rowOff>97267</xdr:rowOff>
    </xdr:to>
    <xdr:graphicFrame macro="">
      <xdr:nvGraphicFramePr>
        <xdr:cNvPr id="20" name="Gráfico 19">
          <a:extLst>
            <a:ext uri="{FF2B5EF4-FFF2-40B4-BE49-F238E27FC236}">
              <a16:creationId xmlns:a16="http://schemas.microsoft.com/office/drawing/2014/main" id="{2C816487-8574-6164-6FE5-13C724A3CE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166</xdr:row>
      <xdr:rowOff>0</xdr:rowOff>
    </xdr:from>
    <xdr:to>
      <xdr:col>26</xdr:col>
      <xdr:colOff>939388</xdr:colOff>
      <xdr:row>198</xdr:row>
      <xdr:rowOff>76535</xdr:rowOff>
    </xdr:to>
    <xdr:graphicFrame macro="">
      <xdr:nvGraphicFramePr>
        <xdr:cNvPr id="21" name="Gráfico 20">
          <a:extLst>
            <a:ext uri="{FF2B5EF4-FFF2-40B4-BE49-F238E27FC236}">
              <a16:creationId xmlns:a16="http://schemas.microsoft.com/office/drawing/2014/main" id="{0AEAADA0-4A67-4987-AFEE-92863EA220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68580</xdr:rowOff>
    </xdr:from>
    <xdr:to>
      <xdr:col>8</xdr:col>
      <xdr:colOff>0</xdr:colOff>
      <xdr:row>45</xdr:row>
      <xdr:rowOff>68580</xdr:rowOff>
    </xdr:to>
    <xdr:graphicFrame macro="">
      <xdr:nvGraphicFramePr>
        <xdr:cNvPr id="4" name="Gráfico 3">
          <a:extLst>
            <a:ext uri="{FF2B5EF4-FFF2-40B4-BE49-F238E27FC236}">
              <a16:creationId xmlns:a16="http://schemas.microsoft.com/office/drawing/2014/main" id="{734D6FD2-7724-3E2B-E39C-1FBAE80B6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45</xdr:row>
      <xdr:rowOff>129540</xdr:rowOff>
    </xdr:from>
    <xdr:to>
      <xdr:col>8</xdr:col>
      <xdr:colOff>0</xdr:colOff>
      <xdr:row>60</xdr:row>
      <xdr:rowOff>129540</xdr:rowOff>
    </xdr:to>
    <xdr:graphicFrame macro="">
      <xdr:nvGraphicFramePr>
        <xdr:cNvPr id="5" name="Gráfico 4">
          <a:extLst>
            <a:ext uri="{FF2B5EF4-FFF2-40B4-BE49-F238E27FC236}">
              <a16:creationId xmlns:a16="http://schemas.microsoft.com/office/drawing/2014/main" id="{20011ADC-E950-460A-B106-2BFC3B9BE9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61</xdr:row>
      <xdr:rowOff>76200</xdr:rowOff>
    </xdr:from>
    <xdr:to>
      <xdr:col>8</xdr:col>
      <xdr:colOff>0</xdr:colOff>
      <xdr:row>76</xdr:row>
      <xdr:rowOff>76200</xdr:rowOff>
    </xdr:to>
    <xdr:graphicFrame macro="">
      <xdr:nvGraphicFramePr>
        <xdr:cNvPr id="6" name="Gráfico 5">
          <a:extLst>
            <a:ext uri="{FF2B5EF4-FFF2-40B4-BE49-F238E27FC236}">
              <a16:creationId xmlns:a16="http://schemas.microsoft.com/office/drawing/2014/main" id="{95BC485A-9A57-47D2-B1A4-17E283931B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0</xdr:colOff>
      <xdr:row>60</xdr:row>
      <xdr:rowOff>0</xdr:rowOff>
    </xdr:from>
    <xdr:to>
      <xdr:col>38</xdr:col>
      <xdr:colOff>0</xdr:colOff>
      <xdr:row>76</xdr:row>
      <xdr:rowOff>0</xdr:rowOff>
    </xdr:to>
    <xdr:graphicFrame macro="">
      <xdr:nvGraphicFramePr>
        <xdr:cNvPr id="8" name="Gráfico 7">
          <a:extLst>
            <a:ext uri="{FF2B5EF4-FFF2-40B4-BE49-F238E27FC236}">
              <a16:creationId xmlns:a16="http://schemas.microsoft.com/office/drawing/2014/main" id="{74F66361-875A-6663-75C5-BF042A7B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1</xdr:colOff>
      <xdr:row>44</xdr:row>
      <xdr:rowOff>1</xdr:rowOff>
    </xdr:from>
    <xdr:to>
      <xdr:col>38</xdr:col>
      <xdr:colOff>1</xdr:colOff>
      <xdr:row>60</xdr:row>
      <xdr:rowOff>1</xdr:rowOff>
    </xdr:to>
    <xdr:graphicFrame macro="">
      <xdr:nvGraphicFramePr>
        <xdr:cNvPr id="9" name="Gráfico 8">
          <a:extLst>
            <a:ext uri="{FF2B5EF4-FFF2-40B4-BE49-F238E27FC236}">
              <a16:creationId xmlns:a16="http://schemas.microsoft.com/office/drawing/2014/main" id="{627DF9F4-369E-44C3-8E64-AF6ACC174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1</xdr:colOff>
      <xdr:row>60</xdr:row>
      <xdr:rowOff>1</xdr:rowOff>
    </xdr:from>
    <xdr:to>
      <xdr:col>31</xdr:col>
      <xdr:colOff>0</xdr:colOff>
      <xdr:row>76</xdr:row>
      <xdr:rowOff>1</xdr:rowOff>
    </xdr:to>
    <xdr:graphicFrame macro="">
      <xdr:nvGraphicFramePr>
        <xdr:cNvPr id="10" name="Gráfico 9">
          <a:extLst>
            <a:ext uri="{FF2B5EF4-FFF2-40B4-BE49-F238E27FC236}">
              <a16:creationId xmlns:a16="http://schemas.microsoft.com/office/drawing/2014/main" id="{A57E0B6E-FAD5-4016-95F0-19639F107A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44</xdr:row>
      <xdr:rowOff>0</xdr:rowOff>
    </xdr:from>
    <xdr:to>
      <xdr:col>31</xdr:col>
      <xdr:colOff>0</xdr:colOff>
      <xdr:row>60</xdr:row>
      <xdr:rowOff>0</xdr:rowOff>
    </xdr:to>
    <xdr:graphicFrame macro="">
      <xdr:nvGraphicFramePr>
        <xdr:cNvPr id="11" name="Gráfico 10">
          <a:extLst>
            <a:ext uri="{FF2B5EF4-FFF2-40B4-BE49-F238E27FC236}">
              <a16:creationId xmlns:a16="http://schemas.microsoft.com/office/drawing/2014/main" id="{D34D5188-1391-45BE-97ED-AA65D46F1E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0</xdr:colOff>
      <xdr:row>44</xdr:row>
      <xdr:rowOff>0</xdr:rowOff>
    </xdr:from>
    <xdr:to>
      <xdr:col>45</xdr:col>
      <xdr:colOff>0</xdr:colOff>
      <xdr:row>60</xdr:row>
      <xdr:rowOff>0</xdr:rowOff>
    </xdr:to>
    <xdr:graphicFrame macro="">
      <xdr:nvGraphicFramePr>
        <xdr:cNvPr id="13" name="Gráfico 12">
          <a:extLst>
            <a:ext uri="{FF2B5EF4-FFF2-40B4-BE49-F238E27FC236}">
              <a16:creationId xmlns:a16="http://schemas.microsoft.com/office/drawing/2014/main" id="{BAC56976-9CD7-432C-982C-0FABFB102E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0</xdr:colOff>
      <xdr:row>60</xdr:row>
      <xdr:rowOff>0</xdr:rowOff>
    </xdr:from>
    <xdr:to>
      <xdr:col>45</xdr:col>
      <xdr:colOff>0</xdr:colOff>
      <xdr:row>76</xdr:row>
      <xdr:rowOff>0</xdr:rowOff>
    </xdr:to>
    <xdr:graphicFrame macro="">
      <xdr:nvGraphicFramePr>
        <xdr:cNvPr id="14" name="Gráfico 13">
          <a:extLst>
            <a:ext uri="{FF2B5EF4-FFF2-40B4-BE49-F238E27FC236}">
              <a16:creationId xmlns:a16="http://schemas.microsoft.com/office/drawing/2014/main" id="{7CDF612E-7F54-422A-8536-09CD135B7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58606</xdr:colOff>
      <xdr:row>80</xdr:row>
      <xdr:rowOff>44824</xdr:rowOff>
    </xdr:from>
    <xdr:to>
      <xdr:col>31</xdr:col>
      <xdr:colOff>170503</xdr:colOff>
      <xdr:row>106</xdr:row>
      <xdr:rowOff>19413</xdr:rowOff>
    </xdr:to>
    <xdr:pic>
      <xdr:nvPicPr>
        <xdr:cNvPr id="15" name="Imagen 14">
          <a:extLst>
            <a:ext uri="{FF2B5EF4-FFF2-40B4-BE49-F238E27FC236}">
              <a16:creationId xmlns:a16="http://schemas.microsoft.com/office/drawing/2014/main" id="{4E8F4E1E-9A82-B6C6-8BBA-9D1636B39800}"/>
            </a:ext>
          </a:extLst>
        </xdr:cNvPr>
        <xdr:cNvPicPr>
          <a:picLocks noChangeAspect="1"/>
        </xdr:cNvPicPr>
      </xdr:nvPicPr>
      <xdr:blipFill>
        <a:blip xmlns:r="http://schemas.openxmlformats.org/officeDocument/2006/relationships" r:embed="rId10"/>
        <a:stretch>
          <a:fillRect/>
        </a:stretch>
      </xdr:blipFill>
      <xdr:spPr>
        <a:xfrm>
          <a:off x="58606" y="14265089"/>
          <a:ext cx="12888284" cy="4626711"/>
        </a:xfrm>
        <a:prstGeom prst="rect">
          <a:avLst/>
        </a:prstGeom>
      </xdr:spPr>
    </xdr:pic>
    <xdr:clientData/>
  </xdr:twoCellAnchor>
  <xdr:twoCellAnchor>
    <xdr:from>
      <xdr:col>35</xdr:col>
      <xdr:colOff>304799</xdr:colOff>
      <xdr:row>93</xdr:row>
      <xdr:rowOff>35859</xdr:rowOff>
    </xdr:from>
    <xdr:to>
      <xdr:col>42</xdr:col>
      <xdr:colOff>707570</xdr:colOff>
      <xdr:row>121</xdr:row>
      <xdr:rowOff>70756</xdr:rowOff>
    </xdr:to>
    <xdr:graphicFrame macro="">
      <xdr:nvGraphicFramePr>
        <xdr:cNvPr id="16" name="Gráfico 15">
          <a:extLst>
            <a:ext uri="{FF2B5EF4-FFF2-40B4-BE49-F238E27FC236}">
              <a16:creationId xmlns:a16="http://schemas.microsoft.com/office/drawing/2014/main" id="{7E96C804-CFC1-D7F9-C905-94F757F2D7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301598</xdr:colOff>
      <xdr:row>121</xdr:row>
      <xdr:rowOff>108216</xdr:rowOff>
    </xdr:from>
    <xdr:to>
      <xdr:col>42</xdr:col>
      <xdr:colOff>698605</xdr:colOff>
      <xdr:row>143</xdr:row>
      <xdr:rowOff>146316</xdr:rowOff>
    </xdr:to>
    <xdr:graphicFrame macro="">
      <xdr:nvGraphicFramePr>
        <xdr:cNvPr id="17" name="Gráfico 16">
          <a:extLst>
            <a:ext uri="{FF2B5EF4-FFF2-40B4-BE49-F238E27FC236}">
              <a16:creationId xmlns:a16="http://schemas.microsoft.com/office/drawing/2014/main" id="{E4A071A2-D099-46C5-BE46-9BEC39EA36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11</xdr:row>
      <xdr:rowOff>0</xdr:rowOff>
    </xdr:from>
    <xdr:to>
      <xdr:col>10</xdr:col>
      <xdr:colOff>0</xdr:colOff>
      <xdr:row>31</xdr:row>
      <xdr:rowOff>0</xdr:rowOff>
    </xdr:to>
    <xdr:graphicFrame macro="">
      <xdr:nvGraphicFramePr>
        <xdr:cNvPr id="2" name="Gráfico 1">
          <a:extLst>
            <a:ext uri="{FF2B5EF4-FFF2-40B4-BE49-F238E27FC236}">
              <a16:creationId xmlns:a16="http://schemas.microsoft.com/office/drawing/2014/main" id="{D1B80717-EBFA-52FF-D367-E335EAB9F2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59765</xdr:colOff>
      <xdr:row>16</xdr:row>
      <xdr:rowOff>14942</xdr:rowOff>
    </xdr:from>
    <xdr:to>
      <xdr:col>7</xdr:col>
      <xdr:colOff>132155</xdr:colOff>
      <xdr:row>24</xdr:row>
      <xdr:rowOff>80244</xdr:rowOff>
    </xdr:to>
    <xdr:pic>
      <xdr:nvPicPr>
        <xdr:cNvPr id="2" name="Imagen 1">
          <a:extLst>
            <a:ext uri="{FF2B5EF4-FFF2-40B4-BE49-F238E27FC236}">
              <a16:creationId xmlns:a16="http://schemas.microsoft.com/office/drawing/2014/main" id="{30239023-F038-E24F-00EB-6FA87868CA3A}"/>
            </a:ext>
          </a:extLst>
        </xdr:cNvPr>
        <xdr:cNvPicPr>
          <a:picLocks noChangeAspect="1"/>
        </xdr:cNvPicPr>
      </xdr:nvPicPr>
      <xdr:blipFill>
        <a:blip xmlns:r="http://schemas.openxmlformats.org/officeDocument/2006/relationships" r:embed="rId1"/>
        <a:stretch>
          <a:fillRect/>
        </a:stretch>
      </xdr:blipFill>
      <xdr:spPr>
        <a:xfrm>
          <a:off x="687294" y="3556001"/>
          <a:ext cx="4659332" cy="1529537"/>
        </a:xfrm>
        <a:prstGeom prst="rect">
          <a:avLst/>
        </a:prstGeom>
      </xdr:spPr>
    </xdr:pic>
    <xdr:clientData/>
  </xdr:twoCellAnchor>
  <xdr:twoCellAnchor editAs="oneCell">
    <xdr:from>
      <xdr:col>1</xdr:col>
      <xdr:colOff>474457</xdr:colOff>
      <xdr:row>37</xdr:row>
      <xdr:rowOff>37797</xdr:rowOff>
    </xdr:from>
    <xdr:to>
      <xdr:col>12</xdr:col>
      <xdr:colOff>328707</xdr:colOff>
      <xdr:row>56</xdr:row>
      <xdr:rowOff>45903</xdr:rowOff>
    </xdr:to>
    <xdr:pic>
      <xdr:nvPicPr>
        <xdr:cNvPr id="3" name="Imagen 2">
          <a:extLst>
            <a:ext uri="{FF2B5EF4-FFF2-40B4-BE49-F238E27FC236}">
              <a16:creationId xmlns:a16="http://schemas.microsoft.com/office/drawing/2014/main" id="{47627526-5147-89AF-8388-3BAAF0B059D6}"/>
            </a:ext>
          </a:extLst>
        </xdr:cNvPr>
        <xdr:cNvPicPr>
          <a:picLocks noChangeAspect="1"/>
        </xdr:cNvPicPr>
      </xdr:nvPicPr>
      <xdr:blipFill>
        <a:blip xmlns:r="http://schemas.openxmlformats.org/officeDocument/2006/relationships" r:embed="rId2"/>
        <a:stretch>
          <a:fillRect/>
        </a:stretch>
      </xdr:blipFill>
      <xdr:spPr>
        <a:xfrm>
          <a:off x="1101986" y="7612973"/>
          <a:ext cx="7339780" cy="3571577"/>
        </a:xfrm>
        <a:prstGeom prst="rect">
          <a:avLst/>
        </a:prstGeom>
      </xdr:spPr>
    </xdr:pic>
    <xdr:clientData/>
  </xdr:twoCellAnchor>
  <xdr:twoCellAnchor editAs="oneCell">
    <xdr:from>
      <xdr:col>1</xdr:col>
      <xdr:colOff>561575</xdr:colOff>
      <xdr:row>59</xdr:row>
      <xdr:rowOff>144930</xdr:rowOff>
    </xdr:from>
    <xdr:to>
      <xdr:col>13</xdr:col>
      <xdr:colOff>507796</xdr:colOff>
      <xdr:row>84</xdr:row>
      <xdr:rowOff>155094</xdr:rowOff>
    </xdr:to>
    <xdr:pic>
      <xdr:nvPicPr>
        <xdr:cNvPr id="4" name="Imagen 3">
          <a:extLst>
            <a:ext uri="{FF2B5EF4-FFF2-40B4-BE49-F238E27FC236}">
              <a16:creationId xmlns:a16="http://schemas.microsoft.com/office/drawing/2014/main" id="{786F435E-D1B7-90F2-7B0B-3C467EB8A1F7}"/>
            </a:ext>
          </a:extLst>
        </xdr:cNvPr>
        <xdr:cNvPicPr>
          <a:picLocks noChangeAspect="1"/>
        </xdr:cNvPicPr>
      </xdr:nvPicPr>
      <xdr:blipFill>
        <a:blip xmlns:r="http://schemas.openxmlformats.org/officeDocument/2006/relationships" r:embed="rId3"/>
        <a:stretch>
          <a:fillRect/>
        </a:stretch>
      </xdr:blipFill>
      <xdr:spPr>
        <a:xfrm>
          <a:off x="1189104" y="11821459"/>
          <a:ext cx="7954692" cy="449251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7</xdr:col>
      <xdr:colOff>114300</xdr:colOff>
      <xdr:row>9</xdr:row>
      <xdr:rowOff>106821</xdr:rowOff>
    </xdr:to>
    <xdr:pic>
      <xdr:nvPicPr>
        <xdr:cNvPr id="2" name="Imagen 1">
          <a:extLst>
            <a:ext uri="{FF2B5EF4-FFF2-40B4-BE49-F238E27FC236}">
              <a16:creationId xmlns:a16="http://schemas.microsoft.com/office/drawing/2014/main" id="{F465B6BF-4B8D-213B-B14B-6542D7DA2F29}"/>
            </a:ext>
          </a:extLst>
        </xdr:cNvPr>
        <xdr:cNvPicPr>
          <a:picLocks noChangeAspect="1"/>
        </xdr:cNvPicPr>
      </xdr:nvPicPr>
      <xdr:blipFill>
        <a:blip xmlns:r="http://schemas.openxmlformats.org/officeDocument/2006/relationships" r:embed="rId1"/>
        <a:stretch>
          <a:fillRect/>
        </a:stretch>
      </xdr:blipFill>
      <xdr:spPr>
        <a:xfrm>
          <a:off x="0" y="0"/>
          <a:ext cx="5661660" cy="1981341"/>
        </a:xfrm>
        <a:prstGeom prst="rect">
          <a:avLst/>
        </a:prstGeom>
      </xdr:spPr>
    </xdr:pic>
    <xdr:clientData/>
  </xdr:twoCellAnchor>
  <xdr:twoCellAnchor editAs="oneCell">
    <xdr:from>
      <xdr:col>0</xdr:col>
      <xdr:colOff>152400</xdr:colOff>
      <xdr:row>1</xdr:row>
      <xdr:rowOff>106680</xdr:rowOff>
    </xdr:from>
    <xdr:to>
      <xdr:col>8</xdr:col>
      <xdr:colOff>213360</xdr:colOff>
      <xdr:row>20</xdr:row>
      <xdr:rowOff>91374</xdr:rowOff>
    </xdr:to>
    <xdr:pic>
      <xdr:nvPicPr>
        <xdr:cNvPr id="3" name="Imagen 2">
          <a:extLst>
            <a:ext uri="{FF2B5EF4-FFF2-40B4-BE49-F238E27FC236}">
              <a16:creationId xmlns:a16="http://schemas.microsoft.com/office/drawing/2014/main" id="{393BCE53-7ACD-29DF-401B-25B4BC4D7B2B}"/>
            </a:ext>
          </a:extLst>
        </xdr:cNvPr>
        <xdr:cNvPicPr>
          <a:picLocks noChangeAspect="1"/>
        </xdr:cNvPicPr>
      </xdr:nvPicPr>
      <xdr:blipFill>
        <a:blip xmlns:r="http://schemas.openxmlformats.org/officeDocument/2006/relationships" r:embed="rId2"/>
        <a:stretch>
          <a:fillRect/>
        </a:stretch>
      </xdr:blipFill>
      <xdr:spPr>
        <a:xfrm>
          <a:off x="152400" y="289560"/>
          <a:ext cx="6339840" cy="3688014"/>
        </a:xfrm>
        <a:prstGeom prst="rect">
          <a:avLst/>
        </a:prstGeom>
      </xdr:spPr>
    </xdr:pic>
    <xdr:clientData/>
  </xdr:twoCellAnchor>
  <xdr:twoCellAnchor editAs="oneCell">
    <xdr:from>
      <xdr:col>0</xdr:col>
      <xdr:colOff>0</xdr:colOff>
      <xdr:row>26</xdr:row>
      <xdr:rowOff>99060</xdr:rowOff>
    </xdr:from>
    <xdr:to>
      <xdr:col>7</xdr:col>
      <xdr:colOff>143015</xdr:colOff>
      <xdr:row>41</xdr:row>
      <xdr:rowOff>117295</xdr:rowOff>
    </xdr:to>
    <xdr:pic>
      <xdr:nvPicPr>
        <xdr:cNvPr id="4" name="Imagen 3">
          <a:extLst>
            <a:ext uri="{FF2B5EF4-FFF2-40B4-BE49-F238E27FC236}">
              <a16:creationId xmlns:a16="http://schemas.microsoft.com/office/drawing/2014/main" id="{30848625-84A5-F65E-9E5A-40FEECBB37CE}"/>
            </a:ext>
          </a:extLst>
        </xdr:cNvPr>
        <xdr:cNvPicPr>
          <a:picLocks noChangeAspect="1"/>
        </xdr:cNvPicPr>
      </xdr:nvPicPr>
      <xdr:blipFill>
        <a:blip xmlns:r="http://schemas.openxmlformats.org/officeDocument/2006/relationships" r:embed="rId3"/>
        <a:stretch>
          <a:fillRect/>
        </a:stretch>
      </xdr:blipFill>
      <xdr:spPr>
        <a:xfrm>
          <a:off x="0" y="4853940"/>
          <a:ext cx="5690375" cy="2761435"/>
        </a:xfrm>
        <a:prstGeom prst="rect">
          <a:avLst/>
        </a:prstGeom>
      </xdr:spPr>
    </xdr:pic>
    <xdr:clientData/>
  </xdr:twoCellAnchor>
  <xdr:twoCellAnchor editAs="oneCell">
    <xdr:from>
      <xdr:col>0</xdr:col>
      <xdr:colOff>0</xdr:colOff>
      <xdr:row>31</xdr:row>
      <xdr:rowOff>76200</xdr:rowOff>
    </xdr:from>
    <xdr:to>
      <xdr:col>10</xdr:col>
      <xdr:colOff>34594</xdr:colOff>
      <xdr:row>56</xdr:row>
      <xdr:rowOff>139273</xdr:rowOff>
    </xdr:to>
    <xdr:pic>
      <xdr:nvPicPr>
        <xdr:cNvPr id="5" name="Imagen 4">
          <a:extLst>
            <a:ext uri="{FF2B5EF4-FFF2-40B4-BE49-F238E27FC236}">
              <a16:creationId xmlns:a16="http://schemas.microsoft.com/office/drawing/2014/main" id="{53B28517-978D-7EA6-B5FF-A2A42F3507D5}"/>
            </a:ext>
          </a:extLst>
        </xdr:cNvPr>
        <xdr:cNvPicPr>
          <a:picLocks noChangeAspect="1"/>
        </xdr:cNvPicPr>
      </xdr:nvPicPr>
      <xdr:blipFill>
        <a:blip xmlns:r="http://schemas.openxmlformats.org/officeDocument/2006/relationships" r:embed="rId4"/>
        <a:stretch>
          <a:fillRect/>
        </a:stretch>
      </xdr:blipFill>
      <xdr:spPr>
        <a:xfrm>
          <a:off x="0" y="5974080"/>
          <a:ext cx="7883194" cy="4635073"/>
        </a:xfrm>
        <a:prstGeom prst="rect">
          <a:avLst/>
        </a:prstGeom>
      </xdr:spPr>
    </xdr:pic>
    <xdr:clientData/>
  </xdr:twoCellAnchor>
  <xdr:twoCellAnchor editAs="oneCell">
    <xdr:from>
      <xdr:col>0</xdr:col>
      <xdr:colOff>0</xdr:colOff>
      <xdr:row>57</xdr:row>
      <xdr:rowOff>7620</xdr:rowOff>
    </xdr:from>
    <xdr:to>
      <xdr:col>7</xdr:col>
      <xdr:colOff>138229</xdr:colOff>
      <xdr:row>62</xdr:row>
      <xdr:rowOff>136535</xdr:rowOff>
    </xdr:to>
    <xdr:pic>
      <xdr:nvPicPr>
        <xdr:cNvPr id="6" name="Imagen 5">
          <a:extLst>
            <a:ext uri="{FF2B5EF4-FFF2-40B4-BE49-F238E27FC236}">
              <a16:creationId xmlns:a16="http://schemas.microsoft.com/office/drawing/2014/main" id="{5323CF8A-CC4A-3A71-A377-D6D747C64B08}"/>
            </a:ext>
          </a:extLst>
        </xdr:cNvPr>
        <xdr:cNvPicPr>
          <a:picLocks noChangeAspect="1"/>
        </xdr:cNvPicPr>
      </xdr:nvPicPr>
      <xdr:blipFill>
        <a:blip xmlns:r="http://schemas.openxmlformats.org/officeDocument/2006/relationships" r:embed="rId5"/>
        <a:stretch>
          <a:fillRect/>
        </a:stretch>
      </xdr:blipFill>
      <xdr:spPr>
        <a:xfrm>
          <a:off x="0" y="10431780"/>
          <a:ext cx="5685589" cy="1043315"/>
        </a:xfrm>
        <a:prstGeom prst="rect">
          <a:avLst/>
        </a:prstGeom>
      </xdr:spPr>
    </xdr:pic>
    <xdr:clientData/>
  </xdr:twoCellAnchor>
  <xdr:twoCellAnchor editAs="oneCell">
    <xdr:from>
      <xdr:col>0</xdr:col>
      <xdr:colOff>0</xdr:colOff>
      <xdr:row>60</xdr:row>
      <xdr:rowOff>30480</xdr:rowOff>
    </xdr:from>
    <xdr:to>
      <xdr:col>10</xdr:col>
      <xdr:colOff>489066</xdr:colOff>
      <xdr:row>87</xdr:row>
      <xdr:rowOff>56953</xdr:rowOff>
    </xdr:to>
    <xdr:pic>
      <xdr:nvPicPr>
        <xdr:cNvPr id="7" name="Imagen 6">
          <a:extLst>
            <a:ext uri="{FF2B5EF4-FFF2-40B4-BE49-F238E27FC236}">
              <a16:creationId xmlns:a16="http://schemas.microsoft.com/office/drawing/2014/main" id="{4AA1436B-3B5E-5FF8-058D-9029CED6039B}"/>
            </a:ext>
          </a:extLst>
        </xdr:cNvPr>
        <xdr:cNvPicPr>
          <a:picLocks noChangeAspect="1"/>
        </xdr:cNvPicPr>
      </xdr:nvPicPr>
      <xdr:blipFill>
        <a:blip xmlns:r="http://schemas.openxmlformats.org/officeDocument/2006/relationships" r:embed="rId6"/>
        <a:stretch>
          <a:fillRect/>
        </a:stretch>
      </xdr:blipFill>
      <xdr:spPr>
        <a:xfrm>
          <a:off x="0" y="11231880"/>
          <a:ext cx="8337666" cy="4964233"/>
        </a:xfrm>
        <a:prstGeom prst="rect">
          <a:avLst/>
        </a:prstGeom>
      </xdr:spPr>
    </xdr:pic>
    <xdr:clientData/>
  </xdr:twoCellAnchor>
  <xdr:twoCellAnchor>
    <xdr:from>
      <xdr:col>8</xdr:col>
      <xdr:colOff>601980</xdr:colOff>
      <xdr:row>13</xdr:row>
      <xdr:rowOff>129540</xdr:rowOff>
    </xdr:from>
    <xdr:to>
      <xdr:col>14</xdr:col>
      <xdr:colOff>609600</xdr:colOff>
      <xdr:row>30</xdr:row>
      <xdr:rowOff>64770</xdr:rowOff>
    </xdr:to>
    <xdr:graphicFrame macro="">
      <xdr:nvGraphicFramePr>
        <xdr:cNvPr id="8" name="Gráfico 7">
          <a:extLst>
            <a:ext uri="{FF2B5EF4-FFF2-40B4-BE49-F238E27FC236}">
              <a16:creationId xmlns:a16="http://schemas.microsoft.com/office/drawing/2014/main" id="{C325F0F6-7C84-D0E3-F58C-8B85DF8163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594360</xdr:colOff>
      <xdr:row>0</xdr:row>
      <xdr:rowOff>0</xdr:rowOff>
    </xdr:from>
    <xdr:to>
      <xdr:col>14</xdr:col>
      <xdr:colOff>533400</xdr:colOff>
      <xdr:row>13</xdr:row>
      <xdr:rowOff>137160</xdr:rowOff>
    </xdr:to>
    <xdr:graphicFrame macro="">
      <xdr:nvGraphicFramePr>
        <xdr:cNvPr id="9" name="Gráfico 8">
          <a:extLst>
            <a:ext uri="{FF2B5EF4-FFF2-40B4-BE49-F238E27FC236}">
              <a16:creationId xmlns:a16="http://schemas.microsoft.com/office/drawing/2014/main" id="{A4B4A4F1-0FD9-EEF5-F83D-B9ED18B324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97268</xdr:colOff>
      <xdr:row>61</xdr:row>
      <xdr:rowOff>107352</xdr:rowOff>
    </xdr:from>
    <xdr:to>
      <xdr:col>15</xdr:col>
      <xdr:colOff>13896</xdr:colOff>
      <xdr:row>76</xdr:row>
      <xdr:rowOff>107353</xdr:rowOff>
    </xdr:to>
    <xdr:graphicFrame macro="">
      <xdr:nvGraphicFramePr>
        <xdr:cNvPr id="10" name="Gráfico 9">
          <a:extLst>
            <a:ext uri="{FF2B5EF4-FFF2-40B4-BE49-F238E27FC236}">
              <a16:creationId xmlns:a16="http://schemas.microsoft.com/office/drawing/2014/main" id="{708050C7-FDC3-7AC9-8714-1CA9FF5C55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761999</xdr:colOff>
      <xdr:row>87</xdr:row>
      <xdr:rowOff>170330</xdr:rowOff>
    </xdr:from>
    <xdr:to>
      <xdr:col>19</xdr:col>
      <xdr:colOff>560293</xdr:colOff>
      <xdr:row>104</xdr:row>
      <xdr:rowOff>52892</xdr:rowOff>
    </xdr:to>
    <xdr:graphicFrame macro="">
      <xdr:nvGraphicFramePr>
        <xdr:cNvPr id="11" name="Gráfico 10">
          <a:extLst>
            <a:ext uri="{FF2B5EF4-FFF2-40B4-BE49-F238E27FC236}">
              <a16:creationId xmlns:a16="http://schemas.microsoft.com/office/drawing/2014/main" id="{47797629-383A-89F8-63FD-94593306D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xdr:col>
      <xdr:colOff>739587</xdr:colOff>
      <xdr:row>106</xdr:row>
      <xdr:rowOff>26893</xdr:rowOff>
    </xdr:from>
    <xdr:to>
      <xdr:col>15</xdr:col>
      <xdr:colOff>761999</xdr:colOff>
      <xdr:row>125</xdr:row>
      <xdr:rowOff>17928</xdr:rowOff>
    </xdr:to>
    <xdr:graphicFrame macro="">
      <xdr:nvGraphicFramePr>
        <xdr:cNvPr id="13" name="Gráfico 12">
          <a:extLst>
            <a:ext uri="{FF2B5EF4-FFF2-40B4-BE49-F238E27FC236}">
              <a16:creationId xmlns:a16="http://schemas.microsoft.com/office/drawing/2014/main" id="{E01642B8-9FAF-7A40-022E-B451E5014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746760</xdr:colOff>
      <xdr:row>16</xdr:row>
      <xdr:rowOff>76200</xdr:rowOff>
    </xdr:from>
    <xdr:to>
      <xdr:col>23</xdr:col>
      <xdr:colOff>432991</xdr:colOff>
      <xdr:row>35</xdr:row>
      <xdr:rowOff>71494</xdr:rowOff>
    </xdr:to>
    <xdr:pic>
      <xdr:nvPicPr>
        <xdr:cNvPr id="2" name="Imagen 1">
          <a:extLst>
            <a:ext uri="{FF2B5EF4-FFF2-40B4-BE49-F238E27FC236}">
              <a16:creationId xmlns:a16="http://schemas.microsoft.com/office/drawing/2014/main" id="{D5C5C8E1-80F4-410F-AAAC-F28F53E4A010}"/>
            </a:ext>
          </a:extLst>
        </xdr:cNvPr>
        <xdr:cNvPicPr>
          <a:picLocks noChangeAspect="1"/>
        </xdr:cNvPicPr>
      </xdr:nvPicPr>
      <xdr:blipFill>
        <a:blip xmlns:r="http://schemas.openxmlformats.org/officeDocument/2006/relationships" r:embed="rId1"/>
        <a:stretch>
          <a:fillRect/>
        </a:stretch>
      </xdr:blipFill>
      <xdr:spPr>
        <a:xfrm>
          <a:off x="11049000" y="3002280"/>
          <a:ext cx="7611031" cy="3470014"/>
        </a:xfrm>
        <a:prstGeom prst="rect">
          <a:avLst/>
        </a:prstGeom>
      </xdr:spPr>
    </xdr:pic>
    <xdr:clientData/>
  </xdr:twoCellAnchor>
  <xdr:twoCellAnchor editAs="oneCell">
    <xdr:from>
      <xdr:col>14</xdr:col>
      <xdr:colOff>205740</xdr:colOff>
      <xdr:row>15</xdr:row>
      <xdr:rowOff>7620</xdr:rowOff>
    </xdr:from>
    <xdr:to>
      <xdr:col>24</xdr:col>
      <xdr:colOff>591026</xdr:colOff>
      <xdr:row>38</xdr:row>
      <xdr:rowOff>46525</xdr:rowOff>
    </xdr:to>
    <xdr:pic>
      <xdr:nvPicPr>
        <xdr:cNvPr id="3" name="Imagen 2">
          <a:extLst>
            <a:ext uri="{FF2B5EF4-FFF2-40B4-BE49-F238E27FC236}">
              <a16:creationId xmlns:a16="http://schemas.microsoft.com/office/drawing/2014/main" id="{211A9FA3-C13B-4D57-AA6B-2671AF6C7199}"/>
            </a:ext>
          </a:extLst>
        </xdr:cNvPr>
        <xdr:cNvPicPr>
          <a:picLocks noChangeAspect="1"/>
        </xdr:cNvPicPr>
      </xdr:nvPicPr>
      <xdr:blipFill>
        <a:blip xmlns:r="http://schemas.openxmlformats.org/officeDocument/2006/relationships" r:embed="rId2"/>
        <a:stretch>
          <a:fillRect/>
        </a:stretch>
      </xdr:blipFill>
      <xdr:spPr>
        <a:xfrm>
          <a:off x="11300460" y="2750820"/>
          <a:ext cx="8310086" cy="4245145"/>
        </a:xfrm>
        <a:prstGeom prst="rect">
          <a:avLst/>
        </a:prstGeom>
      </xdr:spPr>
    </xdr:pic>
    <xdr:clientData/>
  </xdr:twoCellAnchor>
  <xdr:twoCellAnchor editAs="oneCell">
    <xdr:from>
      <xdr:col>14</xdr:col>
      <xdr:colOff>403860</xdr:colOff>
      <xdr:row>13</xdr:row>
      <xdr:rowOff>167640</xdr:rowOff>
    </xdr:from>
    <xdr:to>
      <xdr:col>24</xdr:col>
      <xdr:colOff>707144</xdr:colOff>
      <xdr:row>37</xdr:row>
      <xdr:rowOff>137160</xdr:rowOff>
    </xdr:to>
    <xdr:pic>
      <xdr:nvPicPr>
        <xdr:cNvPr id="4" name="Imagen 3">
          <a:extLst>
            <a:ext uri="{FF2B5EF4-FFF2-40B4-BE49-F238E27FC236}">
              <a16:creationId xmlns:a16="http://schemas.microsoft.com/office/drawing/2014/main" id="{9A407925-7C18-4239-B334-FBA530D13A01}"/>
            </a:ext>
          </a:extLst>
        </xdr:cNvPr>
        <xdr:cNvPicPr>
          <a:picLocks noChangeAspect="1"/>
        </xdr:cNvPicPr>
      </xdr:nvPicPr>
      <xdr:blipFill>
        <a:blip xmlns:r="http://schemas.openxmlformats.org/officeDocument/2006/relationships" r:embed="rId3"/>
        <a:stretch>
          <a:fillRect/>
        </a:stretch>
      </xdr:blipFill>
      <xdr:spPr>
        <a:xfrm>
          <a:off x="11498580" y="2545080"/>
          <a:ext cx="8228084" cy="4358640"/>
        </a:xfrm>
        <a:prstGeom prst="rect">
          <a:avLst/>
        </a:prstGeom>
      </xdr:spPr>
    </xdr:pic>
    <xdr:clientData/>
  </xdr:twoCellAnchor>
  <xdr:twoCellAnchor editAs="oneCell">
    <xdr:from>
      <xdr:col>0</xdr:col>
      <xdr:colOff>0</xdr:colOff>
      <xdr:row>35</xdr:row>
      <xdr:rowOff>99060</xdr:rowOff>
    </xdr:from>
    <xdr:to>
      <xdr:col>11</xdr:col>
      <xdr:colOff>38100</xdr:colOff>
      <xdr:row>51</xdr:row>
      <xdr:rowOff>98183</xdr:rowOff>
    </xdr:to>
    <xdr:pic>
      <xdr:nvPicPr>
        <xdr:cNvPr id="5" name="Imagen 4">
          <a:extLst>
            <a:ext uri="{FF2B5EF4-FFF2-40B4-BE49-F238E27FC236}">
              <a16:creationId xmlns:a16="http://schemas.microsoft.com/office/drawing/2014/main" id="{54212C16-D3DC-47BD-9493-04F66F6AC79B}"/>
            </a:ext>
          </a:extLst>
        </xdr:cNvPr>
        <xdr:cNvPicPr>
          <a:picLocks noChangeAspect="1"/>
        </xdr:cNvPicPr>
      </xdr:nvPicPr>
      <xdr:blipFill>
        <a:blip xmlns:r="http://schemas.openxmlformats.org/officeDocument/2006/relationships" r:embed="rId4"/>
        <a:stretch>
          <a:fillRect/>
        </a:stretch>
      </xdr:blipFill>
      <xdr:spPr>
        <a:xfrm>
          <a:off x="0" y="6499860"/>
          <a:ext cx="8671560" cy="292520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120893</xdr:colOff>
      <xdr:row>126</xdr:row>
      <xdr:rowOff>108583</xdr:rowOff>
    </xdr:from>
    <xdr:to>
      <xdr:col>11</xdr:col>
      <xdr:colOff>514221</xdr:colOff>
      <xdr:row>141</xdr:row>
      <xdr:rowOff>136359</xdr:rowOff>
    </xdr:to>
    <xdr:pic>
      <xdr:nvPicPr>
        <xdr:cNvPr id="2" name="Imagen 1">
          <a:extLst>
            <a:ext uri="{FF2B5EF4-FFF2-40B4-BE49-F238E27FC236}">
              <a16:creationId xmlns:a16="http://schemas.microsoft.com/office/drawing/2014/main" id="{4B22499B-2873-18F4-CDB1-2805F1E19D2A}"/>
            </a:ext>
          </a:extLst>
        </xdr:cNvPr>
        <xdr:cNvPicPr>
          <a:picLocks noChangeAspect="1"/>
        </xdr:cNvPicPr>
      </xdr:nvPicPr>
      <xdr:blipFill>
        <a:blip xmlns:r="http://schemas.openxmlformats.org/officeDocument/2006/relationships" r:embed="rId1"/>
        <a:stretch>
          <a:fillRect/>
        </a:stretch>
      </xdr:blipFill>
      <xdr:spPr>
        <a:xfrm>
          <a:off x="8614952" y="19382701"/>
          <a:ext cx="4758131" cy="277153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4A39E759-AE8B-4EE6-A9C0-C55040982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C6766D8C-8126-44DE-BEF5-F12B4D3B08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17</xdr:col>
      <xdr:colOff>419100</xdr:colOff>
      <xdr:row>55</xdr:row>
      <xdr:rowOff>0</xdr:rowOff>
    </xdr:to>
    <xdr:graphicFrame macro="">
      <xdr:nvGraphicFramePr>
        <xdr:cNvPr id="4" name="Gráfico 1">
          <a:extLst>
            <a:ext uri="{FF2B5EF4-FFF2-40B4-BE49-F238E27FC236}">
              <a16:creationId xmlns:a16="http://schemas.microsoft.com/office/drawing/2014/main" id="{45C532C3-B8D5-44E3-9804-BF13B4782F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0</xdr:colOff>
      <xdr:row>16</xdr:row>
      <xdr:rowOff>0</xdr:rowOff>
    </xdr:from>
    <xdr:to>
      <xdr:col>10</xdr:col>
      <xdr:colOff>0</xdr:colOff>
      <xdr:row>33</xdr:row>
      <xdr:rowOff>0</xdr:rowOff>
    </xdr:to>
    <xdr:graphicFrame macro="">
      <xdr:nvGraphicFramePr>
        <xdr:cNvPr id="2" name="Gráfico 1">
          <a:extLst>
            <a:ext uri="{FF2B5EF4-FFF2-40B4-BE49-F238E27FC236}">
              <a16:creationId xmlns:a16="http://schemas.microsoft.com/office/drawing/2014/main" id="{838A9BA7-DC8F-4D17-BFA1-F41087D5ED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16</xdr:row>
      <xdr:rowOff>0</xdr:rowOff>
    </xdr:from>
    <xdr:to>
      <xdr:col>20</xdr:col>
      <xdr:colOff>0</xdr:colOff>
      <xdr:row>33</xdr:row>
      <xdr:rowOff>0</xdr:rowOff>
    </xdr:to>
    <xdr:graphicFrame macro="">
      <xdr:nvGraphicFramePr>
        <xdr:cNvPr id="3" name="Gráfico 1">
          <a:extLst>
            <a:ext uri="{FF2B5EF4-FFF2-40B4-BE49-F238E27FC236}">
              <a16:creationId xmlns:a16="http://schemas.microsoft.com/office/drawing/2014/main" id="{0905EA1C-A622-4F96-A3E0-3DC5932E14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38</xdr:row>
      <xdr:rowOff>0</xdr:rowOff>
    </xdr:from>
    <xdr:to>
      <xdr:col>18</xdr:col>
      <xdr:colOff>182880</xdr:colOff>
      <xdr:row>55</xdr:row>
      <xdr:rowOff>0</xdr:rowOff>
    </xdr:to>
    <xdr:graphicFrame macro="">
      <xdr:nvGraphicFramePr>
        <xdr:cNvPr id="4" name="Gráfico 1">
          <a:extLst>
            <a:ext uri="{FF2B5EF4-FFF2-40B4-BE49-F238E27FC236}">
              <a16:creationId xmlns:a16="http://schemas.microsoft.com/office/drawing/2014/main" id="{25ED90B8-54A6-4DEA-B4A4-3E3457503E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B5A82F68-0E26-FDF8-5AE1-5602E52326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8</xdr:col>
      <xdr:colOff>868680</xdr:colOff>
      <xdr:row>17</xdr:row>
      <xdr:rowOff>121920</xdr:rowOff>
    </xdr:from>
    <xdr:to>
      <xdr:col>13</xdr:col>
      <xdr:colOff>563880</xdr:colOff>
      <xdr:row>32</xdr:row>
      <xdr:rowOff>121920</xdr:rowOff>
    </xdr:to>
    <xdr:graphicFrame macro="">
      <xdr:nvGraphicFramePr>
        <xdr:cNvPr id="2" name="Gráfico 1">
          <a:extLst>
            <a:ext uri="{FF2B5EF4-FFF2-40B4-BE49-F238E27FC236}">
              <a16:creationId xmlns:a16="http://schemas.microsoft.com/office/drawing/2014/main" id="{E18C757A-28D6-4FE7-A0D0-86FE00228B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1201270</xdr:colOff>
      <xdr:row>36</xdr:row>
      <xdr:rowOff>0</xdr:rowOff>
    </xdr:from>
    <xdr:to>
      <xdr:col>12</xdr:col>
      <xdr:colOff>1030941</xdr:colOff>
      <xdr:row>51</xdr:row>
      <xdr:rowOff>0</xdr:rowOff>
    </xdr:to>
    <xdr:graphicFrame macro="">
      <xdr:nvGraphicFramePr>
        <xdr:cNvPr id="3" name="Gráfico 2">
          <a:extLst>
            <a:ext uri="{FF2B5EF4-FFF2-40B4-BE49-F238E27FC236}">
              <a16:creationId xmlns:a16="http://schemas.microsoft.com/office/drawing/2014/main" id="{AC15C6A0-0F07-4049-9DF4-38CA3C229C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62753</xdr:colOff>
      <xdr:row>18</xdr:row>
      <xdr:rowOff>161365</xdr:rowOff>
    </xdr:from>
    <xdr:to>
      <xdr:col>10</xdr:col>
      <xdr:colOff>62753</xdr:colOff>
      <xdr:row>34</xdr:row>
      <xdr:rowOff>161365</xdr:rowOff>
    </xdr:to>
    <xdr:graphicFrame macro="">
      <xdr:nvGraphicFramePr>
        <xdr:cNvPr id="2" name="Chart 1">
          <a:extLst>
            <a:ext uri="{FF2B5EF4-FFF2-40B4-BE49-F238E27FC236}">
              <a16:creationId xmlns:a16="http://schemas.microsoft.com/office/drawing/2014/main" id="{9D48BC47-3AC0-4806-8C7F-F5C83A8FC7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33</xdr:row>
      <xdr:rowOff>0</xdr:rowOff>
    </xdr:from>
    <xdr:to>
      <xdr:col>21</xdr:col>
      <xdr:colOff>0</xdr:colOff>
      <xdr:row>50</xdr:row>
      <xdr:rowOff>0</xdr:rowOff>
    </xdr:to>
    <xdr:graphicFrame macro="">
      <xdr:nvGraphicFramePr>
        <xdr:cNvPr id="3" name="Chart 2">
          <a:extLst>
            <a:ext uri="{FF2B5EF4-FFF2-40B4-BE49-F238E27FC236}">
              <a16:creationId xmlns:a16="http://schemas.microsoft.com/office/drawing/2014/main" id="{C1F17AC9-F4D0-4D4A-B7D1-9950619BD2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125506</xdr:colOff>
      <xdr:row>17</xdr:row>
      <xdr:rowOff>98612</xdr:rowOff>
    </xdr:from>
    <xdr:to>
      <xdr:col>21</xdr:col>
      <xdr:colOff>125506</xdr:colOff>
      <xdr:row>33</xdr:row>
      <xdr:rowOff>98612</xdr:rowOff>
    </xdr:to>
    <xdr:graphicFrame macro="">
      <xdr:nvGraphicFramePr>
        <xdr:cNvPr id="4" name="Chart 3">
          <a:extLst>
            <a:ext uri="{FF2B5EF4-FFF2-40B4-BE49-F238E27FC236}">
              <a16:creationId xmlns:a16="http://schemas.microsoft.com/office/drawing/2014/main" id="{E53A4A68-A72C-4658-89AD-AEA52F36E8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197224</xdr:colOff>
      <xdr:row>50</xdr:row>
      <xdr:rowOff>143435</xdr:rowOff>
    </xdr:from>
    <xdr:to>
      <xdr:col>17</xdr:col>
      <xdr:colOff>591671</xdr:colOff>
      <xdr:row>68</xdr:row>
      <xdr:rowOff>35859</xdr:rowOff>
    </xdr:to>
    <xdr:graphicFrame macro="">
      <xdr:nvGraphicFramePr>
        <xdr:cNvPr id="5" name="Chart 3">
          <a:extLst>
            <a:ext uri="{FF2B5EF4-FFF2-40B4-BE49-F238E27FC236}">
              <a16:creationId xmlns:a16="http://schemas.microsoft.com/office/drawing/2014/main" id="{A23799D5-D175-4FEB-BBCB-1DCCAC6896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6</xdr:col>
      <xdr:colOff>598714</xdr:colOff>
      <xdr:row>7</xdr:row>
      <xdr:rowOff>101237</xdr:rowOff>
    </xdr:from>
    <xdr:to>
      <xdr:col>13</xdr:col>
      <xdr:colOff>620486</xdr:colOff>
      <xdr:row>23</xdr:row>
      <xdr:rowOff>152400</xdr:rowOff>
    </xdr:to>
    <xdr:graphicFrame macro="">
      <xdr:nvGraphicFramePr>
        <xdr:cNvPr id="2" name="Chart 8">
          <a:extLst>
            <a:ext uri="{FF2B5EF4-FFF2-40B4-BE49-F238E27FC236}">
              <a16:creationId xmlns:a16="http://schemas.microsoft.com/office/drawing/2014/main" id="{59328675-8F97-4AD2-A03F-5774815B28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403860</xdr:colOff>
      <xdr:row>9</xdr:row>
      <xdr:rowOff>45720</xdr:rowOff>
    </xdr:from>
    <xdr:to>
      <xdr:col>7</xdr:col>
      <xdr:colOff>280767</xdr:colOff>
      <xdr:row>33</xdr:row>
      <xdr:rowOff>172582</xdr:rowOff>
    </xdr:to>
    <xdr:graphicFrame macro="">
      <xdr:nvGraphicFramePr>
        <xdr:cNvPr id="2" name="Chart 8">
          <a:extLst>
            <a:ext uri="{FF2B5EF4-FFF2-40B4-BE49-F238E27FC236}">
              <a16:creationId xmlns:a16="http://schemas.microsoft.com/office/drawing/2014/main" id="{191B46E5-3C03-490C-8A9B-E844765D91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13</xdr:col>
      <xdr:colOff>224117</xdr:colOff>
      <xdr:row>2</xdr:row>
      <xdr:rowOff>53788</xdr:rowOff>
    </xdr:from>
    <xdr:to>
      <xdr:col>19</xdr:col>
      <xdr:colOff>650331</xdr:colOff>
      <xdr:row>28</xdr:row>
      <xdr:rowOff>1356</xdr:rowOff>
    </xdr:to>
    <xdr:graphicFrame macro="">
      <xdr:nvGraphicFramePr>
        <xdr:cNvPr id="2" name="Gráfico 1">
          <a:extLst>
            <a:ext uri="{FF2B5EF4-FFF2-40B4-BE49-F238E27FC236}">
              <a16:creationId xmlns:a16="http://schemas.microsoft.com/office/drawing/2014/main" id="{0D72D4E1-6843-7841-8FE5-AC8EF8D244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622659</xdr:colOff>
      <xdr:row>2</xdr:row>
      <xdr:rowOff>17929</xdr:rowOff>
    </xdr:from>
    <xdr:to>
      <xdr:col>26</xdr:col>
      <xdr:colOff>259977</xdr:colOff>
      <xdr:row>27</xdr:row>
      <xdr:rowOff>144791</xdr:rowOff>
    </xdr:to>
    <xdr:graphicFrame macro="">
      <xdr:nvGraphicFramePr>
        <xdr:cNvPr id="4" name="Gráfico 3">
          <a:extLst>
            <a:ext uri="{FF2B5EF4-FFF2-40B4-BE49-F238E27FC236}">
              <a16:creationId xmlns:a16="http://schemas.microsoft.com/office/drawing/2014/main" id="{2E75B2F4-5BD2-45D4-881C-BFA989D568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12</xdr:col>
      <xdr:colOff>313764</xdr:colOff>
      <xdr:row>2</xdr:row>
      <xdr:rowOff>1</xdr:rowOff>
    </xdr:from>
    <xdr:to>
      <xdr:col>20</xdr:col>
      <xdr:colOff>31768</xdr:colOff>
      <xdr:row>27</xdr:row>
      <xdr:rowOff>126863</xdr:rowOff>
    </xdr:to>
    <xdr:graphicFrame macro="">
      <xdr:nvGraphicFramePr>
        <xdr:cNvPr id="2" name="Gráfico 1">
          <a:extLst>
            <a:ext uri="{FF2B5EF4-FFF2-40B4-BE49-F238E27FC236}">
              <a16:creationId xmlns:a16="http://schemas.microsoft.com/office/drawing/2014/main" id="{3431AC4D-32CF-4072-BCC8-4BA90D7EBD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759716</xdr:colOff>
      <xdr:row>2</xdr:row>
      <xdr:rowOff>53789</xdr:rowOff>
    </xdr:from>
    <xdr:to>
      <xdr:col>27</xdr:col>
      <xdr:colOff>0</xdr:colOff>
      <xdr:row>28</xdr:row>
      <xdr:rowOff>1357</xdr:rowOff>
    </xdr:to>
    <xdr:graphicFrame macro="">
      <xdr:nvGraphicFramePr>
        <xdr:cNvPr id="3" name="Gráfico 2">
          <a:extLst>
            <a:ext uri="{FF2B5EF4-FFF2-40B4-BE49-F238E27FC236}">
              <a16:creationId xmlns:a16="http://schemas.microsoft.com/office/drawing/2014/main" id="{BCDC79A4-7D02-4BB7-9F48-EF02E8C93A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632012</xdr:colOff>
      <xdr:row>32</xdr:row>
      <xdr:rowOff>26895</xdr:rowOff>
    </xdr:from>
    <xdr:to>
      <xdr:col>22</xdr:col>
      <xdr:colOff>44823</xdr:colOff>
      <xdr:row>52</xdr:row>
      <xdr:rowOff>125506</xdr:rowOff>
    </xdr:to>
    <xdr:graphicFrame macro="">
      <xdr:nvGraphicFramePr>
        <xdr:cNvPr id="4" name="Gráfico 3">
          <a:extLst>
            <a:ext uri="{FF2B5EF4-FFF2-40B4-BE49-F238E27FC236}">
              <a16:creationId xmlns:a16="http://schemas.microsoft.com/office/drawing/2014/main" id="{00F5F7C7-69A8-236A-AA02-AD5472ADD7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34636</xdr:colOff>
      <xdr:row>49</xdr:row>
      <xdr:rowOff>57149</xdr:rowOff>
    </xdr:from>
    <xdr:to>
      <xdr:col>13</xdr:col>
      <xdr:colOff>627176</xdr:colOff>
      <xdr:row>64</xdr:row>
      <xdr:rowOff>123206</xdr:rowOff>
    </xdr:to>
    <xdr:graphicFrame macro="">
      <xdr:nvGraphicFramePr>
        <xdr:cNvPr id="2" name="Chart 1">
          <a:extLst>
            <a:ext uri="{FF2B5EF4-FFF2-40B4-BE49-F238E27FC236}">
              <a16:creationId xmlns:a16="http://schemas.microsoft.com/office/drawing/2014/main" id="{50CB6AB6-E93C-4C7C-BB82-DF11C4B0C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783772</xdr:colOff>
      <xdr:row>62</xdr:row>
      <xdr:rowOff>119744</xdr:rowOff>
    </xdr:from>
    <xdr:to>
      <xdr:col>23</xdr:col>
      <xdr:colOff>84722</xdr:colOff>
      <xdr:row>78</xdr:row>
      <xdr:rowOff>3960</xdr:rowOff>
    </xdr:to>
    <xdr:graphicFrame macro="">
      <xdr:nvGraphicFramePr>
        <xdr:cNvPr id="4" name="Chart 3">
          <a:extLst>
            <a:ext uri="{FF2B5EF4-FFF2-40B4-BE49-F238E27FC236}">
              <a16:creationId xmlns:a16="http://schemas.microsoft.com/office/drawing/2014/main" id="{751A5FAC-171D-4F43-8697-AFB1F8EF84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13</xdr:col>
      <xdr:colOff>391519</xdr:colOff>
      <xdr:row>39</xdr:row>
      <xdr:rowOff>194511</xdr:rowOff>
    </xdr:from>
    <xdr:to>
      <xdr:col>17</xdr:col>
      <xdr:colOff>555171</xdr:colOff>
      <xdr:row>52</xdr:row>
      <xdr:rowOff>116844</xdr:rowOff>
    </xdr:to>
    <xdr:graphicFrame macro="">
      <xdr:nvGraphicFramePr>
        <xdr:cNvPr id="2" name="Chart 8">
          <a:extLst>
            <a:ext uri="{FF2B5EF4-FFF2-40B4-BE49-F238E27FC236}">
              <a16:creationId xmlns:a16="http://schemas.microsoft.com/office/drawing/2014/main" id="{28EDEB0C-6FCC-4425-864A-BCA3BF0476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508331</xdr:colOff>
      <xdr:row>11</xdr:row>
      <xdr:rowOff>184362</xdr:rowOff>
    </xdr:from>
    <xdr:to>
      <xdr:col>10</xdr:col>
      <xdr:colOff>399020</xdr:colOff>
      <xdr:row>23</xdr:row>
      <xdr:rowOff>120438</xdr:rowOff>
    </xdr:to>
    <xdr:graphicFrame macro="">
      <xdr:nvGraphicFramePr>
        <xdr:cNvPr id="3" name="Chart 2">
          <a:extLst>
            <a:ext uri="{FF2B5EF4-FFF2-40B4-BE49-F238E27FC236}">
              <a16:creationId xmlns:a16="http://schemas.microsoft.com/office/drawing/2014/main" id="{F6536853-4AF4-4F3B-A4D3-FB3526CFF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408065</xdr:colOff>
      <xdr:row>9</xdr:row>
      <xdr:rowOff>186735</xdr:rowOff>
    </xdr:from>
    <xdr:to>
      <xdr:col>19</xdr:col>
      <xdr:colOff>455320</xdr:colOff>
      <xdr:row>22</xdr:row>
      <xdr:rowOff>134849</xdr:rowOff>
    </xdr:to>
    <xdr:graphicFrame macro="">
      <xdr:nvGraphicFramePr>
        <xdr:cNvPr id="4" name="Chart 3">
          <a:extLst>
            <a:ext uri="{FF2B5EF4-FFF2-40B4-BE49-F238E27FC236}">
              <a16:creationId xmlns:a16="http://schemas.microsoft.com/office/drawing/2014/main" id="{32F09F3A-4C6A-4D06-94C9-4209B6A0F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241050</xdr:colOff>
      <xdr:row>40</xdr:row>
      <xdr:rowOff>112962</xdr:rowOff>
    </xdr:from>
    <xdr:to>
      <xdr:col>10</xdr:col>
      <xdr:colOff>445477</xdr:colOff>
      <xdr:row>52</xdr:row>
      <xdr:rowOff>185080</xdr:rowOff>
    </xdr:to>
    <xdr:graphicFrame macro="">
      <xdr:nvGraphicFramePr>
        <xdr:cNvPr id="5" name="Chart 4">
          <a:extLst>
            <a:ext uri="{FF2B5EF4-FFF2-40B4-BE49-F238E27FC236}">
              <a16:creationId xmlns:a16="http://schemas.microsoft.com/office/drawing/2014/main" id="{302463E1-969C-4568-9967-AB5ACB3841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336849</xdr:colOff>
      <xdr:row>80</xdr:row>
      <xdr:rowOff>88653</xdr:rowOff>
    </xdr:from>
    <xdr:to>
      <xdr:col>9</xdr:col>
      <xdr:colOff>395378</xdr:colOff>
      <xdr:row>91</xdr:row>
      <xdr:rowOff>37518</xdr:rowOff>
    </xdr:to>
    <xdr:graphicFrame macro="">
      <xdr:nvGraphicFramePr>
        <xdr:cNvPr id="6" name="Chart 5">
          <a:extLst>
            <a:ext uri="{FF2B5EF4-FFF2-40B4-BE49-F238E27FC236}">
              <a16:creationId xmlns:a16="http://schemas.microsoft.com/office/drawing/2014/main" id="{F2761DE9-B8F8-4582-AF53-AD06DE1BA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516922</xdr:colOff>
      <xdr:row>8</xdr:row>
      <xdr:rowOff>117747</xdr:rowOff>
    </xdr:from>
    <xdr:to>
      <xdr:col>27</xdr:col>
      <xdr:colOff>627821</xdr:colOff>
      <xdr:row>19</xdr:row>
      <xdr:rowOff>62394</xdr:rowOff>
    </xdr:to>
    <xdr:graphicFrame macro="">
      <xdr:nvGraphicFramePr>
        <xdr:cNvPr id="7" name="Chart 6">
          <a:extLst>
            <a:ext uri="{FF2B5EF4-FFF2-40B4-BE49-F238E27FC236}">
              <a16:creationId xmlns:a16="http://schemas.microsoft.com/office/drawing/2014/main" id="{05F9E462-F16A-4199-AC7D-0535D4F08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24</xdr:col>
      <xdr:colOff>575490</xdr:colOff>
      <xdr:row>42</xdr:row>
      <xdr:rowOff>138595</xdr:rowOff>
    </xdr:from>
    <xdr:to>
      <xdr:col>28</xdr:col>
      <xdr:colOff>197616</xdr:colOff>
      <xdr:row>54</xdr:row>
      <xdr:rowOff>18209</xdr:rowOff>
    </xdr:to>
    <xdr:graphicFrame macro="">
      <xdr:nvGraphicFramePr>
        <xdr:cNvPr id="8" name="Chart 7">
          <a:extLst>
            <a:ext uri="{FF2B5EF4-FFF2-40B4-BE49-F238E27FC236}">
              <a16:creationId xmlns:a16="http://schemas.microsoft.com/office/drawing/2014/main" id="{9DA4238A-5B10-4EFE-8CB6-19042C5DB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91378</xdr:colOff>
      <xdr:row>40</xdr:row>
      <xdr:rowOff>0</xdr:rowOff>
    </xdr:from>
    <xdr:to>
      <xdr:col>21</xdr:col>
      <xdr:colOff>511097</xdr:colOff>
      <xdr:row>52</xdr:row>
      <xdr:rowOff>77438</xdr:rowOff>
    </xdr:to>
    <xdr:graphicFrame macro="">
      <xdr:nvGraphicFramePr>
        <xdr:cNvPr id="9" name="Chart 8">
          <a:extLst>
            <a:ext uri="{FF2B5EF4-FFF2-40B4-BE49-F238E27FC236}">
              <a16:creationId xmlns:a16="http://schemas.microsoft.com/office/drawing/2014/main" id="{443AE5A6-FC1E-467E-84A8-DC0EBED20F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31</xdr:col>
      <xdr:colOff>1447800</xdr:colOff>
      <xdr:row>11</xdr:row>
      <xdr:rowOff>169334</xdr:rowOff>
    </xdr:from>
    <xdr:to>
      <xdr:col>36</xdr:col>
      <xdr:colOff>406400</xdr:colOff>
      <xdr:row>26</xdr:row>
      <xdr:rowOff>177801</xdr:rowOff>
    </xdr:to>
    <xdr:graphicFrame macro="">
      <xdr:nvGraphicFramePr>
        <xdr:cNvPr id="10" name="Chart 9">
          <a:extLst>
            <a:ext uri="{FF2B5EF4-FFF2-40B4-BE49-F238E27FC236}">
              <a16:creationId xmlns:a16="http://schemas.microsoft.com/office/drawing/2014/main" id="{D4CB85BE-6028-45F2-941B-E5A592135A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93446</xdr:colOff>
      <xdr:row>83</xdr:row>
      <xdr:rowOff>152400</xdr:rowOff>
    </xdr:from>
    <xdr:to>
      <xdr:col>24</xdr:col>
      <xdr:colOff>1100437</xdr:colOff>
      <xdr:row>103</xdr:row>
      <xdr:rowOff>-1</xdr:rowOff>
    </xdr:to>
    <xdr:graphicFrame macro="">
      <xdr:nvGraphicFramePr>
        <xdr:cNvPr id="11" name="Gráfico 10">
          <a:extLst>
            <a:ext uri="{FF2B5EF4-FFF2-40B4-BE49-F238E27FC236}">
              <a16:creationId xmlns:a16="http://schemas.microsoft.com/office/drawing/2014/main" id="{0B6E6A25-3E73-2FC4-1AF0-90B693248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e08b1edb8b040875/Valentina/Subsidies-Senegal/Updated_simul_resul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andre/Downloads/simul_results_Baseline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1.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baseline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s://worldbankgroup-my.sharepoint.com/personal/dvalderramagonza_worldbank_org/Documents/SenSim%20Tool/JTR/Energy_reform/results/simul_results_scenario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Fuels_pmts_info"/>
      <sheetName val="elec_pmts_info"/>
      <sheetName val="labels"/>
      <sheetName val="single_policy"/>
      <sheetName val="Parameters"/>
      <sheetName val="F1"/>
      <sheetName val="Elec_Coverage"/>
      <sheetName val="Fuels_Coverage"/>
      <sheetName val="RI"/>
      <sheetName val="Elec_RI"/>
      <sheetName val="Fuels_RI"/>
      <sheetName val="Total_RI"/>
      <sheetName val="AI"/>
      <sheetName val="Elec_AI"/>
      <sheetName val="Fuels_AI"/>
      <sheetName val="Total_AI"/>
      <sheetName val="RI_Con"/>
      <sheetName val="Fuels_RI_Con"/>
      <sheetName val="Marginal Contributions"/>
      <sheetName val="Fiscal Gains"/>
      <sheetName val="Decile Inc. Comparisons"/>
      <sheetName val="MC Comparisons"/>
      <sheetName val="stats"/>
      <sheetName val="stats1"/>
      <sheetName val="stats2"/>
    </sheetNames>
    <sheetDataSet>
      <sheetData sheetId="0" refreshError="1"/>
      <sheetData sheetId="1" refreshError="1"/>
      <sheetData sheetId="2" refreshError="1"/>
      <sheetData sheetId="3" refreshError="1"/>
      <sheetData sheetId="4">
        <row r="6">
          <cell r="E6">
            <v>158.4</v>
          </cell>
        </row>
      </sheetData>
      <sheetData sheetId="5">
        <row r="2">
          <cell r="B2" t="str">
            <v>Electricity VAT</v>
          </cell>
          <cell r="F2" t="str">
            <v>Baseline</v>
          </cell>
          <cell r="J2" t="str">
            <v>Electricity VAT</v>
          </cell>
          <cell r="K2" t="str">
            <v>Electricity Subsidies</v>
          </cell>
          <cell r="L2" t="str">
            <v>Electricity Total</v>
          </cell>
          <cell r="M2" t="str">
            <v>Fuel VAT</v>
          </cell>
          <cell r="N2" t="str">
            <v>Fuel Subsidies</v>
          </cell>
          <cell r="O2" t="str">
            <v>Fuel Total</v>
          </cell>
          <cell r="P2" t="str">
            <v>All Policies</v>
          </cell>
          <cell r="Q2" t="str">
            <v>Electricity VAT</v>
          </cell>
          <cell r="R2" t="str">
            <v>Electricity Subsidies</v>
          </cell>
          <cell r="S2" t="str">
            <v>Electricity Total</v>
          </cell>
          <cell r="T2" t="str">
            <v>Fuel VAT</v>
          </cell>
          <cell r="U2" t="str">
            <v>Fuel Subsidies</v>
          </cell>
          <cell r="V2" t="str">
            <v>Fuel Total</v>
          </cell>
          <cell r="W2" t="str">
            <v>All Policies</v>
          </cell>
        </row>
        <row r="3">
          <cell r="F3" t="str">
            <v>Reform 1</v>
          </cell>
          <cell r="J3" t="str">
            <v>VAT</v>
          </cell>
          <cell r="K3" t="str">
            <v>Direct</v>
          </cell>
          <cell r="L3" t="str">
            <v>VAT</v>
          </cell>
          <cell r="M3" t="str">
            <v>VAT</v>
          </cell>
          <cell r="N3" t="str">
            <v>Direct</v>
          </cell>
          <cell r="O3" t="str">
            <v>VAT</v>
          </cell>
          <cell r="P3" t="str">
            <v>VAT</v>
          </cell>
          <cell r="Q3" t="str">
            <v>vat_elec</v>
          </cell>
          <cell r="R3" t="str">
            <v>subsidy_elec_direct</v>
          </cell>
          <cell r="S3" t="str">
            <v>vat_elec</v>
          </cell>
          <cell r="T3" t="str">
            <v>vat_fuel</v>
          </cell>
          <cell r="U3" t="str">
            <v>subsidy_fuel_direct</v>
          </cell>
          <cell r="V3" t="str">
            <v>vat_fuel</v>
          </cell>
          <cell r="W3" t="str">
            <v>all_tax</v>
          </cell>
        </row>
        <row r="4">
          <cell r="F4" t="str">
            <v>Reform 2</v>
          </cell>
          <cell r="K4" t="str">
            <v>Indirect</v>
          </cell>
          <cell r="L4" t="str">
            <v>Subsidies</v>
          </cell>
          <cell r="N4" t="str">
            <v>Indirect</v>
          </cell>
          <cell r="O4" t="str">
            <v>Subsidies</v>
          </cell>
          <cell r="P4" t="str">
            <v>Subsidies</v>
          </cell>
          <cell r="R4" t="str">
            <v>subsidy_elec_indirect</v>
          </cell>
          <cell r="S4" t="str">
            <v>subsidy_elec</v>
          </cell>
          <cell r="U4" t="str">
            <v>subsidy_fuel_indirect</v>
          </cell>
          <cell r="V4" t="str">
            <v>subsidy_fuel</v>
          </cell>
          <cell r="W4" t="str">
            <v>all_subs</v>
          </cell>
        </row>
        <row r="5">
          <cell r="K5" t="str">
            <v>Total</v>
          </cell>
          <cell r="L5" t="str">
            <v>Total</v>
          </cell>
          <cell r="N5" t="str">
            <v>Total</v>
          </cell>
          <cell r="O5" t="str">
            <v>Total</v>
          </cell>
          <cell r="P5" t="str">
            <v>Total</v>
          </cell>
          <cell r="R5" t="str">
            <v>subsidy_elec</v>
          </cell>
          <cell r="S5" t="str">
            <v>all_elec</v>
          </cell>
          <cell r="U5" t="str">
            <v>subsidy_fuel</v>
          </cell>
          <cell r="V5" t="str">
            <v>all_fuel</v>
          </cell>
          <cell r="W5" t="str">
            <v>all_policies</v>
          </cell>
        </row>
      </sheetData>
      <sheetData sheetId="6" refreshError="1"/>
      <sheetData sheetId="7">
        <row r="16">
          <cell r="E16">
            <v>0.41957356893675063</v>
          </cell>
        </row>
        <row r="36">
          <cell r="D36">
            <v>150</v>
          </cell>
        </row>
        <row r="37">
          <cell r="D37">
            <v>250</v>
          </cell>
        </row>
      </sheetData>
      <sheetData sheetId="8">
        <row r="2">
          <cell r="Z2" t="str">
            <v>Level of Subsidy</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row r="2">
          <cell r="F2" t="str">
            <v>Baseline</v>
          </cell>
          <cell r="G2">
            <v>1</v>
          </cell>
          <cell r="H2" t="str">
            <v>C</v>
          </cell>
          <cell r="K2" t="str">
            <v>Electricity VAT</v>
          </cell>
          <cell r="L2" t="str">
            <v>Electricity Subsidies</v>
          </cell>
          <cell r="M2" t="str">
            <v>Electricity Total</v>
          </cell>
          <cell r="N2" t="str">
            <v>Fuel VAT</v>
          </cell>
          <cell r="O2" t="str">
            <v>Fuel Subsidies</v>
          </cell>
          <cell r="P2" t="str">
            <v>Fuel Total</v>
          </cell>
          <cell r="Q2" t="str">
            <v>All Policies</v>
          </cell>
          <cell r="R2" t="str">
            <v>Electricity VAT</v>
          </cell>
          <cell r="S2" t="str">
            <v>Electricity Subsidies</v>
          </cell>
          <cell r="T2" t="str">
            <v>Electricity Total</v>
          </cell>
          <cell r="U2" t="str">
            <v>Fuel VAT</v>
          </cell>
          <cell r="V2" t="str">
            <v>Fuel Subsidies</v>
          </cell>
          <cell r="W2" t="str">
            <v>Fuel Total</v>
          </cell>
          <cell r="X2" t="str">
            <v>All Policies</v>
          </cell>
        </row>
        <row r="3">
          <cell r="F3" t="str">
            <v>Reform 1</v>
          </cell>
          <cell r="G3">
            <v>2</v>
          </cell>
          <cell r="H3" t="str">
            <v>F</v>
          </cell>
          <cell r="K3" t="str">
            <v>VAT</v>
          </cell>
          <cell r="L3" t="str">
            <v>Direct</v>
          </cell>
          <cell r="M3" t="str">
            <v>VAT</v>
          </cell>
          <cell r="N3" t="str">
            <v>VAT</v>
          </cell>
          <cell r="O3" t="str">
            <v>Direct</v>
          </cell>
          <cell r="P3" t="str">
            <v>VAT</v>
          </cell>
          <cell r="Q3" t="str">
            <v>VAT</v>
          </cell>
          <cell r="R3" t="str">
            <v>vat_elec</v>
          </cell>
          <cell r="S3" t="str">
            <v>subsidy_elec_direct</v>
          </cell>
          <cell r="T3" t="str">
            <v>vat_elec</v>
          </cell>
          <cell r="U3" t="str">
            <v>vat_fuel</v>
          </cell>
          <cell r="V3" t="str">
            <v>subsidy_fuel_direct</v>
          </cell>
          <cell r="W3" t="str">
            <v>vat_fuel</v>
          </cell>
          <cell r="X3" t="str">
            <v>all_tax</v>
          </cell>
        </row>
        <row r="4">
          <cell r="F4" t="str">
            <v>Reform 2</v>
          </cell>
          <cell r="G4">
            <v>3</v>
          </cell>
          <cell r="H4" t="str">
            <v>I</v>
          </cell>
          <cell r="L4" t="str">
            <v>Indirect</v>
          </cell>
          <cell r="M4" t="str">
            <v>Subsidies</v>
          </cell>
          <cell r="O4" t="str">
            <v>Indirect</v>
          </cell>
          <cell r="P4" t="str">
            <v>Subsidies</v>
          </cell>
          <cell r="Q4" t="str">
            <v>Subsidies</v>
          </cell>
          <cell r="S4" t="str">
            <v>subsidy_elec_indirect</v>
          </cell>
          <cell r="T4" t="str">
            <v>subsidy_elec</v>
          </cell>
          <cell r="V4" t="str">
            <v>subsidy_fuel_indirect</v>
          </cell>
          <cell r="W4" t="str">
            <v>subsidy_fuel</v>
          </cell>
          <cell r="X4" t="str">
            <v>all_subs</v>
          </cell>
        </row>
        <row r="5">
          <cell r="F5" t="str">
            <v>Reform 3</v>
          </cell>
          <cell r="G5">
            <v>4</v>
          </cell>
          <cell r="H5" t="str">
            <v>L</v>
          </cell>
          <cell r="L5" t="str">
            <v>Total</v>
          </cell>
          <cell r="M5" t="str">
            <v>Total</v>
          </cell>
          <cell r="O5" t="str">
            <v>Total</v>
          </cell>
          <cell r="P5" t="str">
            <v>Total</v>
          </cell>
          <cell r="Q5" t="str">
            <v>Total</v>
          </cell>
          <cell r="S5" t="str">
            <v>subsidy_elec</v>
          </cell>
          <cell r="T5" t="str">
            <v>all_elec</v>
          </cell>
          <cell r="V5" t="str">
            <v>subsidy_fuel</v>
          </cell>
          <cell r="W5" t="str">
            <v>all_fuel</v>
          </cell>
          <cell r="X5" t="str">
            <v>all_policies</v>
          </cell>
        </row>
      </sheetData>
      <sheetData sheetId="10"/>
      <sheetData sheetId="11"/>
      <sheetData sheetId="12">
        <row r="6">
          <cell r="C6">
            <v>476.32255555555554</v>
          </cell>
          <cell r="D6">
            <v>641.59355555555555</v>
          </cell>
          <cell r="E6">
            <v>0.257594544971531</v>
          </cell>
        </row>
        <row r="7">
          <cell r="C7">
            <v>409.99941999999999</v>
          </cell>
          <cell r="D7">
            <v>771.7300251821863</v>
          </cell>
          <cell r="E7">
            <v>0.46872687776634153</v>
          </cell>
        </row>
        <row r="8">
          <cell r="C8">
            <v>654.99999999999784</v>
          </cell>
          <cell r="D8">
            <v>922.80154137931049</v>
          </cell>
          <cell r="E8">
            <v>0.29020491337609816</v>
          </cell>
        </row>
        <row r="9">
          <cell r="C9">
            <v>664.9997800000001</v>
          </cell>
          <cell r="D9">
            <v>872.64418834668618</v>
          </cell>
          <cell r="E9">
            <v>0.23794853746758995</v>
          </cell>
        </row>
        <row r="10">
          <cell r="C10">
            <v>496.99964</v>
          </cell>
          <cell r="D10">
            <v>720.61888834668605</v>
          </cell>
          <cell r="E10">
            <v>0.31031555231605862</v>
          </cell>
        </row>
        <row r="11">
          <cell r="C11">
            <v>889.99999999999727</v>
          </cell>
          <cell r="D11">
            <v>990.00039042128606</v>
          </cell>
          <cell r="E11">
            <v>0.1010104555400574</v>
          </cell>
        </row>
        <row r="12">
          <cell r="E12">
            <v>0.27919844772883534</v>
          </cell>
        </row>
        <row r="13">
          <cell r="E13">
            <v>0.24261047771763</v>
          </cell>
        </row>
      </sheetData>
      <sheetData sheetId="13">
        <row r="10">
          <cell r="C10">
            <v>16485</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0.35606192216405236</v>
          </cell>
        </row>
        <row r="9">
          <cell r="E9">
            <v>0.34502068718767648</v>
          </cell>
        </row>
        <row r="10">
          <cell r="E10">
            <v>0.41223391430401857</v>
          </cell>
        </row>
        <row r="11">
          <cell r="E11">
            <v>0.15661218949068106</v>
          </cell>
        </row>
        <row r="12">
          <cell r="E12">
            <v>0.25081643833917877</v>
          </cell>
        </row>
        <row r="13">
          <cell r="E13">
            <v>0.35999396161385006</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Hoja1"/>
      <sheetName val="VolumesFuels"/>
      <sheetName val="FuelBaskets"/>
      <sheetName val="Fuel_Simplified"/>
      <sheetName val="Hoja6"/>
      <sheetName val="Fuel_pmts"/>
      <sheetName val="Fuel_prices_info"/>
      <sheetName val="elec_pmts_info"/>
      <sheetName val="labels"/>
      <sheetName val="single_policy"/>
      <sheetName val="To do"/>
      <sheetName val="Parameters"/>
      <sheetName val="Uprating pmts"/>
      <sheetName val="Summary Reforms"/>
      <sheetName val="Elec_Coverage"/>
      <sheetName val="Fuels_Coverage"/>
      <sheetName val="RI"/>
      <sheetName val="AI"/>
      <sheetName val="RI_Con"/>
      <sheetName val="Marginal Contributions"/>
      <sheetName val="Prices_fuels"/>
      <sheetName val="Fiscal Gains"/>
      <sheetName val="Decile Inc. Comparisons"/>
      <sheetName val="Decile shares RI"/>
      <sheetName val="UpratingMatch"/>
      <sheetName val="MC Comparisons"/>
      <sheetName val="stats"/>
      <sheetName val="calib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6">
          <cell r="E6">
            <v>0.41957356893675063</v>
          </cell>
        </row>
        <row r="7">
          <cell r="E7">
            <v>0.53276345251792612</v>
          </cell>
        </row>
        <row r="8">
          <cell r="E8">
            <v>0.36574475609915563</v>
          </cell>
        </row>
        <row r="9">
          <cell r="E9">
            <v>0.34502068718767648</v>
          </cell>
        </row>
        <row r="10">
          <cell r="E10">
            <v>0.41223391430401857</v>
          </cell>
        </row>
        <row r="11">
          <cell r="E11">
            <v>0.15661218949068106</v>
          </cell>
        </row>
        <row r="12">
          <cell r="E12">
            <v>0.36004674798666247</v>
          </cell>
        </row>
        <row r="13">
          <cell r="E13">
            <v>0.31421807050484601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ricity -BaU Reform"/>
      <sheetName val="Carburants - BaU Reform"/>
      <sheetName val="Fuels_pmts_info"/>
      <sheetName val="elec_pmts_info"/>
      <sheetName val="labels"/>
      <sheetName val="single_policy"/>
      <sheetName val="policies"/>
      <sheetName val="Branches_Dist"/>
      <sheetName val="Elec_Coverage"/>
      <sheetName val="Elec_RI"/>
      <sheetName val="Elec_RI_Con"/>
      <sheetName val="Elec_AI"/>
      <sheetName val="Fuels_Coverage"/>
      <sheetName val="Fuels_RI"/>
      <sheetName val="Fuels_RI_Con"/>
      <sheetName val="Fuels_AI"/>
      <sheetName val="Total_RI"/>
      <sheetName val="Total_AI"/>
      <sheetName val="Marginal Contributions"/>
      <sheetName val="stats"/>
    </sheetNames>
    <sheetDataSet>
      <sheetData sheetId="0"/>
      <sheetData sheetId="1"/>
      <sheetData sheetId="2"/>
      <sheetData sheetId="3"/>
      <sheetData sheetId="4">
        <row r="3">
          <cell r="A3" t="str">
            <v>Tranche1</v>
          </cell>
        </row>
        <row r="4">
          <cell r="A4" t="str">
            <v>Tranche2</v>
          </cell>
        </row>
        <row r="5">
          <cell r="A5" t="str">
            <v>Tranche3</v>
          </cell>
        </row>
      </sheetData>
      <sheetData sheetId="5"/>
      <sheetData sheetId="6"/>
      <sheetData sheetId="7"/>
      <sheetData sheetId="8">
        <row r="3">
          <cell r="I3" t="str">
            <v>VAT</v>
          </cell>
        </row>
      </sheetData>
      <sheetData sheetId="9">
        <row r="4">
          <cell r="I4">
            <v>-1.149028515130032E-3</v>
          </cell>
        </row>
      </sheetData>
      <sheetData sheetId="10">
        <row r="4">
          <cell r="I4">
            <v>-0.22003273138805021</v>
          </cell>
        </row>
      </sheetData>
      <sheetData sheetId="11">
        <row r="3">
          <cell r="I3">
            <v>8.298569319691626E-2</v>
          </cell>
        </row>
      </sheetData>
      <sheetData sheetId="12"/>
      <sheetData sheetId="13">
        <row r="4">
          <cell r="I4">
            <v>-0.11431216708780441</v>
          </cell>
        </row>
      </sheetData>
      <sheetData sheetId="14">
        <row r="4">
          <cell r="I4">
            <v>-0.84814102193789387</v>
          </cell>
        </row>
      </sheetData>
      <sheetData sheetId="15">
        <row r="3">
          <cell r="I3">
            <v>1.1204501820548709</v>
          </cell>
        </row>
      </sheetData>
      <sheetData sheetId="16">
        <row r="4">
          <cell r="I4">
            <v>0.11546119560293441</v>
          </cell>
        </row>
      </sheetData>
      <sheetData sheetId="17">
        <row r="3">
          <cell r="I3">
            <v>0.98764750303763316</v>
          </cell>
        </row>
      </sheetData>
      <sheetData sheetId="18">
        <row r="2">
          <cell r="T2">
            <v>38.494498958556925</v>
          </cell>
        </row>
      </sheetData>
      <sheetData sheetId="19"/>
    </sheetDataSet>
  </externalBook>
</externalLink>
</file>

<file path=xl/persons/person.xml><?xml version="1.0" encoding="utf-8"?>
<personList xmlns="http://schemas.microsoft.com/office/spreadsheetml/2018/threadedcomments" xmlns:x="http://schemas.openxmlformats.org/spreadsheetml/2006/main">
  <person displayName="Daniel Valderrama" id="{6AC6E8E3-177B-4D81-869A-4773ACE275D9}" userId="e08b1edb8b040875" providerId="Windows Live"/>
  <person displayName="Daniel Valderrama Gonzalez" id="{6E93628B-2D08-402D-BE0A-BF8AD994ECB9}" userId="S::dvalderramagonza@worldbank.org::45fe532a-0eb4-454c-8c5d-988b5277739c" providerId="AD"/>
  <person displayName="German Andres Gallegos Vargas" id="{2310BA9C-2DF6-47BC-8168-5CABD6B6B70F}" userId="S::german.gallegos@urosario.edu.co::7a3f736b-50a7-4d34-9788-e07ad43f9cbc" providerId="AD"/>
</personList>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H4" dT="2023-02-24T21:16:09.84" personId="{2310BA9C-2DF6-47BC-8168-5CABD6B6B70F}" id="{2F7BD1B1-E32C-46FB-95E4-3A9B3D7AD0C6}">
    <text>Bunker oil, used in water vessels</text>
  </threadedComment>
</ThreadedComments>
</file>

<file path=xl/threadedComments/threadedComment2.xml><?xml version="1.0" encoding="utf-8"?>
<ThreadedComments xmlns="http://schemas.microsoft.com/office/spreadsheetml/2018/threadedcomments" xmlns:x="http://schemas.openxmlformats.org/spreadsheetml/2006/main">
  <threadedComment ref="J1" dT="2023-03-02T17:35:23.65" personId="{2310BA9C-2DF6-47BC-8168-5CABD6B6B70F}" id="{CE56EC57-D502-41DB-B2DA-B3E663BB9691}">
    <text>The same for households and industry because we are assuming constant proportions of consumption from 2022 data backwards.</text>
  </threadedComment>
</ThreadedComments>
</file>

<file path=xl/threadedComments/threadedComment3.xml><?xml version="1.0" encoding="utf-8"?>
<ThreadedComments xmlns="http://schemas.microsoft.com/office/spreadsheetml/2018/threadedcomments" xmlns:x="http://schemas.openxmlformats.org/spreadsheetml/2006/main">
  <threadedComment ref="E3" dT="2023-02-23T20:25:08.42" personId="{2310BA9C-2DF6-47BC-8168-5CABD6B6B70F}" id="{6849560F-64FB-4C02-8F32-4EFC4969F2ED}">
    <text>Es a 25 o 0 grados</text>
  </threadedComment>
  <threadedComment ref="I5" dT="2023-02-23T23:53:03.19" personId="{2310BA9C-2DF6-47BC-8168-5CABD6B6B70F}" id="{7D2932BC-D291-40DE-9E03-E984F96F1136}">
    <text>Don’t frais de passage en dépôt</text>
  </threadedComment>
  <threadedComment ref="K5" dT="2023-01-23T00:24:44.42" personId="{6AC6E8E3-177B-4D81-869A-4773ACE275D9}" id="{957A1D14-E9BB-40FF-AFA4-2EE53207C78E}">
    <text>sum of MARGE GROSSISTE and MARGE DETAILLANT for 9Kg</text>
  </threadedComment>
  <threadedComment ref="Y6" dT="2023-02-23T23:54:52.85" personId="{2310BA9C-2DF6-47BC-8168-5CABD6B6B70F}" id="{BA8FBC7C-E274-4C96-AE0E-787FB4D8ADF3}">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I12" dT="2023-02-23T23:53:03.19" personId="{2310BA9C-2DF6-47BC-8168-5CABD6B6B70F}" id="{A689E6A8-5D84-48BC-B831-492DE5CF0EEB}">
    <text>Don’t frais de passage en dépôt</text>
  </threadedComment>
  <threadedComment ref="K12" dT="2023-01-23T00:24:44.42" personId="{6AC6E8E3-177B-4D81-869A-4773ACE275D9}" id="{C9458E99-5391-4BE7-BEDD-C650B5DCD971}">
    <text>sum of MARGE GROSSISTE and MARGE DETAILLANT for 9Kg</text>
  </threadedComment>
  <threadedComment ref="I19" dT="2023-02-23T23:53:03.19" personId="{2310BA9C-2DF6-47BC-8168-5CABD6B6B70F}" id="{7C3A38E7-1FA1-4D98-A2A7-E78CC7222622}">
    <text>Don’t frais de passage en dépôt</text>
  </threadedComment>
  <threadedComment ref="K19" dT="2023-01-23T00:24:44.42" personId="{6AC6E8E3-177B-4D81-869A-4773ACE275D9}" id="{440D8A55-64BB-4571-8FD0-D928B65D5C3F}">
    <text>sum of MARGE GROSSISTE and MARGE DETAILLANT for 9Kg</text>
  </threadedComment>
  <threadedComment ref="F38" dT="2023-01-26T01:15:57.50" personId="{6AC6E8E3-177B-4D81-869A-4773ACE275D9}" id="{6ACFB0F3-C4CC-43FC-A963-878C5737750C}">
    <text>Assume as fixed tax. It is proportional to the taxable base. This assumption is minor because as tax rate it represents less than 1 percent of raw price</text>
  </threadedComment>
  <threadedComment ref="K40" dT="2023-01-23T00:24:44.42" personId="{6AC6E8E3-177B-4D81-869A-4773ACE275D9}" id="{DA034076-99BB-4525-898D-A1D9D5B02C68}">
    <text>sum of MARGE GROSSISTE and MARGE DETAILLANT for 9Kg</text>
  </threadedComment>
  <threadedComment ref="R41" dT="2023-02-23T23:54:52.85" personId="{2310BA9C-2DF6-47BC-8168-5CABD6B6B70F}" id="{32918DEB-6FAB-4670-8702-72AC1988CFF5}">
    <text>http://news.adakar.com/h/110122.html</text>
    <extLst>
      <x:ext xmlns:xltc2="http://schemas.microsoft.com/office/spreadsheetml/2020/threadedcomments2" uri="{F7C98A9C-CBB3-438F-8F68-D28B6AF4A901}">
        <xltc2:checksum>2985627212</xltc2:checksum>
        <xltc2:hyperlink startIndex="0" length="36" url="http://news.adakar.com/h/110122.html"/>
      </x:ext>
    </extLst>
  </threadedComment>
  <threadedComment ref="K47" dT="2023-01-23T00:24:44.42" personId="{6AC6E8E3-177B-4D81-869A-4773ACE275D9}" id="{6A958F63-A9DF-4640-995E-813B1BE00F51}">
    <text>sum of MARGE GROSSISTE and MARGE DETAILLANT for 9Kg</text>
  </threadedComment>
  <threadedComment ref="E48" dT="2023-01-23T00:12:20.18" personId="{6AC6E8E3-177B-4D81-869A-4773ACE275D9}" id="{818EA117-5CD9-4395-9CB6-C42AEE036AC7}">
    <text>Original price in Jun</text>
  </threadedComment>
  <threadedComment ref="K61" dT="2023-01-23T00:24:44.42" personId="{6AC6E8E3-177B-4D81-869A-4773ACE275D9}" id="{A02CB9E4-6F41-46FA-A153-690CF0FBD5CF}">
    <text>sum of MARGE GROSSISTE and MARGE DETAILLANT for 9Kg</text>
  </threadedComment>
  <threadedComment ref="K68" dT="2023-01-23T00:24:44.42" personId="{6AC6E8E3-177B-4D81-869A-4773ACE275D9}" id="{33148B70-C139-42CF-99A3-CD6DD90E2190}">
    <text>sum of MARGE GROSSISTE and MARGE DETAILLANT for 9Kg</text>
  </threadedComment>
  <threadedComment ref="E69" dT="2023-01-23T00:12:20.18" personId="{6AC6E8E3-177B-4D81-869A-4773ACE275D9}" id="{55A86357-DF75-4A92-97DE-DAB5C7E5C924}">
    <text>Original price in Jun</text>
  </threadedComment>
  <threadedComment ref="K75" dT="2023-01-23T00:24:44.42" personId="{6AC6E8E3-177B-4D81-869A-4773ACE275D9}" id="{80D35A6F-F3EA-4062-978A-A409A6F33DE3}">
    <text>sum of MARGE GROSSISTE and MARGE DETAILLANT for 9Kg</text>
  </threadedComment>
  <threadedComment ref="E76" dT="2023-01-23T00:12:20.18" personId="{6AC6E8E3-177B-4D81-869A-4773ACE275D9}" id="{2BEB9E8D-0E56-4A4D-AC58-03161C4D2964}">
    <text>Original price in Jun</text>
  </threadedComment>
</ThreadedComments>
</file>

<file path=xl/threadedComments/threadedComment4.xml><?xml version="1.0" encoding="utf-8"?>
<ThreadedComments xmlns="http://schemas.microsoft.com/office/spreadsheetml/2018/threadedcomments" xmlns:x="http://schemas.openxmlformats.org/spreadsheetml/2006/main">
  <threadedComment ref="L5" dT="2023-02-02T15:46:21.42" personId="{6AC6E8E3-177B-4D81-869A-4773ACE275D9}" id="{F22C2F34-7067-45AF-8657-0F26DDA0EC0E}">
    <text>Based on 2021 data</text>
  </threadedComment>
  <threadedComment ref="AA5" dT="2023-03-02T18:18:44.47" personId="{6AC6E8E3-177B-4D81-869A-4773ACE275D9}" id="{370EAAF4-67EF-4BCF-98F7-7420AD5BCD7B}">
    <text>tariffs range between 142-149, needs to be checked</text>
  </threadedComment>
  <threadedComment ref="AA5" dT="2023-03-02T18:19:13.23" personId="{6AC6E8E3-177B-4D81-869A-4773ACE275D9}" id="{3CCA71A8-BAF6-4133-BD2B-BCFA249E74B4}" parentId="{370EAAF4-67EF-4BCF-98F7-7420AD5BCD7B}">
    <text>same for all numbers in red</text>
  </threadedComment>
  <threadedComment ref="BK5" dT="2023-01-31T02:41:50.74" personId="{6AC6E8E3-177B-4D81-869A-4773ACE275D9}" id="{56F39F98-D051-4338-A321-8A097EB13E1E}">
    <text>this data is inconsistent with the tariffs itself. Therefore we use Petra data for 2022 which is stable for 2020 as well</text>
  </threadedComment>
  <threadedComment ref="BM5" dT="2023-01-31T03:49:53.39" personId="{6AC6E8E3-177B-4D81-869A-4773ACE275D9}" id="{0252D1F6-9052-4022-89A4-B434D025DD4B}">
    <text>Obtain as the average of Petra files</text>
  </threadedComment>
  <threadedComment ref="DL5" dT="2023-01-31T02:41:50.74" personId="{6AC6E8E3-177B-4D81-869A-4773ACE275D9}" id="{5143F9AC-D3B9-4297-AA6F-D765370E1029}">
    <text>this data is inconsistent with the tariffs itself. Therefore we use Petra data for 2022 which is stable for 2020 as well</text>
  </threadedComment>
  <threadedComment ref="DN5" dT="2023-01-31T03:49:53.39" personId="{6AC6E8E3-177B-4D81-869A-4773ACE275D9}" id="{F78DBF92-EC4D-45B0-9154-03E824D5E379}">
    <text>Obtain as the average of Petra files</text>
  </threadedComment>
  <threadedComment ref="AA10" dT="2023-03-02T18:20:46.12" personId="{6AC6E8E3-177B-4D81-869A-4773ACE275D9}" id="{C6B72089-7753-41AC-B363-8D2D72969B3B}">
    <text>this figure should be 129, it is including the fix cost</text>
  </threadedComment>
  <threadedComment ref="BA12" dT="2023-01-31T02:16:44.46" personId="{6AC6E8E3-177B-4D81-869A-4773ACE275D9}" id="{38FE80AC-A227-4B5C-BD19-383457E59E97}">
    <text>exlcuded DGP, PGP and High Voltage from the sum of the IMF of special clientele</text>
  </threadedComment>
  <threadedComment ref="DB12" dT="2023-01-31T02:16:44.46" personId="{6AC6E8E3-177B-4D81-869A-4773ACE275D9}" id="{DFB5DC85-87EF-4E2D-8EFA-218F83E75FBE}">
    <text>exlcuded DGP, PGP and High Voltage from the sum of the IMF of special clientele</text>
  </threadedComment>
</ThreadedComments>
</file>

<file path=xl/threadedComments/threadedComment5.xml><?xml version="1.0" encoding="utf-8"?>
<ThreadedComments xmlns="http://schemas.microsoft.com/office/spreadsheetml/2018/threadedcomments" xmlns:x="http://schemas.openxmlformats.org/spreadsheetml/2006/main">
  <threadedComment ref="E6" dT="2023-02-14T03:54:04.58" personId="{2310BA9C-2DF6-47BC-8168-5CABD6B6B70F}" id="{CA62C2DA-EB36-49BA-AF9C-C3DA57A1CE8A}">
    <text>55% according to the Ministry</text>
  </threadedComment>
  <threadedComment ref="E6" dT="2023-02-22T19:24:04.31" personId="{2310BA9C-2DF6-47BC-8168-5CABD6B6B70F}" id="{F5A7DB2C-F047-4CE6-90DC-FBF23F36B744}" parentId="{CA62C2DA-EB36-49BA-AF9C-C3DA57A1CE8A}">
    <text>And https://www.dakaractu.com/Hausse-sur-le-prix-du-gasoil-L-essence-pirogue-et-le-gaz-butane-exemptes_a228485.html</text>
    <extLst>
      <x:ext xmlns:xltc2="http://schemas.microsoft.com/office/spreadsheetml/2020/threadedcomments2" uri="{F7C98A9C-CBB3-438F-8F68-D28B6AF4A901}">
        <xltc2:checksum>679518123</xltc2:checksum>
        <xltc2:hyperlink startIndex="4" length="111" url="https://www.dakaractu.com/Hausse-sur-le-prix-du-gasoil-L-essence-pirogue-et-le-gaz-butane-exemptes_a228485.html"/>
      </x:ext>
    </extLst>
  </threadedComment>
  <threadedComment ref="D8" dT="2023-02-14T03:51:57.98" personId="{2310BA9C-2DF6-47BC-8168-5CABD6B6B70F}" id="{8B9D4290-72BE-4528-AFCF-470A2027F1F0}">
    <text>1019 per liter in 2022, according to the Ministry</text>
  </threadedComment>
  <threadedComment ref="E10" dT="2023-02-22T19:23:49.87" personId="{2310BA9C-2DF6-47BC-8168-5CABD6B6B70F}" id="{FAAD538A-33D6-4CBC-8EAA-5661E9191F7A}">
    <text>34% selon https://www.dakaractu.com/Hausse-sur-le-prix-du-gasoil-L-essence-pirogue-et-le-gaz-butane-exemptes_a228485.html</text>
    <extLst>
      <x:ext xmlns:xltc2="http://schemas.microsoft.com/office/spreadsheetml/2020/threadedcomments2" uri="{F7C98A9C-CBB3-438F-8F68-D28B6AF4A901}">
        <xltc2:checksum>4026211561</xltc2:checksum>
        <xltc2:hyperlink startIndex="10" length="111" url="https://www.dakaractu.com/Hausse-sur-le-prix-du-gasoil-L-essence-pirogue-et-le-gaz-butane-exemptes_a228485.html"/>
      </x:ext>
    </extLst>
  </threadedComment>
  <threadedComment ref="D11" dT="2023-02-14T03:51:38.04" personId="{2310BA9C-2DF6-47BC-8168-5CABD6B6B70F}" id="{A9818014-3099-422C-86FB-23CCECF2C988}">
    <text>1063 per liter in 2022, according to the Ministry</text>
  </threadedComment>
  <threadedComment ref="E19" dT="2023-02-23T23:32:03.17" personId="{2310BA9C-2DF6-47BC-8168-5CABD6B6B70F}" id="{A432D68D-1903-4D6A-8BDD-43ABE26C45E9}">
    <text>Values from Décision 2022-54 CRSE</text>
  </threadedComment>
  <threadedComment ref="E19" dT="2023-02-28T18:50:46.44" personId="{2310BA9C-2DF6-47BC-8168-5CABD6B6B70F}" id="{395B221B-4366-4AC7-99F6-A994CE5CFEE9}" parentId="{A432D68D-1903-4D6A-8BDD-43ABE26C45E9}">
    <text>And also Market prices of fuels using 2023 data</text>
  </threadedComment>
  <threadedComment ref="G19" dT="2023-02-28T18:50:21.34" personId="{2310BA9C-2DF6-47BC-8168-5CABD6B6B70F}" id="{B170CB59-E064-4C54-89AD-7E456CDD91FD}">
    <text>Market prices of fuels using 2023 data</text>
  </threadedComment>
  <threadedComment ref="I19" dT="2023-02-28T18:49:41.31" personId="{2310BA9C-2DF6-47BC-8168-5CABD6B6B70F}" id="{7AAFDFE0-9C61-4826-874E-9AA54FB814DD}">
    <text>Original values to reproduce the same results as previously</text>
  </threadedComment>
  <threadedComment ref="C40" dT="2023-03-04T01:53:37.29" personId="{6E93628B-2D08-402D-BE0A-BF8AD994ECB9}" id="{4F6F22BA-C8E9-4A5C-916A-D1207BF86CCE}">
    <text>//Note: global DGP_tar 114.58 // 2020 data: mean 115.54, sd 6.68 (excluding april because it was a complete outlier) paid by kwh in 2020 // 2022 data: mean 114.58, sd 2.27. Now included in the parameters</text>
  </threadedComment>
  <threadedComment ref="E40" dT="2023-03-01T22:47:58.95" personId="{2310BA9C-2DF6-47BC-8168-5CABD6B6B70F}" id="{FCC80CFF-F3E3-41D7-833D-90AA8165ECC3}">
    <text>http://documentation.2ie-edu.org/cdi2ie/opac_css/doc_num.php?explnum_id=3605 En el resumen hablan de que es 86% hors pointe y 14% aux heures de pointe en 2018.</text>
    <extLst>
      <x:ext xmlns:xltc2="http://schemas.microsoft.com/office/spreadsheetml/2020/threadedcomments2" uri="{F7C98A9C-CBB3-438F-8F68-D28B6AF4A901}">
        <xltc2:checksum>1002663925</xltc2:checksum>
        <xltc2:hyperlink startIndex="0" length="76" url="http://documentation.2ie-edu.org/cdi2ie/opac_css/doc_num.php?explnum_id=3605"/>
      </x:ext>
    </extLst>
  </threadedComment>
  <threadedComment ref="C43" dT="2023-02-02T16:40:39.44" personId="{6AC6E8E3-177B-4D81-869A-4773ACE275D9}" id="{D8A0B302-51A7-4959-A9E7-8D4C5067B81D}">
    <text>Using weights from 2022 was 141.5. Weights were
Low  0.286 
 Medium 0.565 
 HIgh 0.150</text>
  </threadedComment>
  <threadedComment ref="C43" dT="2023-03-02T20:54:24.48" personId="{2310BA9C-2DF6-47BC-8168-5CABD6B6B70F}" id="{1A791481-78B1-47D2-A30C-0087DD4BA3D9}" parentId="{D8A0B302-51A7-4959-A9E7-8D4C5067B81D}">
    <text>Daniel produced these estimates and are in the green table in elec_pmts_info</text>
  </threadedComment>
  <threadedComment ref="F43" dT="2023-02-23T16:17:36.21" personId="{2310BA9C-2DF6-47BC-8168-5CABD6B6B70F}" id="{7406CA74-04FF-4539-9007-BB5B23B023D1}">
    <text>Use X10 for Petra weights, use X9 for IMF weights</text>
  </threadedComment>
</ThreadedComments>
</file>

<file path=xl/threadedComments/threadedComment6.xml><?xml version="1.0" encoding="utf-8"?>
<ThreadedComments xmlns="http://schemas.microsoft.com/office/spreadsheetml/2018/threadedcomments" xmlns:x="http://schemas.openxmlformats.org/spreadsheetml/2006/main">
  <threadedComment ref="C8" dT="2023-02-03T00:15:27.34" personId="{6AC6E8E3-177B-4D81-869A-4773ACE275D9}" id="{F803F062-9D14-4412-A65E-46813D9BE6B6}">
    <text>Add 1.13 if data is no uprated. Add 1 if data is uprated</text>
  </threadedComment>
  <threadedComment ref="C9" dT="2023-02-23T22:18:07.66" personId="{2310BA9C-2DF6-47BC-8168-5CABD6B6B70F}" id="{137D161C-8946-49C2-8338-6E719EF6ABA3}">
    <text>This comes from the total Gwh sold by SENELEC in 2022 and 2019 (see décisions from CRSE https://www.crse.sn/decision )</text>
    <extLst>
      <x:ext xmlns:xltc2="http://schemas.microsoft.com/office/spreadsheetml/2020/threadedcomments2" uri="{F7C98A9C-CBB3-438F-8F68-D28B6AF4A901}">
        <xltc2:checksum>3966077343</xltc2:checksum>
        <xltc2:hyperlink startIndex="88" length="28" url="https://www.crse.sn/decision"/>
      </x:ext>
    </extLst>
  </threadedComment>
  <threadedComment ref="C10" dT="2023-02-23T22:16:51.21" personId="{2310BA9C-2DF6-47BC-8168-5CABD6B6B70F}" id="{BBD2A494-18AE-4E5B-84FB-A96AEBE32739}">
    <text>GDP 2021 was 15319.13</text>
  </threadedComment>
  <threadedComment ref="C10" dT="2023-02-24T15:53:09.45" personId="{2310BA9C-2DF6-47BC-8168-5CABD6B6B70F}" id="{C0117541-2D78-4ECC-80E1-E06BC7DFA816}" parentId="{BBD2A494-18AE-4E5B-84FB-A96AEBE32739}">
    <text>This comes from IMF projections (1SENFA2022003.pdf)</text>
  </threadedComment>
  <threadedComment ref="C38" dT="2023-02-23T16:17:36.21" personId="{2310BA9C-2DF6-47BC-8168-5CABD6B6B70F}" id="{B9B8BD64-3642-4B69-9B0E-17230E0C419C}">
    <text>Use X10 for Petra weights, use X9 for IMF weights</text>
  </threadedComment>
</ThreadedComments>
</file>

<file path=xl/threadedComments/threadedComment7.xml><?xml version="1.0" encoding="utf-8"?>
<ThreadedComments xmlns="http://schemas.microsoft.com/office/spreadsheetml/2018/threadedcomments" xmlns:x="http://schemas.openxmlformats.org/spreadsheetml/2006/main">
  <threadedComment ref="C41" dT="2023-02-02T16:40:39.44" personId="{6AC6E8E3-177B-4D81-869A-4773ACE275D9}" id="{819DF941-1573-4D0B-8F89-C96299720866}">
    <text>Using weights from 2022 was 141.5. Weights were
Low  0.286 
 Medium 0.565 
 HIgh 0.150</text>
  </threadedComment>
  <threadedComment ref="C41" dT="2023-03-02T20:54:24.48" personId="{2310BA9C-2DF6-47BC-8168-5CABD6B6B70F}" id="{FD654B09-3FFC-483D-9638-54DB6DE3999B}" parentId="{819DF941-1573-4D0B-8F89-C96299720866}">
    <text>Daniel produced these estimates and are in the green table in elec_pmts_info</text>
  </threadedComment>
  <threadedComment ref="F41" dT="2023-02-23T16:17:36.21" personId="{2310BA9C-2DF6-47BC-8168-5CABD6B6B70F}" id="{19C7E7B3-930A-4103-9C67-02562F30C1EB}">
    <text>Use X10 for Petra weights, use X9 for IMF weights</text>
  </threadedComment>
</ThreadedComments>
</file>

<file path=xl/threadedComments/threadedComment8.xml><?xml version="1.0" encoding="utf-8"?>
<ThreadedComments xmlns="http://schemas.microsoft.com/office/spreadsheetml/2018/threadedcomments" xmlns:x="http://schemas.openxmlformats.org/spreadsheetml/2006/main">
  <threadedComment ref="F5" dT="2023-02-05T00:46:01.66" personId="{6AC6E8E3-177B-4D81-869A-4773ACE275D9}" id="{ECCACAAF-4E9B-439C-8492-5D093BA796B2}">
    <text>reduce to 1780 if exclude outliers</text>
  </threadedComment>
  <threadedComment ref="F8" dT="2023-02-05T01:07:41.80" personId="{6AC6E8E3-177B-4D81-869A-4773ACE275D9}" id="{88CFF6E3-BFF6-4EC7-A11F-AFC7C9E6999A}">
    <text>THis takes decree 2022-30 total GwH by Kwh consume by domestic users</text>
  </threadedComment>
</ThreadedComments>
</file>

<file path=xl/threadedComments/threadedComment9.xml><?xml version="1.0" encoding="utf-8"?>
<ThreadedComments xmlns="http://schemas.microsoft.com/office/spreadsheetml/2018/threadedcomments" xmlns:x="http://schemas.openxmlformats.org/spreadsheetml/2006/main">
  <threadedComment ref="O30" dT="2023-03-01T05:41:22.56" personId="{6AC6E8E3-177B-4D81-869A-4773ACE275D9}" id="{1FA7536D-F7D5-496D-AAF6-09A2170368F9}">
    <text>Currently figure 6 but ideal if it could be integrated</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tresor.economie.gouv.fr/Articles/11e09942-7250-4626-8f4b-7d415d860a14/files/0363ad4a-a3ef-4b97-98fe-baab979150d3" TargetMode="External"/><Relationship Id="rId1" Type="http://schemas.openxmlformats.org/officeDocument/2006/relationships/hyperlink" Target="https://www.seneplus.com/economie/penurie-du-gaz-dans-plusieurs-points-de-vente" TargetMode="External"/><Relationship Id="rId4"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5.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9.bin"/><Relationship Id="rId5" Type="http://schemas.microsoft.com/office/2017/10/relationships/threadedComment" Target="../threadedComments/threadedComment4.xml"/><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 Id="rId4" Type="http://schemas.microsoft.com/office/2017/10/relationships/threadedComment" Target="../threadedComments/threadedComment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 Id="rId4" Type="http://schemas.microsoft.com/office/2017/10/relationships/threadedComment" Target="../threadedComments/threadedComment6.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8.xml"/><Relationship Id="rId1" Type="http://schemas.openxmlformats.org/officeDocument/2006/relationships/printerSettings" Target="../printerSettings/printerSettings1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27.bin"/><Relationship Id="rId4" Type="http://schemas.microsoft.com/office/2017/10/relationships/threadedComment" Target="../threadedComments/threadedComment8.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19.xml"/><Relationship Id="rId4" Type="http://schemas.microsoft.com/office/2017/10/relationships/threadedComment" Target="../threadedComments/threadedComment9.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6D2BA-5B69-44EC-80C0-747444AC5B7F}">
  <sheetPr codeName="Hoja1"/>
  <dimension ref="A1:Q35"/>
  <sheetViews>
    <sheetView topLeftCell="A14" workbookViewId="0">
      <selection activeCell="E18" sqref="E18"/>
    </sheetView>
  </sheetViews>
  <sheetFormatPr baseColWidth="10" defaultColWidth="11.44140625" defaultRowHeight="14.4"/>
  <cols>
    <col min="1" max="1" width="11.44140625" style="17"/>
    <col min="2" max="2" width="27.6640625" style="17" customWidth="1"/>
    <col min="3" max="3" width="13.44140625" style="17" customWidth="1"/>
    <col min="4" max="4" width="18.109375" style="17" customWidth="1"/>
    <col min="5" max="5" width="11.44140625" style="17"/>
    <col min="6" max="6" width="18.33203125" style="17" customWidth="1"/>
    <col min="7" max="7" width="11.44140625" style="17"/>
    <col min="8" max="8" width="18.109375" style="17" customWidth="1"/>
    <col min="9" max="9" width="9.109375" style="17" customWidth="1"/>
    <col min="10" max="10" width="15.6640625" style="17" customWidth="1"/>
    <col min="11" max="11" width="13.88671875" style="17" customWidth="1"/>
    <col min="12" max="12" width="14.109375" style="17" customWidth="1"/>
    <col min="13" max="13" width="11.44140625" style="17"/>
    <col min="14" max="14" width="30.109375" style="17" customWidth="1"/>
    <col min="15" max="15" width="13.6640625" style="17" customWidth="1"/>
    <col min="16" max="16" width="12.109375" style="17" customWidth="1"/>
    <col min="17" max="16384" width="11.44140625" style="17"/>
  </cols>
  <sheetData>
    <row r="1" spans="1:17" hidden="1">
      <c r="E1" s="17" t="s">
        <v>0</v>
      </c>
      <c r="K1" s="17" t="s">
        <v>1</v>
      </c>
      <c r="L1" s="17">
        <v>1.13868685</v>
      </c>
    </row>
    <row r="2" spans="1:17" s="19" customFormat="1" ht="35.1" hidden="1" customHeight="1" thickTop="1" thickBot="1">
      <c r="A2" s="18" t="s">
        <v>2</v>
      </c>
      <c r="B2" s="18" t="s">
        <v>3</v>
      </c>
      <c r="C2" s="18" t="s">
        <v>4</v>
      </c>
      <c r="E2" s="18"/>
      <c r="F2" s="18" t="s">
        <v>5</v>
      </c>
      <c r="G2" s="18" t="s">
        <v>6</v>
      </c>
      <c r="H2" s="18" t="s">
        <v>2</v>
      </c>
      <c r="I2" s="18" t="s">
        <v>3</v>
      </c>
      <c r="J2" s="18" t="s">
        <v>4</v>
      </c>
    </row>
    <row r="3" spans="1:17" hidden="1">
      <c r="C3" s="20"/>
      <c r="E3" s="21" t="s">
        <v>7</v>
      </c>
      <c r="G3" s="22"/>
      <c r="J3" s="20"/>
    </row>
    <row r="4" spans="1:17" hidden="1">
      <c r="A4" s="20" t="e">
        <f>#REF!</f>
        <v>#REF!</v>
      </c>
      <c r="B4" s="22" t="e">
        <f>#REF!</f>
        <v>#REF!</v>
      </c>
      <c r="C4" s="22" t="e">
        <f>#REF!</f>
        <v>#REF!</v>
      </c>
      <c r="E4" s="17" t="s">
        <v>8</v>
      </c>
      <c r="F4" s="20" t="e">
        <f>#REF!/$L$1</f>
        <v>#REF!</v>
      </c>
      <c r="G4" s="20" t="e">
        <f>#REF!/$L$1</f>
        <v>#REF!</v>
      </c>
      <c r="H4" s="20" t="e">
        <f>#REF!/$L$1</f>
        <v>#REF!</v>
      </c>
      <c r="I4" s="22" t="e">
        <f>#REF!</f>
        <v>#REF!</v>
      </c>
      <c r="J4" s="22" t="e">
        <f>#REF!</f>
        <v>#REF!</v>
      </c>
    </row>
    <row r="5" spans="1:17" hidden="1">
      <c r="A5" s="20" t="e">
        <f>#REF!</f>
        <v>#REF!</v>
      </c>
      <c r="B5" s="22" t="e">
        <f>#REF!</f>
        <v>#REF!</v>
      </c>
      <c r="C5" s="22" t="e">
        <f>#REF!</f>
        <v>#REF!</v>
      </c>
      <c r="E5" s="23" t="s">
        <v>9</v>
      </c>
      <c r="F5" s="20" t="e">
        <f>#REF!/$L$1</f>
        <v>#REF!</v>
      </c>
      <c r="G5" s="20" t="e">
        <f>#REF!/$L$1</f>
        <v>#REF!</v>
      </c>
      <c r="H5" s="20" t="e">
        <f>#REF!/$L$1</f>
        <v>#REF!</v>
      </c>
      <c r="I5" s="22" t="e">
        <f>#REF!</f>
        <v>#REF!</v>
      </c>
      <c r="J5" s="22" t="e">
        <f>#REF!</f>
        <v>#REF!</v>
      </c>
    </row>
    <row r="6" spans="1:17" hidden="1">
      <c r="A6" s="20"/>
      <c r="B6" s="22"/>
      <c r="C6" s="22"/>
      <c r="E6" s="24" t="s">
        <v>10</v>
      </c>
      <c r="F6" s="20"/>
      <c r="G6" s="20"/>
      <c r="H6" s="20"/>
    </row>
    <row r="7" spans="1:17" hidden="1">
      <c r="A7" s="20" t="e">
        <f>#REF!</f>
        <v>#REF!</v>
      </c>
      <c r="B7" s="22" t="e">
        <f>#REF!</f>
        <v>#REF!</v>
      </c>
      <c r="C7" s="22" t="e">
        <f>#REF!</f>
        <v>#REF!</v>
      </c>
      <c r="E7" s="17" t="s">
        <v>8</v>
      </c>
      <c r="F7" s="20" t="e">
        <f>#REF!/$L$1</f>
        <v>#REF!</v>
      </c>
      <c r="G7" s="20" t="e">
        <f>#REF!/$L$1</f>
        <v>#REF!</v>
      </c>
      <c r="H7" s="20" t="e">
        <f>#REF!/$L$1</f>
        <v>#REF!</v>
      </c>
      <c r="I7" s="22" t="e">
        <f>#REF!</f>
        <v>#REF!</v>
      </c>
      <c r="J7" s="22" t="e">
        <f>#REF!</f>
        <v>#REF!</v>
      </c>
    </row>
    <row r="8" spans="1:17" hidden="1">
      <c r="A8" s="25" t="e">
        <f>#REF!</f>
        <v>#REF!</v>
      </c>
      <c r="B8" s="26" t="e">
        <f>#REF!</f>
        <v>#REF!</v>
      </c>
      <c r="C8" s="26" t="e">
        <f>#REF!</f>
        <v>#REF!</v>
      </c>
      <c r="E8" s="23" t="s">
        <v>9</v>
      </c>
      <c r="F8" s="25" t="e">
        <f>#REF!/$L$1</f>
        <v>#REF!</v>
      </c>
      <c r="G8" s="25" t="e">
        <f>#REF!/$L$1</f>
        <v>#REF!</v>
      </c>
      <c r="H8" s="25" t="e">
        <f>#REF!/$L$1</f>
        <v>#REF!</v>
      </c>
      <c r="I8" s="26" t="e">
        <f>#REF!</f>
        <v>#REF!</v>
      </c>
      <c r="J8" s="26" t="e">
        <f>#REF!</f>
        <v>#REF!</v>
      </c>
    </row>
    <row r="9" spans="1:17" hidden="1">
      <c r="A9" s="780"/>
      <c r="B9" s="780"/>
      <c r="C9" s="780"/>
      <c r="E9" s="19" t="s">
        <v>11</v>
      </c>
      <c r="F9" s="780" t="e">
        <f>#REF!/$L$1</f>
        <v>#REF!</v>
      </c>
      <c r="G9" s="780"/>
      <c r="H9" s="780"/>
      <c r="I9" s="780"/>
      <c r="J9" s="780"/>
    </row>
    <row r="10" spans="1:17" hidden="1">
      <c r="A10" s="781"/>
      <c r="B10" s="781"/>
      <c r="C10" s="781"/>
      <c r="E10" s="21" t="s">
        <v>12</v>
      </c>
      <c r="F10" s="781" t="e">
        <f>#REF!</f>
        <v>#REF!</v>
      </c>
      <c r="G10" s="781"/>
      <c r="H10" s="781"/>
      <c r="I10" s="781"/>
      <c r="J10" s="781"/>
    </row>
    <row r="11" spans="1:17" hidden="1">
      <c r="A11" s="782"/>
      <c r="B11" s="782"/>
      <c r="C11" s="782"/>
      <c r="E11" s="24" t="s">
        <v>13</v>
      </c>
      <c r="F11" s="782" t="e">
        <f>+#REF!/$L$1</f>
        <v>#REF!</v>
      </c>
      <c r="G11" s="782"/>
      <c r="H11" s="782"/>
      <c r="I11" s="782"/>
      <c r="J11" s="782"/>
    </row>
    <row r="12" spans="1:17" ht="15" thickBot="1"/>
    <row r="13" spans="1:17" ht="15.6" thickTop="1" thickBot="1">
      <c r="B13" s="27"/>
      <c r="C13" s="777" t="s">
        <v>14</v>
      </c>
      <c r="D13" s="777"/>
      <c r="E13" s="777" t="s">
        <v>15</v>
      </c>
      <c r="F13" s="777"/>
      <c r="J13" s="19"/>
      <c r="K13" s="19"/>
      <c r="L13" s="19"/>
    </row>
    <row r="14" spans="1:17" ht="40.799999999999997" thickTop="1" thickBot="1">
      <c r="B14" s="28"/>
      <c r="C14" s="29" t="s">
        <v>16</v>
      </c>
      <c r="D14" s="29" t="s">
        <v>17</v>
      </c>
      <c r="E14" s="29" t="s">
        <v>16</v>
      </c>
      <c r="F14" s="29" t="s">
        <v>17</v>
      </c>
      <c r="I14" s="30" t="s">
        <v>18</v>
      </c>
      <c r="J14" s="30"/>
      <c r="K14" s="30"/>
      <c r="L14" s="30"/>
      <c r="M14" s="30"/>
    </row>
    <row r="15" spans="1:17" ht="18.600000000000001" thickTop="1">
      <c r="B15" s="778" t="s">
        <v>18</v>
      </c>
      <c r="C15" s="778"/>
      <c r="D15" s="778"/>
      <c r="E15" s="778"/>
      <c r="F15" s="778"/>
      <c r="I15" s="31"/>
      <c r="J15" s="31"/>
      <c r="K15" s="31" t="s">
        <v>14</v>
      </c>
      <c r="L15" s="31" t="s">
        <v>15</v>
      </c>
      <c r="M15" s="32"/>
      <c r="N15" s="31"/>
      <c r="O15" s="31" t="s">
        <v>14</v>
      </c>
      <c r="P15" s="31" t="s">
        <v>15</v>
      </c>
      <c r="Q15" s="32"/>
    </row>
    <row r="16" spans="1:17" ht="17.100000000000001" customHeight="1">
      <c r="B16" s="33" t="s">
        <v>10</v>
      </c>
      <c r="C16" s="34"/>
      <c r="D16" s="34"/>
      <c r="I16" s="773" t="s">
        <v>10</v>
      </c>
      <c r="J16" s="35" t="s">
        <v>19</v>
      </c>
      <c r="K16" s="36">
        <v>91.17</v>
      </c>
      <c r="L16" s="37">
        <v>91.17</v>
      </c>
      <c r="M16" s="38"/>
      <c r="N16" s="39" t="s">
        <v>20</v>
      </c>
      <c r="O16" s="40">
        <f>+elec_pmts_info!E10</f>
        <v>142.89477113000001</v>
      </c>
      <c r="P16" s="41">
        <f>+elec_pmts_info!E10</f>
        <v>142.89477113000001</v>
      </c>
    </row>
    <row r="17" spans="2:16" ht="18">
      <c r="B17" s="42" t="s">
        <v>19</v>
      </c>
      <c r="C17" s="43">
        <v>91.17</v>
      </c>
      <c r="D17" s="34">
        <v>300</v>
      </c>
      <c r="E17" s="17">
        <v>91.17</v>
      </c>
      <c r="F17" s="34">
        <v>300</v>
      </c>
      <c r="I17" s="773"/>
      <c r="J17" s="35" t="s">
        <v>21</v>
      </c>
      <c r="K17" s="36">
        <v>112.5</v>
      </c>
      <c r="L17" s="44">
        <v>131.19999999999999</v>
      </c>
      <c r="N17" s="45" t="s">
        <v>22</v>
      </c>
      <c r="O17" s="46">
        <f>+elec_pmts_info!H10</f>
        <v>120.321197096478</v>
      </c>
      <c r="P17" s="47">
        <f>+elec_pmts_info!I10</f>
        <v>140.44164721447802</v>
      </c>
    </row>
    <row r="18" spans="2:16" ht="18">
      <c r="B18" s="42" t="s">
        <v>21</v>
      </c>
      <c r="C18" s="43">
        <v>112.5</v>
      </c>
      <c r="D18" s="34">
        <v>500</v>
      </c>
      <c r="E18" s="48">
        <v>131.19999999999999</v>
      </c>
      <c r="F18" s="34">
        <v>500</v>
      </c>
      <c r="G18" s="17">
        <f>E18/C18-1</f>
        <v>0.16622222222222205</v>
      </c>
      <c r="I18" s="774"/>
      <c r="J18" s="49" t="s">
        <v>23</v>
      </c>
      <c r="K18" s="50">
        <v>112.5</v>
      </c>
      <c r="L18" s="51">
        <v>131.19999999999999</v>
      </c>
    </row>
    <row r="19" spans="2:16" ht="18">
      <c r="B19" s="52" t="s">
        <v>23</v>
      </c>
      <c r="C19" s="53">
        <v>112.5</v>
      </c>
      <c r="D19" s="54"/>
      <c r="E19" s="55">
        <v>131.19999999999999</v>
      </c>
      <c r="F19" s="54"/>
      <c r="G19" s="17">
        <f t="shared" ref="G19:G32" si="0">E19/C19-1</f>
        <v>0.16622222222222205</v>
      </c>
      <c r="I19" s="775" t="s">
        <v>7</v>
      </c>
      <c r="J19" s="35" t="s">
        <v>19</v>
      </c>
      <c r="K19" s="36">
        <v>91.17</v>
      </c>
      <c r="L19" s="37">
        <v>91.17</v>
      </c>
    </row>
    <row r="20" spans="2:16" ht="18">
      <c r="B20" s="33" t="s">
        <v>7</v>
      </c>
      <c r="C20" s="34"/>
      <c r="D20" s="34"/>
      <c r="F20" s="34"/>
      <c r="G20" s="17" t="e">
        <f t="shared" si="0"/>
        <v>#DIV/0!</v>
      </c>
      <c r="I20" s="773"/>
      <c r="J20" s="35" t="s">
        <v>21</v>
      </c>
      <c r="K20" s="36">
        <v>112.5</v>
      </c>
      <c r="L20" s="44">
        <v>131.19999999999999</v>
      </c>
    </row>
    <row r="21" spans="2:16" ht="18.600000000000001" thickBot="1">
      <c r="B21" s="42" t="s">
        <v>19</v>
      </c>
      <c r="C21" s="43">
        <v>91.17</v>
      </c>
      <c r="D21" s="34">
        <v>150</v>
      </c>
      <c r="E21" s="17">
        <v>91.17</v>
      </c>
      <c r="F21" s="34">
        <v>150</v>
      </c>
      <c r="G21" s="17">
        <f t="shared" si="0"/>
        <v>0</v>
      </c>
      <c r="I21" s="776"/>
      <c r="J21" s="56" t="s">
        <v>23</v>
      </c>
      <c r="K21" s="57">
        <v>124.62</v>
      </c>
      <c r="L21" s="58">
        <v>145.30000000000001</v>
      </c>
      <c r="N21" s="33"/>
    </row>
    <row r="22" spans="2:16" ht="19.2" thickTop="1" thickBot="1">
      <c r="B22" s="42" t="s">
        <v>21</v>
      </c>
      <c r="C22" s="43">
        <v>112.5</v>
      </c>
      <c r="D22" s="34">
        <v>250</v>
      </c>
      <c r="E22" s="48">
        <v>131.19999999999999</v>
      </c>
      <c r="F22" s="34">
        <v>250</v>
      </c>
      <c r="G22" s="17">
        <f t="shared" si="0"/>
        <v>0.16622222222222205</v>
      </c>
      <c r="I22" s="779" t="s">
        <v>24</v>
      </c>
      <c r="J22" s="779"/>
      <c r="K22" s="771">
        <f>elec_pmts_info!E6</f>
        <v>158.4</v>
      </c>
      <c r="L22" s="771"/>
    </row>
    <row r="23" spans="2:16" ht="15.6" thickTop="1" thickBot="1">
      <c r="B23" s="59" t="s">
        <v>23</v>
      </c>
      <c r="C23" s="60">
        <v>124.62</v>
      </c>
      <c r="D23" s="61"/>
      <c r="E23" s="62">
        <v>145.30000000000001</v>
      </c>
      <c r="F23" s="63"/>
      <c r="G23" s="17">
        <f t="shared" si="0"/>
        <v>0.16594447119242495</v>
      </c>
      <c r="J23" s="33"/>
      <c r="K23" s="34"/>
    </row>
    <row r="24" spans="2:16" ht="17.100000000000001" customHeight="1" thickTop="1" thickBot="1">
      <c r="B24" s="772" t="s">
        <v>25</v>
      </c>
      <c r="C24" s="772"/>
      <c r="D24" s="772"/>
      <c r="E24" s="772"/>
      <c r="F24" s="772"/>
      <c r="G24" s="17" t="e">
        <f t="shared" si="0"/>
        <v>#DIV/0!</v>
      </c>
      <c r="I24" s="38" t="s">
        <v>26</v>
      </c>
      <c r="J24" s="38"/>
      <c r="K24" s="38"/>
      <c r="L24" s="38"/>
      <c r="M24" s="38"/>
    </row>
    <row r="25" spans="2:16" ht="15.9" customHeight="1" thickTop="1">
      <c r="B25" s="33" t="s">
        <v>27</v>
      </c>
      <c r="C25" s="34"/>
      <c r="D25" s="34"/>
      <c r="G25" s="17" t="e">
        <f t="shared" si="0"/>
        <v>#DIV/0!</v>
      </c>
      <c r="I25" s="31"/>
      <c r="J25" s="31"/>
      <c r="K25" s="31" t="s">
        <v>14</v>
      </c>
      <c r="L25" s="31" t="s">
        <v>15</v>
      </c>
      <c r="M25" s="33"/>
    </row>
    <row r="26" spans="2:16" ht="18">
      <c r="B26" s="42" t="s">
        <v>19</v>
      </c>
      <c r="C26" s="64">
        <v>96.72</v>
      </c>
      <c r="D26" s="34">
        <v>300</v>
      </c>
      <c r="E26" s="17">
        <v>96.7</v>
      </c>
      <c r="F26" s="34">
        <v>300</v>
      </c>
      <c r="G26" s="17">
        <f t="shared" si="0"/>
        <v>-2.0678246484695517E-4</v>
      </c>
      <c r="I26" s="773" t="s">
        <v>10</v>
      </c>
      <c r="J26" s="35" t="s">
        <v>19</v>
      </c>
      <c r="K26" s="65">
        <v>96.72</v>
      </c>
      <c r="L26" s="66">
        <v>96.7</v>
      </c>
    </row>
    <row r="27" spans="2:16" ht="18">
      <c r="B27" s="42" t="s">
        <v>21</v>
      </c>
      <c r="C27" s="67">
        <v>113.38</v>
      </c>
      <c r="D27" s="34">
        <v>500</v>
      </c>
      <c r="E27" s="48">
        <v>132.19999999999999</v>
      </c>
      <c r="F27" s="34">
        <v>500</v>
      </c>
      <c r="G27" s="17">
        <f t="shared" si="0"/>
        <v>0.16599047451049564</v>
      </c>
      <c r="I27" s="773"/>
      <c r="J27" s="35" t="s">
        <v>21</v>
      </c>
      <c r="K27" s="68">
        <v>113.38</v>
      </c>
      <c r="L27" s="69">
        <v>132.19999999999999</v>
      </c>
    </row>
    <row r="28" spans="2:16" ht="18">
      <c r="B28" s="52" t="s">
        <v>23</v>
      </c>
      <c r="C28" s="70">
        <v>113.38</v>
      </c>
      <c r="D28" s="54"/>
      <c r="E28" s="55">
        <v>132.19999999999999</v>
      </c>
      <c r="F28" s="54"/>
      <c r="G28" s="17">
        <f t="shared" si="0"/>
        <v>0.16599047451049564</v>
      </c>
      <c r="I28" s="774"/>
      <c r="J28" s="49" t="s">
        <v>23</v>
      </c>
      <c r="K28" s="71">
        <v>113.38</v>
      </c>
      <c r="L28" s="72">
        <v>132.19999999999999</v>
      </c>
    </row>
    <row r="29" spans="2:16" ht="18">
      <c r="B29" s="33" t="s">
        <v>28</v>
      </c>
      <c r="C29" s="34"/>
      <c r="D29" s="34"/>
      <c r="F29" s="34"/>
      <c r="G29" s="17" t="e">
        <f t="shared" si="0"/>
        <v>#DIV/0!</v>
      </c>
      <c r="I29" s="775" t="s">
        <v>7</v>
      </c>
      <c r="J29" s="35" t="s">
        <v>19</v>
      </c>
      <c r="K29" s="73">
        <v>96.72</v>
      </c>
      <c r="L29" s="66">
        <v>96.7</v>
      </c>
    </row>
    <row r="30" spans="2:16" ht="18">
      <c r="B30" s="42" t="s">
        <v>19</v>
      </c>
      <c r="C30" s="74">
        <v>96.72</v>
      </c>
      <c r="D30" s="34">
        <v>150</v>
      </c>
      <c r="E30" s="17">
        <v>96.7</v>
      </c>
      <c r="F30" s="34">
        <v>150</v>
      </c>
      <c r="G30" s="17">
        <f t="shared" si="0"/>
        <v>-2.0678246484695517E-4</v>
      </c>
      <c r="I30" s="773"/>
      <c r="J30" s="35" t="s">
        <v>21</v>
      </c>
      <c r="K30" s="75">
        <v>113.38</v>
      </c>
      <c r="L30" s="69">
        <v>132.19999999999999</v>
      </c>
    </row>
    <row r="31" spans="2:16" ht="18.600000000000001" thickBot="1">
      <c r="B31" s="42" t="s">
        <v>21</v>
      </c>
      <c r="C31" s="76">
        <v>113.38</v>
      </c>
      <c r="D31" s="34">
        <v>250</v>
      </c>
      <c r="E31" s="48">
        <v>132.19999999999999</v>
      </c>
      <c r="F31" s="34">
        <v>250</v>
      </c>
      <c r="G31" s="17">
        <f t="shared" si="0"/>
        <v>0.16599047451049564</v>
      </c>
      <c r="I31" s="776"/>
      <c r="J31" s="56" t="s">
        <v>23</v>
      </c>
      <c r="K31" s="77">
        <v>123.92</v>
      </c>
      <c r="L31" s="78">
        <v>144.5</v>
      </c>
    </row>
    <row r="32" spans="2:16" ht="15.6" thickTop="1" thickBot="1">
      <c r="B32" s="59" t="s">
        <v>23</v>
      </c>
      <c r="C32" s="79">
        <v>123.92</v>
      </c>
      <c r="D32" s="61"/>
      <c r="E32" s="55">
        <v>144.5</v>
      </c>
      <c r="F32" s="63"/>
      <c r="G32" s="17">
        <f t="shared" si="0"/>
        <v>0.1660748870238864</v>
      </c>
      <c r="J32" s="80"/>
      <c r="K32" s="81"/>
    </row>
    <row r="33" spans="2:11" ht="28.2" thickTop="1" thickBot="1">
      <c r="B33" s="82" t="s">
        <v>29</v>
      </c>
      <c r="C33" s="83">
        <v>114</v>
      </c>
      <c r="D33" s="82"/>
      <c r="E33" s="82"/>
      <c r="F33" s="82"/>
      <c r="J33" s="84"/>
      <c r="K33" s="81"/>
    </row>
    <row r="34" spans="2:11" ht="15" thickTop="1">
      <c r="J34" s="84"/>
      <c r="K34" s="81"/>
    </row>
    <row r="35" spans="2:11">
      <c r="J35" s="84"/>
      <c r="K35" s="81"/>
    </row>
  </sheetData>
  <protectedRanges>
    <protectedRange sqref="C30 C17:D19 C21 C26 F17:F19 D26:D28 F26:F28 K16:K19 K26 K29" name="Range1_2_1"/>
    <protectedRange sqref="D21 C22:D23 F21:F22 D30:D31 F30:F31 K20:K21" name="Range2_2_1"/>
  </protectedRanges>
  <mergeCells count="16">
    <mergeCell ref="A9:C9"/>
    <mergeCell ref="F9:J9"/>
    <mergeCell ref="A10:C10"/>
    <mergeCell ref="F10:J10"/>
    <mergeCell ref="A11:C11"/>
    <mergeCell ref="F11:J11"/>
    <mergeCell ref="K22:L22"/>
    <mergeCell ref="B24:F24"/>
    <mergeCell ref="I26:I28"/>
    <mergeCell ref="I29:I31"/>
    <mergeCell ref="C13:D13"/>
    <mergeCell ref="E13:F13"/>
    <mergeCell ref="B15:F15"/>
    <mergeCell ref="I16:I18"/>
    <mergeCell ref="I19:I21"/>
    <mergeCell ref="I22:J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C68E4-CB38-4348-855C-5FAE25CAEA32}">
  <sheetPr codeName="Hoja2"/>
  <dimension ref="A1:L19"/>
  <sheetViews>
    <sheetView workbookViewId="0">
      <selection activeCell="B21" sqref="B21"/>
    </sheetView>
  </sheetViews>
  <sheetFormatPr baseColWidth="10" defaultColWidth="11.44140625" defaultRowHeight="14.4"/>
  <cols>
    <col min="1" max="1" width="29.44140625" style="85" customWidth="1"/>
    <col min="2" max="7" width="11.44140625" style="85"/>
    <col min="8" max="8" width="14.109375" style="85" customWidth="1"/>
    <col min="9" max="9" width="14" style="85" customWidth="1"/>
    <col min="10" max="16384" width="11.44140625" style="85"/>
  </cols>
  <sheetData>
    <row r="1" spans="1:12">
      <c r="A1" s="85" t="s">
        <v>30</v>
      </c>
      <c r="K1" s="85" t="s">
        <v>1</v>
      </c>
      <c r="L1" s="85">
        <v>1.13868685</v>
      </c>
    </row>
    <row r="2" spans="1:12" ht="15" thickBot="1">
      <c r="A2" s="17"/>
      <c r="B2" s="17"/>
      <c r="C2" s="17"/>
      <c r="D2" s="17"/>
    </row>
    <row r="3" spans="1:12" ht="31.8" thickTop="1">
      <c r="A3" s="18"/>
      <c r="B3" s="18" t="s">
        <v>31</v>
      </c>
      <c r="C3" s="18" t="s">
        <v>32</v>
      </c>
    </row>
    <row r="4" spans="1:12">
      <c r="A4" s="86" t="s">
        <v>33</v>
      </c>
      <c r="B4" s="87">
        <f>+Fuel_prices_info!L12</f>
        <v>476.32255555555554</v>
      </c>
      <c r="C4" s="87">
        <f>+Fuel_prices_info!L19</f>
        <v>476.32255555555554</v>
      </c>
    </row>
    <row r="5" spans="1:12">
      <c r="A5" s="88" t="s">
        <v>34</v>
      </c>
      <c r="B5" s="89">
        <f>+Fuel_prices_info!L13</f>
        <v>889.99999999999727</v>
      </c>
      <c r="C5" s="89">
        <f>+Fuel_prices_info!L20</f>
        <v>990.00009999999997</v>
      </c>
    </row>
    <row r="6" spans="1:12">
      <c r="A6" s="88" t="s">
        <v>35</v>
      </c>
      <c r="B6" s="87">
        <f>+Fuel_prices_info!L14</f>
        <v>664.9997800000001</v>
      </c>
      <c r="C6" s="87">
        <f>+Fuel_prices_info!L21</f>
        <v>664.9997800000001</v>
      </c>
    </row>
    <row r="7" spans="1:12">
      <c r="A7" s="90" t="s">
        <v>36</v>
      </c>
      <c r="B7" s="87">
        <f>+Fuel_prices_info!L15</f>
        <v>496.99964</v>
      </c>
      <c r="C7" s="87">
        <f>+Fuel_prices_info!L22</f>
        <v>496.99964</v>
      </c>
    </row>
    <row r="8" spans="1:12">
      <c r="A8" s="86" t="s">
        <v>37</v>
      </c>
      <c r="B8" s="87">
        <f>+Fuel_prices_info!L16</f>
        <v>409.99941999999999</v>
      </c>
      <c r="C8" s="87">
        <f>+Fuel_prices_info!L23</f>
        <v>409.99941999999999</v>
      </c>
    </row>
    <row r="9" spans="1:12">
      <c r="A9" s="91" t="s">
        <v>38</v>
      </c>
      <c r="B9" s="92">
        <f>+Fuel_prices_info!L17</f>
        <v>654.99999999999784</v>
      </c>
      <c r="C9" s="92">
        <f>+Fuel_prices_info!L24</f>
        <v>754.9995600000002</v>
      </c>
    </row>
    <row r="19" ht="17.100000000000001" customHeight="1"/>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78DA-24D4-41AF-834D-99C3128FF81C}">
  <sheetPr codeName="Hoja3"/>
  <dimension ref="A1:R113"/>
  <sheetViews>
    <sheetView topLeftCell="A2" workbookViewId="0">
      <pane ySplit="3" topLeftCell="A72" activePane="bottomLeft" state="frozen"/>
      <selection activeCell="A2" sqref="A2"/>
      <selection pane="bottomLeft" activeCell="N73" sqref="N73"/>
    </sheetView>
  </sheetViews>
  <sheetFormatPr baseColWidth="10" defaultColWidth="11.44140625" defaultRowHeight="14.4"/>
  <cols>
    <col min="4" max="4" width="12.33203125" customWidth="1"/>
    <col min="10" max="10" width="13.88671875" customWidth="1"/>
    <col min="11" max="12" width="13.6640625" customWidth="1"/>
  </cols>
  <sheetData>
    <row r="1" spans="1:18">
      <c r="A1" t="s">
        <v>39</v>
      </c>
    </row>
    <row r="2" spans="1:18">
      <c r="A2" t="s">
        <v>40</v>
      </c>
      <c r="B2" t="s">
        <v>41</v>
      </c>
      <c r="C2" t="s">
        <v>42</v>
      </c>
      <c r="D2" t="s">
        <v>43</v>
      </c>
      <c r="E2" t="s">
        <v>44</v>
      </c>
      <c r="F2" t="s">
        <v>45</v>
      </c>
    </row>
    <row r="3" spans="1:18" s="405" customFormat="1" ht="117.6">
      <c r="A3" s="405" t="s">
        <v>46</v>
      </c>
      <c r="B3" s="405" t="s">
        <v>47</v>
      </c>
      <c r="C3" s="405" t="s">
        <v>48</v>
      </c>
      <c r="D3" s="405" t="s">
        <v>49</v>
      </c>
      <c r="E3" s="405" t="s">
        <v>50</v>
      </c>
      <c r="F3" s="405" t="s">
        <v>51</v>
      </c>
      <c r="G3" s="398" t="s">
        <v>52</v>
      </c>
      <c r="H3" s="398" t="s">
        <v>53</v>
      </c>
      <c r="I3" s="398" t="s">
        <v>54</v>
      </c>
      <c r="J3" s="398" t="s">
        <v>55</v>
      </c>
      <c r="K3" s="398" t="s">
        <v>55</v>
      </c>
      <c r="L3" s="398" t="s">
        <v>56</v>
      </c>
      <c r="M3" s="398" t="s">
        <v>56</v>
      </c>
      <c r="N3" s="398" t="s">
        <v>57</v>
      </c>
      <c r="O3" s="406" t="s">
        <v>58</v>
      </c>
      <c r="P3" s="407" t="s">
        <v>59</v>
      </c>
      <c r="Q3" s="406" t="s">
        <v>60</v>
      </c>
      <c r="R3" s="407" t="s">
        <v>61</v>
      </c>
    </row>
    <row r="4" spans="1:18">
      <c r="A4" t="s">
        <v>62</v>
      </c>
      <c r="B4" t="s">
        <v>63</v>
      </c>
      <c r="C4" t="s">
        <v>64</v>
      </c>
      <c r="D4" t="s">
        <v>64</v>
      </c>
      <c r="E4" t="s">
        <v>64</v>
      </c>
      <c r="F4" t="s">
        <v>64</v>
      </c>
      <c r="G4" t="s">
        <v>64</v>
      </c>
      <c r="H4" s="399" t="s">
        <v>65</v>
      </c>
      <c r="I4" s="399" t="s">
        <v>65</v>
      </c>
      <c r="J4" t="s">
        <v>64</v>
      </c>
      <c r="K4" s="399" t="s">
        <v>65</v>
      </c>
      <c r="L4" t="s">
        <v>64</v>
      </c>
      <c r="M4" s="399" t="s">
        <v>65</v>
      </c>
      <c r="N4" s="399" t="s">
        <v>66</v>
      </c>
      <c r="O4" s="399" t="s">
        <v>67</v>
      </c>
      <c r="P4" s="399" t="s">
        <v>67</v>
      </c>
      <c r="Q4" s="400" t="s">
        <v>67</v>
      </c>
      <c r="R4" s="399" t="s">
        <v>68</v>
      </c>
    </row>
    <row r="5" spans="1:18">
      <c r="A5" t="s">
        <v>69</v>
      </c>
      <c r="B5" t="s">
        <v>70</v>
      </c>
      <c r="C5" t="s">
        <v>71</v>
      </c>
      <c r="D5" t="s">
        <v>71</v>
      </c>
      <c r="E5" t="s">
        <v>71</v>
      </c>
      <c r="F5" t="s">
        <v>71</v>
      </c>
    </row>
    <row r="6" spans="1:18">
      <c r="A6" t="s">
        <v>72</v>
      </c>
      <c r="B6" t="s">
        <v>73</v>
      </c>
      <c r="C6" t="s">
        <v>74</v>
      </c>
      <c r="D6" t="s">
        <v>74</v>
      </c>
      <c r="E6" t="s">
        <v>74</v>
      </c>
      <c r="F6" t="s">
        <v>75</v>
      </c>
    </row>
    <row r="7" spans="1:18">
      <c r="A7" t="s">
        <v>76</v>
      </c>
      <c r="B7" t="s">
        <v>77</v>
      </c>
      <c r="C7" t="s">
        <v>77</v>
      </c>
      <c r="D7" t="s">
        <v>77</v>
      </c>
      <c r="E7" t="s">
        <v>77</v>
      </c>
      <c r="F7" t="s">
        <v>77</v>
      </c>
    </row>
    <row r="8" spans="1:18">
      <c r="A8" t="s">
        <v>78</v>
      </c>
      <c r="B8" t="s">
        <v>79</v>
      </c>
      <c r="C8" t="s">
        <v>79</v>
      </c>
      <c r="D8" t="s">
        <v>79</v>
      </c>
      <c r="E8" t="s">
        <v>79</v>
      </c>
      <c r="F8" t="s">
        <v>79</v>
      </c>
    </row>
    <row r="9" spans="1:18">
      <c r="A9">
        <v>1960</v>
      </c>
      <c r="B9" s="397">
        <v>13442000</v>
      </c>
      <c r="C9" s="397">
        <v>90660000</v>
      </c>
      <c r="D9" s="397">
        <v>16780000</v>
      </c>
      <c r="E9" s="397">
        <v>17609000</v>
      </c>
      <c r="F9" s="397">
        <v>90470000</v>
      </c>
      <c r="G9" s="397"/>
    </row>
    <row r="10" spans="1:18">
      <c r="A10">
        <v>1961</v>
      </c>
      <c r="B10" s="397">
        <v>11815000</v>
      </c>
      <c r="C10" s="397">
        <v>90146000</v>
      </c>
      <c r="D10" s="397">
        <v>17662000</v>
      </c>
      <c r="E10" s="397">
        <v>15134000</v>
      </c>
      <c r="F10" s="397">
        <v>105222000</v>
      </c>
      <c r="G10" s="397"/>
    </row>
    <row r="11" spans="1:18">
      <c r="A11">
        <v>1962</v>
      </c>
      <c r="B11" s="397">
        <v>13084000</v>
      </c>
      <c r="C11" s="397">
        <v>91559000</v>
      </c>
      <c r="D11" s="397">
        <v>18512000</v>
      </c>
      <c r="E11" s="397">
        <v>15696000</v>
      </c>
      <c r="F11" s="397">
        <v>110391000</v>
      </c>
      <c r="G11" s="397"/>
    </row>
    <row r="12" spans="1:18">
      <c r="A12">
        <v>1963</v>
      </c>
      <c r="B12" s="397">
        <v>13022000</v>
      </c>
      <c r="C12" s="397">
        <v>94800000</v>
      </c>
      <c r="D12" s="397">
        <v>20430000</v>
      </c>
      <c r="E12" s="397">
        <v>20355000</v>
      </c>
      <c r="F12" s="397">
        <v>113703000</v>
      </c>
      <c r="G12" s="397"/>
    </row>
    <row r="13" spans="1:18">
      <c r="A13">
        <v>1964</v>
      </c>
      <c r="B13" s="397">
        <v>12189000</v>
      </c>
      <c r="C13" s="397">
        <v>92368000</v>
      </c>
      <c r="D13" s="397">
        <v>19157000</v>
      </c>
      <c r="E13" s="397">
        <v>25965000</v>
      </c>
      <c r="F13" s="397">
        <v>124804000</v>
      </c>
      <c r="G13" s="397"/>
    </row>
    <row r="14" spans="1:18">
      <c r="A14">
        <v>1965</v>
      </c>
      <c r="B14" s="397">
        <v>12408000</v>
      </c>
      <c r="C14" s="397">
        <v>89570000</v>
      </c>
      <c r="D14" s="397">
        <v>19200000</v>
      </c>
      <c r="E14" s="397">
        <v>31855000</v>
      </c>
      <c r="F14" s="397">
        <v>130311000</v>
      </c>
      <c r="G14" s="397"/>
    </row>
    <row r="15" spans="1:18">
      <c r="A15">
        <v>1966</v>
      </c>
      <c r="B15" s="397">
        <v>11965000</v>
      </c>
      <c r="C15" s="397">
        <v>90073000</v>
      </c>
      <c r="D15" s="397">
        <v>19199000</v>
      </c>
      <c r="E15" s="397">
        <v>36511000</v>
      </c>
      <c r="F15" s="397">
        <v>139669000</v>
      </c>
      <c r="G15" s="397"/>
    </row>
    <row r="16" spans="1:18">
      <c r="A16">
        <v>1967</v>
      </c>
      <c r="B16" s="397">
        <v>11776000</v>
      </c>
      <c r="C16" s="397">
        <v>90275000</v>
      </c>
      <c r="D16" s="397">
        <v>21324000</v>
      </c>
      <c r="E16" s="397">
        <v>28713000</v>
      </c>
      <c r="F16" s="397">
        <v>137357000</v>
      </c>
      <c r="G16" s="397"/>
      <c r="H16" s="397"/>
    </row>
    <row r="17" spans="1:8">
      <c r="A17">
        <v>1968</v>
      </c>
      <c r="B17" s="397">
        <v>11497000</v>
      </c>
      <c r="C17" s="397">
        <v>93275000</v>
      </c>
      <c r="D17" s="397">
        <v>26321000</v>
      </c>
      <c r="E17" s="397">
        <v>25789000</v>
      </c>
      <c r="F17" s="397">
        <v>150093000</v>
      </c>
      <c r="G17" s="397"/>
    </row>
    <row r="18" spans="1:8">
      <c r="A18">
        <v>1969</v>
      </c>
      <c r="B18" s="397">
        <v>13319000</v>
      </c>
      <c r="C18" s="397">
        <v>84334000</v>
      </c>
      <c r="D18" s="397">
        <v>27492000</v>
      </c>
      <c r="E18" s="397">
        <v>28881000</v>
      </c>
      <c r="F18" s="397">
        <v>167373000</v>
      </c>
      <c r="G18" s="397"/>
    </row>
    <row r="19" spans="1:8">
      <c r="A19">
        <v>1970</v>
      </c>
      <c r="B19" s="397">
        <v>12828000</v>
      </c>
      <c r="C19" s="397">
        <v>96608000</v>
      </c>
      <c r="D19" s="397">
        <v>27646000</v>
      </c>
      <c r="E19" s="397">
        <v>28004000</v>
      </c>
      <c r="F19" s="397">
        <v>178728000</v>
      </c>
      <c r="G19" s="397"/>
    </row>
    <row r="20" spans="1:8">
      <c r="A20">
        <v>1971</v>
      </c>
      <c r="B20" s="397">
        <v>13301000</v>
      </c>
      <c r="C20" s="397">
        <v>101638000</v>
      </c>
      <c r="D20" s="397">
        <v>28400000</v>
      </c>
      <c r="E20" s="397">
        <v>32224000</v>
      </c>
      <c r="F20" s="397">
        <v>169342000</v>
      </c>
      <c r="G20" s="397"/>
      <c r="H20" s="397"/>
    </row>
    <row r="21" spans="1:8">
      <c r="A21">
        <v>1972</v>
      </c>
      <c r="B21" s="397">
        <v>13782000</v>
      </c>
      <c r="C21" s="397">
        <v>114895000</v>
      </c>
      <c r="D21" s="397">
        <v>48504000</v>
      </c>
      <c r="E21" s="397">
        <v>30590000</v>
      </c>
      <c r="F21" s="397">
        <v>187813000</v>
      </c>
      <c r="G21" s="397"/>
      <c r="H21" s="397"/>
    </row>
    <row r="22" spans="1:8">
      <c r="A22">
        <v>1973</v>
      </c>
      <c r="B22" s="397">
        <v>13456000</v>
      </c>
      <c r="C22" s="397">
        <v>124603000</v>
      </c>
      <c r="D22" s="397">
        <v>51438000</v>
      </c>
      <c r="E22" s="397">
        <v>38587000</v>
      </c>
      <c r="F22" s="397">
        <v>210054000</v>
      </c>
      <c r="G22" s="397"/>
      <c r="H22" s="397"/>
    </row>
    <row r="23" spans="1:8">
      <c r="A23">
        <v>1974</v>
      </c>
      <c r="B23" s="397">
        <v>13529000</v>
      </c>
      <c r="C23" s="397">
        <v>124943000</v>
      </c>
      <c r="D23" s="397">
        <v>59497000</v>
      </c>
      <c r="E23" s="397">
        <v>36077000</v>
      </c>
      <c r="F23" s="397">
        <v>241547000</v>
      </c>
      <c r="G23" s="397"/>
      <c r="H23" s="397"/>
    </row>
    <row r="24" spans="1:8">
      <c r="A24">
        <v>1975</v>
      </c>
      <c r="B24" s="397">
        <v>14896000</v>
      </c>
      <c r="C24" s="397">
        <v>129831000</v>
      </c>
      <c r="D24" s="397">
        <v>94183000</v>
      </c>
      <c r="E24" s="397">
        <v>37542000</v>
      </c>
      <c r="F24" s="397">
        <v>250810000</v>
      </c>
      <c r="G24" s="397"/>
      <c r="H24" s="397"/>
    </row>
    <row r="25" spans="1:8">
      <c r="A25">
        <v>1976</v>
      </c>
      <c r="B25" s="397">
        <v>16827000</v>
      </c>
      <c r="C25" s="397">
        <v>148075000</v>
      </c>
      <c r="D25" s="397">
        <v>79525000</v>
      </c>
      <c r="E25" s="397">
        <v>43035000</v>
      </c>
      <c r="F25" s="397">
        <v>248946000</v>
      </c>
      <c r="G25" s="397"/>
      <c r="H25" s="397"/>
    </row>
    <row r="26" spans="1:8">
      <c r="A26">
        <v>1977</v>
      </c>
      <c r="B26" s="397">
        <v>15937000</v>
      </c>
      <c r="C26" s="397">
        <v>164754000</v>
      </c>
      <c r="D26" s="397">
        <v>115643000</v>
      </c>
      <c r="E26" s="397">
        <v>40478000</v>
      </c>
      <c r="F26" s="397">
        <v>284035000</v>
      </c>
      <c r="G26" s="397"/>
      <c r="H26" s="397"/>
    </row>
    <row r="27" spans="1:8">
      <c r="A27">
        <v>1978</v>
      </c>
      <c r="B27" s="397">
        <v>16198000</v>
      </c>
      <c r="C27" s="397">
        <v>173922000</v>
      </c>
      <c r="D27" s="397">
        <v>132900000</v>
      </c>
      <c r="E27" s="397">
        <v>40516000</v>
      </c>
      <c r="F27" s="397">
        <v>292168000</v>
      </c>
      <c r="G27" s="397"/>
      <c r="H27" s="397"/>
    </row>
    <row r="28" spans="1:8">
      <c r="A28">
        <v>1979</v>
      </c>
      <c r="B28" s="397">
        <v>16852000</v>
      </c>
      <c r="C28" s="397">
        <v>178573000</v>
      </c>
      <c r="D28" s="397">
        <v>141572000</v>
      </c>
      <c r="E28" s="397">
        <v>43945000</v>
      </c>
      <c r="F28" s="397">
        <v>313602000</v>
      </c>
      <c r="G28" s="397"/>
      <c r="H28" s="397"/>
    </row>
    <row r="29" spans="1:8">
      <c r="A29">
        <v>1980</v>
      </c>
      <c r="B29" s="397">
        <v>15245000</v>
      </c>
      <c r="C29" s="397">
        <v>171141000</v>
      </c>
      <c r="D29" s="397">
        <v>139850000</v>
      </c>
      <c r="E29" s="397">
        <v>45826000</v>
      </c>
      <c r="F29" s="397">
        <v>312475000</v>
      </c>
      <c r="G29" s="397"/>
      <c r="H29" s="397"/>
    </row>
    <row r="30" spans="1:8">
      <c r="A30">
        <v>1981</v>
      </c>
      <c r="B30" s="397">
        <v>14653000</v>
      </c>
      <c r="C30" s="397">
        <v>156191000</v>
      </c>
      <c r="D30" s="397">
        <v>136034000</v>
      </c>
      <c r="E30" s="397">
        <v>44652000</v>
      </c>
      <c r="F30" s="397">
        <v>320483000</v>
      </c>
      <c r="G30" s="397"/>
      <c r="H30" s="397"/>
    </row>
    <row r="31" spans="1:8">
      <c r="A31">
        <v>1982</v>
      </c>
      <c r="B31" s="397">
        <v>15228000</v>
      </c>
      <c r="C31" s="397">
        <v>150117000</v>
      </c>
      <c r="D31" s="397">
        <v>150599000</v>
      </c>
      <c r="E31" s="397">
        <v>37951000</v>
      </c>
      <c r="F31" s="397">
        <v>299451000</v>
      </c>
      <c r="G31" s="397"/>
      <c r="H31" s="397"/>
    </row>
    <row r="32" spans="1:8">
      <c r="A32">
        <v>1983</v>
      </c>
      <c r="B32" s="397">
        <v>14430000</v>
      </c>
      <c r="C32" s="397">
        <v>148671000</v>
      </c>
      <c r="D32" s="397">
        <v>172055000</v>
      </c>
      <c r="E32" s="397">
        <v>43086000</v>
      </c>
      <c r="F32" s="397">
        <v>322677000</v>
      </c>
      <c r="G32" s="397"/>
      <c r="H32" s="397"/>
    </row>
    <row r="33" spans="1:10">
      <c r="A33">
        <v>1984</v>
      </c>
      <c r="B33" s="397">
        <v>14000000</v>
      </c>
      <c r="C33" s="397">
        <v>138505000</v>
      </c>
      <c r="D33" s="397">
        <v>177374000</v>
      </c>
      <c r="E33" s="397">
        <v>64770000</v>
      </c>
      <c r="F33" s="397">
        <v>341042000</v>
      </c>
      <c r="G33" s="397"/>
      <c r="H33" s="397"/>
    </row>
    <row r="34" spans="1:10">
      <c r="A34">
        <v>1985</v>
      </c>
      <c r="B34" s="397">
        <v>13569000</v>
      </c>
      <c r="C34" s="397">
        <v>123334000</v>
      </c>
      <c r="D34" s="397">
        <v>190892000</v>
      </c>
      <c r="E34" s="397">
        <v>58128000</v>
      </c>
      <c r="F34" s="397">
        <v>326687000</v>
      </c>
      <c r="G34" s="397"/>
      <c r="H34" s="397"/>
    </row>
    <row r="35" spans="1:10">
      <c r="A35">
        <v>1986</v>
      </c>
      <c r="B35" s="397">
        <v>11360000</v>
      </c>
      <c r="C35" s="397">
        <v>119281000</v>
      </c>
      <c r="D35" s="397">
        <v>179508000</v>
      </c>
      <c r="E35" s="397">
        <v>50991000</v>
      </c>
      <c r="F35" s="397">
        <v>299093000</v>
      </c>
      <c r="G35" s="397"/>
      <c r="H35" s="397"/>
    </row>
    <row r="36" spans="1:10">
      <c r="A36">
        <v>1987</v>
      </c>
      <c r="B36" s="397">
        <v>13106000</v>
      </c>
      <c r="C36" s="397">
        <v>117514000</v>
      </c>
      <c r="D36" s="397">
        <v>142916000</v>
      </c>
      <c r="E36" s="397">
        <v>57391000</v>
      </c>
      <c r="F36" s="397">
        <v>327481000</v>
      </c>
      <c r="G36" s="397"/>
      <c r="H36" s="397"/>
    </row>
    <row r="37" spans="1:10">
      <c r="A37">
        <v>1988</v>
      </c>
      <c r="B37" s="397">
        <v>13365000</v>
      </c>
      <c r="C37" s="397">
        <v>112596000</v>
      </c>
      <c r="D37" s="397">
        <v>155424000</v>
      </c>
      <c r="E37" s="397">
        <v>64711000</v>
      </c>
      <c r="F37" s="397">
        <v>333595000</v>
      </c>
      <c r="G37" s="397"/>
      <c r="H37" s="397"/>
    </row>
    <row r="38" spans="1:10">
      <c r="A38">
        <v>1989</v>
      </c>
      <c r="B38" s="397">
        <v>12558000</v>
      </c>
      <c r="C38" s="397">
        <v>107825000</v>
      </c>
      <c r="D38" s="397">
        <v>165274000</v>
      </c>
      <c r="E38" s="397">
        <v>60627000</v>
      </c>
      <c r="F38" s="397">
        <v>335516000</v>
      </c>
      <c r="G38" s="397"/>
      <c r="H38" s="397"/>
    </row>
    <row r="39" spans="1:10">
      <c r="A39">
        <v>1990</v>
      </c>
      <c r="B39" s="397">
        <v>12421000</v>
      </c>
      <c r="C39" s="397">
        <v>106185000</v>
      </c>
      <c r="D39" s="397">
        <v>182153000</v>
      </c>
      <c r="E39" s="397">
        <v>61725000</v>
      </c>
      <c r="F39" s="397">
        <v>335654000</v>
      </c>
      <c r="G39" s="397"/>
      <c r="H39" s="397"/>
    </row>
    <row r="40" spans="1:10">
      <c r="A40">
        <v>1991</v>
      </c>
      <c r="B40" s="397">
        <v>12108000</v>
      </c>
      <c r="C40" s="397">
        <v>102537000</v>
      </c>
      <c r="D40" s="397">
        <v>190703000</v>
      </c>
      <c r="E40" s="397">
        <v>60278000</v>
      </c>
      <c r="F40" s="397">
        <v>327920000</v>
      </c>
      <c r="G40" s="397"/>
      <c r="H40" s="397"/>
      <c r="I40" s="397"/>
      <c r="J40" s="397"/>
    </row>
    <row r="41" spans="1:10">
      <c r="A41">
        <v>1992</v>
      </c>
      <c r="B41" s="397">
        <v>12979000</v>
      </c>
      <c r="C41" s="397">
        <v>102371000</v>
      </c>
      <c r="D41" s="397">
        <v>198014000</v>
      </c>
      <c r="E41" s="397">
        <v>76089000</v>
      </c>
      <c r="F41" s="397">
        <v>357315000</v>
      </c>
      <c r="G41" s="397"/>
      <c r="H41" s="397"/>
      <c r="I41" s="397"/>
      <c r="J41" s="397"/>
    </row>
    <row r="42" spans="1:10">
      <c r="A42">
        <v>1993</v>
      </c>
      <c r="B42" s="397">
        <v>11323000</v>
      </c>
      <c r="C42" s="397">
        <v>89391000</v>
      </c>
      <c r="D42" s="397">
        <v>196442000</v>
      </c>
      <c r="E42" s="397">
        <v>82331000</v>
      </c>
      <c r="F42" s="397">
        <v>342461000</v>
      </c>
      <c r="G42" s="397"/>
      <c r="H42" s="397"/>
      <c r="I42" s="397"/>
      <c r="J42" s="397"/>
    </row>
    <row r="43" spans="1:10">
      <c r="A43">
        <v>1994</v>
      </c>
      <c r="B43" s="397">
        <v>12482000</v>
      </c>
      <c r="C43" s="397">
        <v>88104000</v>
      </c>
      <c r="D43" s="397">
        <v>195789000</v>
      </c>
      <c r="E43" s="397">
        <v>74096000</v>
      </c>
      <c r="F43" s="397">
        <v>353538000</v>
      </c>
      <c r="G43" s="397"/>
      <c r="H43" s="397"/>
      <c r="I43" s="397"/>
      <c r="J43" s="397"/>
    </row>
    <row r="44" spans="1:10">
      <c r="A44">
        <v>1995</v>
      </c>
      <c r="B44" s="397">
        <v>13178000</v>
      </c>
      <c r="C44" s="397">
        <v>92928000</v>
      </c>
      <c r="D44" s="397">
        <v>205348000</v>
      </c>
      <c r="E44" s="397">
        <v>66417000</v>
      </c>
      <c r="F44" s="397">
        <v>364661000</v>
      </c>
      <c r="G44" s="397"/>
      <c r="H44" s="397"/>
      <c r="I44" s="397"/>
      <c r="J44" s="397"/>
    </row>
    <row r="45" spans="1:10">
      <c r="A45">
        <v>1996</v>
      </c>
      <c r="B45" s="397">
        <v>12805000</v>
      </c>
      <c r="C45" s="397">
        <v>100560000</v>
      </c>
      <c r="D45" s="397">
        <v>229713000</v>
      </c>
      <c r="E45" s="397">
        <v>67092000</v>
      </c>
      <c r="F45" s="397">
        <v>380621000</v>
      </c>
      <c r="G45" s="397"/>
      <c r="H45" s="397"/>
    </row>
    <row r="46" spans="1:10">
      <c r="A46">
        <v>1997</v>
      </c>
      <c r="B46" s="397">
        <v>14244000</v>
      </c>
      <c r="C46" s="397">
        <v>104113000</v>
      </c>
      <c r="D46" s="397">
        <v>252884000</v>
      </c>
      <c r="E46" s="397">
        <v>102323000</v>
      </c>
      <c r="F46" s="397">
        <v>417372000</v>
      </c>
      <c r="G46" s="397"/>
      <c r="H46" s="397"/>
    </row>
    <row r="47" spans="1:10">
      <c r="A47">
        <v>1998</v>
      </c>
      <c r="B47" s="397">
        <v>17769000</v>
      </c>
      <c r="C47" s="397">
        <v>110839000</v>
      </c>
      <c r="D47" s="397">
        <v>277258000</v>
      </c>
      <c r="E47" s="397">
        <v>128750000</v>
      </c>
      <c r="F47" s="397">
        <v>411140000</v>
      </c>
      <c r="G47" s="397"/>
      <c r="H47" s="397"/>
    </row>
    <row r="48" spans="1:10">
      <c r="A48">
        <v>1999</v>
      </c>
      <c r="B48" s="397">
        <v>24208000</v>
      </c>
      <c r="C48" s="397">
        <v>110658000</v>
      </c>
      <c r="D48" s="397">
        <v>310312000</v>
      </c>
      <c r="E48" s="397">
        <v>149094000</v>
      </c>
      <c r="F48" s="397">
        <v>425884000</v>
      </c>
      <c r="G48" s="397"/>
      <c r="H48" s="397"/>
    </row>
    <row r="49" spans="1:18">
      <c r="A49">
        <v>2000</v>
      </c>
      <c r="B49" s="397">
        <v>23088000</v>
      </c>
      <c r="C49" s="397">
        <v>122527000</v>
      </c>
      <c r="D49" s="397">
        <v>400668000</v>
      </c>
      <c r="E49" s="397">
        <v>133023000</v>
      </c>
      <c r="F49" s="397">
        <v>370209000</v>
      </c>
      <c r="G49" s="397"/>
      <c r="H49" s="397"/>
    </row>
    <row r="50" spans="1:18">
      <c r="A50">
        <v>2001</v>
      </c>
      <c r="B50" s="397">
        <v>24360000</v>
      </c>
      <c r="C50" s="397">
        <v>129232000</v>
      </c>
      <c r="D50" s="397">
        <v>366589000</v>
      </c>
      <c r="E50" s="397">
        <v>169750000</v>
      </c>
      <c r="F50" s="397">
        <v>407046000</v>
      </c>
      <c r="G50" s="397"/>
      <c r="H50" s="397"/>
    </row>
    <row r="51" spans="1:18">
      <c r="A51">
        <v>2002</v>
      </c>
      <c r="B51" s="397">
        <v>25782000</v>
      </c>
      <c r="C51" s="397">
        <v>138416000</v>
      </c>
      <c r="D51" s="397">
        <v>409441000</v>
      </c>
      <c r="E51" s="397">
        <v>165900000</v>
      </c>
      <c r="F51" s="397">
        <v>419223000</v>
      </c>
      <c r="G51" s="397"/>
      <c r="H51" s="397"/>
    </row>
    <row r="52" spans="1:18">
      <c r="A52">
        <v>2003</v>
      </c>
      <c r="B52" s="397">
        <v>25160000</v>
      </c>
      <c r="C52" s="397">
        <v>144372000</v>
      </c>
      <c r="D52" s="397">
        <v>437805000</v>
      </c>
      <c r="E52" s="397">
        <v>170866000</v>
      </c>
      <c r="F52" s="397">
        <v>393535000</v>
      </c>
      <c r="G52" s="397"/>
      <c r="H52" s="397"/>
    </row>
    <row r="53" spans="1:18">
      <c r="A53">
        <v>2004</v>
      </c>
      <c r="B53" s="397">
        <v>20732000</v>
      </c>
      <c r="C53" s="397">
        <v>141453640</v>
      </c>
      <c r="D53" s="397">
        <v>511806140</v>
      </c>
      <c r="E53" s="397">
        <v>132285850</v>
      </c>
      <c r="F53" s="397">
        <v>453775130</v>
      </c>
      <c r="G53" s="397"/>
      <c r="H53" s="397"/>
    </row>
    <row r="54" spans="1:18">
      <c r="A54">
        <v>2005</v>
      </c>
      <c r="B54" s="397">
        <v>11612600</v>
      </c>
      <c r="C54" s="397">
        <v>134962040</v>
      </c>
      <c r="D54" s="397">
        <v>422282240</v>
      </c>
      <c r="E54" s="397">
        <v>242704010</v>
      </c>
      <c r="F54" s="397">
        <v>474786660</v>
      </c>
      <c r="G54" s="397"/>
      <c r="H54" s="397"/>
    </row>
    <row r="55" spans="1:18">
      <c r="A55">
        <v>2006</v>
      </c>
      <c r="B55" s="397">
        <v>9823000</v>
      </c>
      <c r="C55" s="397">
        <v>136472800</v>
      </c>
      <c r="D55" s="397">
        <v>542013440</v>
      </c>
      <c r="E55" s="397">
        <v>161060250</v>
      </c>
      <c r="F55" s="397">
        <v>391701910</v>
      </c>
      <c r="G55" s="397"/>
      <c r="H55" s="397"/>
      <c r="I55" s="397"/>
      <c r="J55" s="397"/>
    </row>
    <row r="56" spans="1:18">
      <c r="A56">
        <v>2007</v>
      </c>
      <c r="B56" s="397">
        <v>6088000</v>
      </c>
      <c r="C56" s="397">
        <v>135297980</v>
      </c>
      <c r="D56" s="397">
        <v>619842830</v>
      </c>
      <c r="E56" s="397">
        <v>77194920</v>
      </c>
      <c r="F56" s="397">
        <v>465649280</v>
      </c>
      <c r="G56" s="397"/>
      <c r="H56" s="397"/>
      <c r="I56" s="397"/>
      <c r="J56" s="397"/>
    </row>
    <row r="57" spans="1:18">
      <c r="A57">
        <v>2008</v>
      </c>
      <c r="B57" s="397">
        <v>4581400</v>
      </c>
      <c r="C57" s="397">
        <v>133977340</v>
      </c>
      <c r="D57" s="397">
        <v>542841050</v>
      </c>
      <c r="E57" s="397">
        <v>102485390</v>
      </c>
      <c r="F57" s="397">
        <v>475449480</v>
      </c>
      <c r="G57" s="397"/>
      <c r="H57" s="397"/>
      <c r="I57" s="397"/>
      <c r="J57" s="397"/>
    </row>
    <row r="58" spans="1:18">
      <c r="A58">
        <v>2009</v>
      </c>
      <c r="B58" s="397">
        <v>5617960</v>
      </c>
      <c r="C58" s="397">
        <v>148717200</v>
      </c>
      <c r="D58" s="397">
        <v>593987990</v>
      </c>
      <c r="E58" s="397">
        <v>89778940</v>
      </c>
      <c r="F58" s="397">
        <v>568442700</v>
      </c>
      <c r="G58" s="397"/>
      <c r="H58" s="397"/>
      <c r="I58" s="397"/>
      <c r="J58" s="397"/>
    </row>
    <row r="59" spans="1:18">
      <c r="A59">
        <v>2010</v>
      </c>
      <c r="B59" s="397">
        <v>4189000</v>
      </c>
      <c r="C59" s="397">
        <v>153674908</v>
      </c>
      <c r="D59" s="397">
        <v>719341947</v>
      </c>
      <c r="E59" s="397">
        <v>58689347</v>
      </c>
      <c r="F59" s="397">
        <v>582382381</v>
      </c>
      <c r="G59" s="397"/>
      <c r="H59" s="397"/>
      <c r="I59" s="397"/>
      <c r="J59" s="397"/>
    </row>
    <row r="60" spans="1:18">
      <c r="A60">
        <v>2011</v>
      </c>
      <c r="B60" s="397">
        <v>4704000</v>
      </c>
      <c r="C60" s="397">
        <v>157676300</v>
      </c>
      <c r="D60" s="397">
        <v>816344262</v>
      </c>
      <c r="E60" s="397">
        <v>65509448</v>
      </c>
      <c r="F60" s="397">
        <v>506714149</v>
      </c>
      <c r="G60" s="397"/>
      <c r="H60" s="397"/>
      <c r="I60" s="397"/>
      <c r="J60" s="397"/>
    </row>
    <row r="61" spans="1:18">
      <c r="A61">
        <v>2012</v>
      </c>
      <c r="B61" s="397">
        <v>3386000</v>
      </c>
      <c r="C61" s="397">
        <v>163041000</v>
      </c>
      <c r="D61" s="397">
        <v>850488000</v>
      </c>
      <c r="E61" s="397">
        <v>42822000</v>
      </c>
      <c r="F61" s="397">
        <v>518603000</v>
      </c>
      <c r="G61" s="397"/>
      <c r="H61" s="397"/>
      <c r="I61" s="397"/>
      <c r="J61" s="397"/>
    </row>
    <row r="62" spans="1:18">
      <c r="A62">
        <v>2013</v>
      </c>
      <c r="B62" s="397">
        <v>3736000</v>
      </c>
      <c r="C62" s="397">
        <v>184193000</v>
      </c>
      <c r="D62" s="397">
        <v>823715000</v>
      </c>
      <c r="E62" s="397">
        <v>53390000</v>
      </c>
      <c r="F62" s="397">
        <v>596465000</v>
      </c>
      <c r="G62" s="397"/>
      <c r="H62" s="397"/>
      <c r="I62" s="397"/>
      <c r="J62" s="397"/>
    </row>
    <row r="63" spans="1:18">
      <c r="A63">
        <v>2014</v>
      </c>
      <c r="B63" s="397">
        <v>3907000</v>
      </c>
      <c r="C63" s="397">
        <v>177436000</v>
      </c>
      <c r="D63" s="397">
        <v>890594000</v>
      </c>
      <c r="E63" s="397">
        <v>43303000</v>
      </c>
      <c r="F63" s="397">
        <v>668565000</v>
      </c>
      <c r="G63" s="397"/>
      <c r="H63" s="397"/>
      <c r="I63" s="397"/>
      <c r="J63" s="397"/>
    </row>
    <row r="64" spans="1:18">
      <c r="A64">
        <v>2015</v>
      </c>
      <c r="B64" s="397"/>
      <c r="C64" s="397">
        <v>200359000</v>
      </c>
      <c r="D64" s="397">
        <v>936056000</v>
      </c>
      <c r="E64" s="397">
        <v>40294000</v>
      </c>
      <c r="F64" s="397">
        <v>736729000</v>
      </c>
      <c r="G64" s="397">
        <f>H64+I64</f>
        <v>201190000</v>
      </c>
      <c r="H64" s="401">
        <v>57739000</v>
      </c>
      <c r="I64" s="401">
        <v>143451000</v>
      </c>
      <c r="J64" s="408">
        <f>K64*1000/$J$113</f>
        <v>713720280.00000012</v>
      </c>
      <c r="K64" s="402">
        <v>849667000</v>
      </c>
      <c r="L64" s="408">
        <f>M64*1000/$J$112</f>
        <v>100437960.00000001</v>
      </c>
      <c r="M64" s="401">
        <v>119569000</v>
      </c>
      <c r="N64" s="401">
        <v>19473138</v>
      </c>
      <c r="O64" s="403">
        <v>795</v>
      </c>
      <c r="P64" s="403">
        <v>690</v>
      </c>
      <c r="Q64" s="404">
        <v>431.25799999999998</v>
      </c>
      <c r="R64" s="403">
        <v>3247</v>
      </c>
    </row>
    <row r="65" spans="1:18">
      <c r="A65">
        <v>2016</v>
      </c>
      <c r="B65" s="397">
        <v>4314000</v>
      </c>
      <c r="C65" s="397">
        <v>230690000</v>
      </c>
      <c r="D65" s="397">
        <v>1067121000</v>
      </c>
      <c r="E65" s="397">
        <v>49307000</v>
      </c>
      <c r="F65" s="397">
        <v>787328000</v>
      </c>
      <c r="G65" s="397">
        <f t="shared" ref="G65:G70" si="0">H65+I65</f>
        <v>230810000</v>
      </c>
      <c r="H65" s="401">
        <v>63198000</v>
      </c>
      <c r="I65" s="401">
        <v>167612000</v>
      </c>
      <c r="J65" s="408">
        <f t="shared" ref="J65:J70" si="1">K65*1000/$J$113</f>
        <v>866922840.00000012</v>
      </c>
      <c r="K65" s="402">
        <v>1032051000</v>
      </c>
      <c r="L65" s="408">
        <f t="shared" ref="L65:L70" si="2">M65*1000/$J$112</f>
        <v>91669200.000000015</v>
      </c>
      <c r="M65" s="401">
        <v>109130000</v>
      </c>
      <c r="N65" s="401">
        <v>22073053</v>
      </c>
      <c r="O65" s="403">
        <v>708</v>
      </c>
      <c r="P65" s="403">
        <v>605</v>
      </c>
      <c r="Q65" s="404">
        <v>301.70699999999999</v>
      </c>
      <c r="R65" s="403">
        <v>2931</v>
      </c>
    </row>
    <row r="66" spans="1:18">
      <c r="A66">
        <v>2017</v>
      </c>
      <c r="B66" s="397">
        <v>4236500</v>
      </c>
      <c r="C66" s="397">
        <v>267485000</v>
      </c>
      <c r="D66" s="397">
        <v>1121991733</v>
      </c>
      <c r="E66" s="397">
        <v>41095660</v>
      </c>
      <c r="F66" s="397">
        <v>744307611</v>
      </c>
      <c r="G66" s="397">
        <f t="shared" si="0"/>
        <v>269203000</v>
      </c>
      <c r="H66" s="401">
        <v>71046000</v>
      </c>
      <c r="I66" s="401">
        <v>198157000</v>
      </c>
      <c r="J66" s="408">
        <f t="shared" si="1"/>
        <v>942558960.00000012</v>
      </c>
      <c r="K66" s="402">
        <v>1122094000</v>
      </c>
      <c r="L66" s="408">
        <f t="shared" si="2"/>
        <v>83901720.000000015</v>
      </c>
      <c r="M66" s="401">
        <v>99883000</v>
      </c>
      <c r="N66" s="401">
        <v>24293499</v>
      </c>
      <c r="O66" s="403">
        <v>695</v>
      </c>
      <c r="P66" s="403">
        <v>595</v>
      </c>
      <c r="Q66" s="404">
        <v>306.66300000000001</v>
      </c>
      <c r="R66" s="403">
        <v>2885</v>
      </c>
    </row>
    <row r="67" spans="1:18">
      <c r="A67">
        <v>2018</v>
      </c>
      <c r="G67" s="397">
        <f t="shared" si="0"/>
        <v>305396000</v>
      </c>
      <c r="H67" s="401">
        <v>68536000</v>
      </c>
      <c r="I67" s="401">
        <v>236860000</v>
      </c>
      <c r="J67" s="408">
        <f t="shared" si="1"/>
        <v>1013576760.0000001</v>
      </c>
      <c r="K67" s="402">
        <v>1206639000</v>
      </c>
      <c r="L67" s="408">
        <f t="shared" si="2"/>
        <v>94830960.000000015</v>
      </c>
      <c r="M67" s="401">
        <v>112894000</v>
      </c>
      <c r="N67" s="401">
        <v>26574161</v>
      </c>
      <c r="O67" s="403">
        <v>695</v>
      </c>
      <c r="P67" s="403">
        <v>595</v>
      </c>
      <c r="Q67" s="404">
        <v>371.35899999999998</v>
      </c>
      <c r="R67" s="403">
        <v>2885</v>
      </c>
    </row>
    <row r="68" spans="1:18">
      <c r="A68">
        <v>2019</v>
      </c>
      <c r="G68" s="397">
        <f t="shared" si="0"/>
        <v>352975000</v>
      </c>
      <c r="H68" s="401">
        <v>78668000</v>
      </c>
      <c r="I68" s="401">
        <v>274307000</v>
      </c>
      <c r="J68" s="408">
        <f t="shared" si="1"/>
        <v>1103039280</v>
      </c>
      <c r="K68" s="402">
        <v>1313142000</v>
      </c>
      <c r="L68" s="408">
        <f t="shared" si="2"/>
        <v>94827600.000000015</v>
      </c>
      <c r="M68" s="401">
        <v>112890000</v>
      </c>
      <c r="N68" s="401">
        <v>28052471</v>
      </c>
      <c r="O68" s="403">
        <v>738</v>
      </c>
      <c r="P68" s="403">
        <v>627</v>
      </c>
      <c r="Q68" s="404">
        <v>360.26600000000002</v>
      </c>
      <c r="R68" s="403">
        <v>2885</v>
      </c>
    </row>
    <row r="69" spans="1:18">
      <c r="A69">
        <v>2020</v>
      </c>
      <c r="G69" s="397">
        <f t="shared" si="0"/>
        <v>355021000</v>
      </c>
      <c r="H69" s="401">
        <v>79930000</v>
      </c>
      <c r="I69" s="401">
        <v>275091000</v>
      </c>
      <c r="J69" s="408">
        <f t="shared" si="1"/>
        <v>1064543760.0000001</v>
      </c>
      <c r="K69" s="402">
        <v>1267314000</v>
      </c>
      <c r="L69" s="408">
        <f t="shared" si="2"/>
        <v>93202200.000000015</v>
      </c>
      <c r="M69" s="401">
        <v>110955000</v>
      </c>
      <c r="N69" s="401">
        <v>29210238</v>
      </c>
      <c r="O69" s="403">
        <v>775</v>
      </c>
      <c r="P69" s="403">
        <v>655</v>
      </c>
      <c r="Q69" s="404">
        <v>272.79399999999998</v>
      </c>
      <c r="R69" s="403">
        <v>2885</v>
      </c>
    </row>
    <row r="70" spans="1:18">
      <c r="A70">
        <v>2021</v>
      </c>
      <c r="G70" s="397">
        <f t="shared" si="0"/>
        <v>426074000</v>
      </c>
      <c r="H70" s="401">
        <v>81627000</v>
      </c>
      <c r="I70" s="401">
        <v>344447000</v>
      </c>
      <c r="J70" s="408">
        <f t="shared" si="1"/>
        <v>1103668440</v>
      </c>
      <c r="K70" s="402">
        <v>1313891000</v>
      </c>
      <c r="L70" s="408">
        <f t="shared" si="2"/>
        <v>90266400.000000015</v>
      </c>
      <c r="M70" s="401">
        <v>107460000</v>
      </c>
      <c r="N70" s="401">
        <v>32115751</v>
      </c>
      <c r="O70" s="403">
        <v>775</v>
      </c>
      <c r="P70" s="403">
        <v>655</v>
      </c>
      <c r="Q70" s="404">
        <v>375.71</v>
      </c>
      <c r="R70" s="403">
        <v>2885</v>
      </c>
    </row>
    <row r="71" spans="1:18">
      <c r="A71">
        <v>2022</v>
      </c>
      <c r="F71" s="397">
        <f t="shared" ref="F71:F77" si="3">(H64+I64)*1000/$J$109</f>
        <v>146868699.99999997</v>
      </c>
      <c r="H71" s="401" t="s">
        <v>80</v>
      </c>
      <c r="I71" s="401" t="s">
        <v>80</v>
      </c>
      <c r="J71" s="408"/>
      <c r="K71" s="402" t="s">
        <v>81</v>
      </c>
      <c r="L71" s="397"/>
      <c r="M71" s="401" t="s">
        <v>80</v>
      </c>
      <c r="N71" s="401">
        <v>26761214</v>
      </c>
      <c r="O71" s="403">
        <v>837</v>
      </c>
      <c r="P71" s="403">
        <v>655</v>
      </c>
      <c r="Q71" s="404">
        <v>509.77600000000001</v>
      </c>
      <c r="R71" s="403">
        <v>2885</v>
      </c>
    </row>
    <row r="72" spans="1:18">
      <c r="F72" s="397">
        <f t="shared" si="3"/>
        <v>168491299.99999997</v>
      </c>
    </row>
    <row r="73" spans="1:18">
      <c r="F73" s="397">
        <f t="shared" si="3"/>
        <v>196518189.99999997</v>
      </c>
    </row>
    <row r="74" spans="1:18">
      <c r="F74" s="397">
        <f t="shared" si="3"/>
        <v>222939079.99999997</v>
      </c>
    </row>
    <row r="75" spans="1:18">
      <c r="F75" s="397">
        <f t="shared" si="3"/>
        <v>257671749.99999997</v>
      </c>
    </row>
    <row r="76" spans="1:18">
      <c r="F76" s="397">
        <f t="shared" si="3"/>
        <v>259165329.99999997</v>
      </c>
    </row>
    <row r="77" spans="1:18">
      <c r="F77" s="397">
        <f t="shared" si="3"/>
        <v>311034019.99999994</v>
      </c>
    </row>
    <row r="108" spans="5:10">
      <c r="E108" t="s">
        <v>82</v>
      </c>
      <c r="F108" t="s">
        <v>83</v>
      </c>
      <c r="G108" t="s">
        <v>84</v>
      </c>
      <c r="H108" t="s">
        <v>85</v>
      </c>
      <c r="I108" t="s">
        <v>86</v>
      </c>
    </row>
    <row r="109" spans="5:10">
      <c r="E109" t="s">
        <v>87</v>
      </c>
      <c r="F109">
        <v>730</v>
      </c>
      <c r="G109">
        <v>1E-3</v>
      </c>
      <c r="H109">
        <f>1/1000</f>
        <v>1E-3</v>
      </c>
      <c r="I109">
        <f>H109*F109*G109</f>
        <v>7.2999999999999996E-4</v>
      </c>
      <c r="J109">
        <f>1/I109</f>
        <v>1369.8630136986303</v>
      </c>
    </row>
    <row r="110" spans="5:10">
      <c r="E110" t="s">
        <v>88</v>
      </c>
      <c r="F110">
        <v>580</v>
      </c>
      <c r="G110">
        <v>1E-3</v>
      </c>
      <c r="H110">
        <f>1/1000</f>
        <v>1E-3</v>
      </c>
      <c r="I110">
        <f>H110*F110*G110</f>
        <v>5.8E-4</v>
      </c>
      <c r="J110">
        <f>1/I110</f>
        <v>1724.1379310344828</v>
      </c>
    </row>
    <row r="111" spans="5:10">
      <c r="E111" t="s">
        <v>89</v>
      </c>
      <c r="F111">
        <v>510</v>
      </c>
      <c r="G111">
        <v>1E-3</v>
      </c>
      <c r="H111">
        <f>1/1000</f>
        <v>1E-3</v>
      </c>
      <c r="I111">
        <f>H111*F111*G111</f>
        <v>5.1000000000000004E-4</v>
      </c>
      <c r="J111">
        <f>1/I111</f>
        <v>1960.7843137254902</v>
      </c>
    </row>
    <row r="112" spans="5:10">
      <c r="E112" t="s">
        <v>90</v>
      </c>
      <c r="F112">
        <v>840</v>
      </c>
      <c r="G112">
        <v>1E-3</v>
      </c>
      <c r="H112">
        <f>1/1000</f>
        <v>1E-3</v>
      </c>
      <c r="I112">
        <f>H112*F112*G112</f>
        <v>8.4000000000000003E-4</v>
      </c>
      <c r="J112">
        <f>1/I112</f>
        <v>1190.4761904761904</v>
      </c>
    </row>
    <row r="113" spans="5:10">
      <c r="E113" t="s">
        <v>91</v>
      </c>
      <c r="F113">
        <v>840</v>
      </c>
      <c r="G113">
        <v>1E-3</v>
      </c>
      <c r="H113">
        <f>1/1000</f>
        <v>1E-3</v>
      </c>
      <c r="I113">
        <f>H113*F113*G113</f>
        <v>8.4000000000000003E-4</v>
      </c>
      <c r="J113">
        <f>1/I113</f>
        <v>1190.4761904761904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45731-BD5D-403D-AB48-3355CE3F9F13}">
  <sheetPr codeName="Hoja4"/>
  <dimension ref="A1:BD110"/>
  <sheetViews>
    <sheetView topLeftCell="V1" zoomScaleNormal="100" workbookViewId="0">
      <pane ySplit="6" topLeftCell="A71" activePane="bottomLeft" state="frozen"/>
      <selection activeCell="E18" sqref="E18"/>
      <selection pane="bottomLeft" activeCell="AG72" sqref="AG72"/>
    </sheetView>
  </sheetViews>
  <sheetFormatPr baseColWidth="10" defaultColWidth="11.5546875" defaultRowHeight="14.4"/>
  <cols>
    <col min="1" max="1" width="7.5546875" style="416" customWidth="1"/>
    <col min="2" max="2" width="10.6640625" style="416" customWidth="1"/>
    <col min="3" max="4" width="13.44140625" style="416" customWidth="1"/>
    <col min="5" max="6" width="10.109375" style="416" customWidth="1"/>
    <col min="7" max="7" width="15.6640625" style="416" hidden="1" customWidth="1"/>
    <col min="8" max="10" width="15.6640625" style="416" customWidth="1"/>
    <col min="11" max="17" width="9.88671875" style="416" customWidth="1"/>
    <col min="18" max="20" width="10.33203125" style="416" customWidth="1"/>
    <col min="21" max="23" width="11.33203125" style="416" customWidth="1"/>
    <col min="24" max="24" width="15.33203125" style="416" customWidth="1"/>
    <col min="25" max="25" width="16.33203125" style="416" customWidth="1"/>
    <col min="26" max="28" width="15.88671875" style="416" customWidth="1"/>
    <col min="29" max="29" width="11.33203125" style="416" customWidth="1"/>
    <col min="30" max="30" width="11.33203125" style="416" hidden="1" customWidth="1"/>
    <col min="31" max="33" width="11.33203125" style="416" customWidth="1"/>
    <col min="34" max="39" width="11.33203125" style="416" hidden="1" customWidth="1"/>
    <col min="40" max="53" width="11.33203125" style="416" customWidth="1"/>
    <col min="54" max="55" width="11.5546875" style="416"/>
    <col min="56" max="56" width="15.6640625" style="416" customWidth="1"/>
    <col min="57" max="16384" width="11.5546875" style="416"/>
  </cols>
  <sheetData>
    <row r="1" spans="1:56">
      <c r="F1" s="416" t="s">
        <v>92</v>
      </c>
      <c r="H1" s="416" t="s">
        <v>93</v>
      </c>
      <c r="J1" s="416" t="s">
        <v>94</v>
      </c>
      <c r="L1" s="416" t="s">
        <v>95</v>
      </c>
      <c r="M1" s="416" t="s">
        <v>96</v>
      </c>
      <c r="N1" s="416" t="s">
        <v>97</v>
      </c>
      <c r="Q1" s="416" t="s">
        <v>98</v>
      </c>
      <c r="R1" s="416" t="s">
        <v>99</v>
      </c>
      <c r="S1" s="416" t="s">
        <v>100</v>
      </c>
      <c r="T1" s="416" t="s">
        <v>101</v>
      </c>
      <c r="V1" s="416" t="s">
        <v>102</v>
      </c>
      <c r="W1" s="416" t="s">
        <v>103</v>
      </c>
      <c r="Y1" s="416" t="s">
        <v>104</v>
      </c>
      <c r="Z1" s="416" t="s">
        <v>105</v>
      </c>
      <c r="AA1" s="416" t="s">
        <v>106</v>
      </c>
      <c r="AC1" s="416" t="s">
        <v>107</v>
      </c>
      <c r="AE1" s="416" t="s">
        <v>108</v>
      </c>
      <c r="AF1" s="416" t="s">
        <v>109</v>
      </c>
      <c r="AG1" s="416" t="s">
        <v>110</v>
      </c>
    </row>
    <row r="2" spans="1:56">
      <c r="S2" s="789" t="s">
        <v>111</v>
      </c>
      <c r="T2" s="789"/>
      <c r="U2" s="789"/>
      <c r="V2" s="789"/>
      <c r="W2" s="789"/>
      <c r="X2" s="789"/>
      <c r="Y2" s="789"/>
      <c r="Z2" s="789"/>
      <c r="AA2" s="789"/>
    </row>
    <row r="3" spans="1:56" ht="30.6" customHeight="1">
      <c r="A3" s="419" t="s">
        <v>112</v>
      </c>
      <c r="B3" s="787" t="s">
        <v>33</v>
      </c>
      <c r="C3" s="787"/>
      <c r="D3" s="787"/>
      <c r="E3" s="787"/>
      <c r="F3" s="792" t="s">
        <v>113</v>
      </c>
      <c r="G3" s="792"/>
      <c r="H3" s="792"/>
      <c r="I3" s="792"/>
      <c r="J3" s="793" t="s">
        <v>114</v>
      </c>
      <c r="K3" s="793"/>
      <c r="L3" s="793"/>
      <c r="M3" s="793"/>
      <c r="N3" s="793"/>
      <c r="O3" s="793"/>
      <c r="P3" s="793"/>
      <c r="Q3" s="793"/>
      <c r="R3" s="793"/>
      <c r="S3" s="788" t="s">
        <v>115</v>
      </c>
      <c r="T3" s="788"/>
      <c r="U3" s="788"/>
      <c r="V3" s="417" t="s">
        <v>36</v>
      </c>
      <c r="W3" s="417" t="s">
        <v>36</v>
      </c>
      <c r="X3" s="417" t="s">
        <v>36</v>
      </c>
      <c r="Y3" s="418" t="s">
        <v>35</v>
      </c>
      <c r="Z3" s="790" t="s">
        <v>116</v>
      </c>
      <c r="AA3" s="790"/>
      <c r="AB3" s="790"/>
      <c r="AC3" s="791" t="s">
        <v>117</v>
      </c>
      <c r="AD3" s="791"/>
      <c r="AE3" s="791"/>
      <c r="AF3" s="791"/>
      <c r="AG3" s="791"/>
      <c r="AH3" s="791"/>
      <c r="AI3" s="791"/>
      <c r="AJ3" s="791"/>
      <c r="AK3" s="791"/>
      <c r="AL3" s="791"/>
      <c r="AM3" s="791"/>
    </row>
    <row r="4" spans="1:56" s="419" customFormat="1" ht="31.95" customHeight="1">
      <c r="A4" s="419" t="s">
        <v>118</v>
      </c>
      <c r="B4" s="419" t="s">
        <v>119</v>
      </c>
      <c r="C4" s="419" t="s">
        <v>57</v>
      </c>
      <c r="D4" s="419" t="s">
        <v>120</v>
      </c>
      <c r="E4" s="419" t="s">
        <v>120</v>
      </c>
      <c r="F4" s="419" t="s">
        <v>47</v>
      </c>
      <c r="G4" s="419" t="s">
        <v>47</v>
      </c>
      <c r="H4" s="419" t="s">
        <v>121</v>
      </c>
      <c r="I4" s="419" t="s">
        <v>121</v>
      </c>
      <c r="J4" s="419" t="s">
        <v>49</v>
      </c>
      <c r="K4" s="419" t="s">
        <v>49</v>
      </c>
      <c r="L4" s="419" t="s">
        <v>122</v>
      </c>
      <c r="M4" s="419" t="s">
        <v>122</v>
      </c>
      <c r="N4" s="419" t="s">
        <v>123</v>
      </c>
      <c r="O4" s="419" t="s">
        <v>123</v>
      </c>
      <c r="P4" s="419" t="s">
        <v>50</v>
      </c>
      <c r="Q4" s="419" t="s">
        <v>50</v>
      </c>
      <c r="R4" s="419" t="s">
        <v>55</v>
      </c>
      <c r="S4" s="419" t="s">
        <v>124</v>
      </c>
      <c r="T4" s="419" t="s">
        <v>48</v>
      </c>
      <c r="U4" s="419" t="s">
        <v>48</v>
      </c>
      <c r="V4" s="419" t="s">
        <v>125</v>
      </c>
      <c r="W4" s="419" t="s">
        <v>126</v>
      </c>
      <c r="X4" s="419" t="s">
        <v>126</v>
      </c>
      <c r="Y4" s="419" t="s">
        <v>53</v>
      </c>
      <c r="Z4" s="419" t="s">
        <v>54</v>
      </c>
      <c r="AA4" s="419" t="s">
        <v>127</v>
      </c>
      <c r="AB4" s="419" t="s">
        <v>127</v>
      </c>
      <c r="AC4" s="419" t="s">
        <v>51</v>
      </c>
      <c r="AD4" s="419" t="s">
        <v>51</v>
      </c>
      <c r="AE4" s="419" t="s">
        <v>56</v>
      </c>
      <c r="AF4" s="419" t="s">
        <v>128</v>
      </c>
      <c r="AG4" s="419" t="s">
        <v>129</v>
      </c>
      <c r="AH4" s="419" t="s">
        <v>130</v>
      </c>
      <c r="AI4" s="419" t="s">
        <v>131</v>
      </c>
      <c r="AJ4" s="419" t="s">
        <v>132</v>
      </c>
      <c r="AK4" s="419" t="s">
        <v>133</v>
      </c>
      <c r="AL4" s="419" t="s">
        <v>134</v>
      </c>
      <c r="AM4" s="419" t="s">
        <v>135</v>
      </c>
    </row>
    <row r="5" spans="1:56">
      <c r="A5" s="416" t="s">
        <v>136</v>
      </c>
      <c r="B5" s="421" t="s">
        <v>137</v>
      </c>
      <c r="C5" s="421" t="s">
        <v>137</v>
      </c>
      <c r="D5" s="420" t="s">
        <v>138</v>
      </c>
      <c r="E5" s="420" t="s">
        <v>138</v>
      </c>
      <c r="F5" s="656" t="s">
        <v>139</v>
      </c>
      <c r="G5" s="656" t="s">
        <v>139</v>
      </c>
      <c r="H5" s="422" t="s">
        <v>140</v>
      </c>
      <c r="I5" s="422" t="s">
        <v>140</v>
      </c>
      <c r="J5" s="656" t="s">
        <v>141</v>
      </c>
      <c r="K5" s="656" t="s">
        <v>141</v>
      </c>
      <c r="L5" s="422" t="s">
        <v>140</v>
      </c>
      <c r="M5" s="422" t="s">
        <v>140</v>
      </c>
      <c r="N5" s="422" t="s">
        <v>140</v>
      </c>
      <c r="O5" s="422" t="s">
        <v>140</v>
      </c>
      <c r="P5" s="656" t="s">
        <v>141</v>
      </c>
      <c r="Q5" s="656" t="s">
        <v>141</v>
      </c>
      <c r="R5" s="421" t="s">
        <v>137</v>
      </c>
      <c r="S5" s="429" t="s">
        <v>142</v>
      </c>
      <c r="T5" s="656" t="s">
        <v>141</v>
      </c>
      <c r="U5" s="656" t="s">
        <v>141</v>
      </c>
      <c r="V5" s="422" t="s">
        <v>140</v>
      </c>
      <c r="W5" s="422" t="s">
        <v>140</v>
      </c>
      <c r="X5" s="422" t="s">
        <v>140</v>
      </c>
      <c r="Y5" s="421" t="s">
        <v>137</v>
      </c>
      <c r="Z5" s="421" t="s">
        <v>137</v>
      </c>
      <c r="AA5" s="422" t="s">
        <v>140</v>
      </c>
      <c r="AB5" s="422" t="s">
        <v>140</v>
      </c>
      <c r="AC5" s="656" t="s">
        <v>143</v>
      </c>
      <c r="AD5" s="656" t="s">
        <v>143</v>
      </c>
      <c r="AE5" s="421" t="s">
        <v>137</v>
      </c>
      <c r="AF5" s="422" t="s">
        <v>140</v>
      </c>
      <c r="AG5" s="422" t="s">
        <v>140</v>
      </c>
      <c r="AH5" s="422" t="s">
        <v>140</v>
      </c>
      <c r="AI5" s="422"/>
      <c r="AJ5" s="422"/>
      <c r="AK5" s="422"/>
      <c r="AL5" s="422" t="s">
        <v>140</v>
      </c>
      <c r="AM5" s="422" t="s">
        <v>140</v>
      </c>
    </row>
    <row r="6" spans="1:56">
      <c r="A6" s="416" t="s">
        <v>144</v>
      </c>
      <c r="B6" s="428" t="s">
        <v>912</v>
      </c>
      <c r="C6" s="671" t="s">
        <v>66</v>
      </c>
      <c r="D6" s="424" t="s">
        <v>145</v>
      </c>
      <c r="E6" s="428" t="s">
        <v>146</v>
      </c>
      <c r="F6" s="424" t="s">
        <v>65</v>
      </c>
      <c r="G6" s="426" t="s">
        <v>63</v>
      </c>
      <c r="H6" s="425" t="s">
        <v>145</v>
      </c>
      <c r="I6" s="427" t="s">
        <v>147</v>
      </c>
      <c r="J6" s="424" t="s">
        <v>145</v>
      </c>
      <c r="K6" s="428" t="s">
        <v>64</v>
      </c>
      <c r="L6" s="424" t="s">
        <v>65</v>
      </c>
      <c r="M6" s="427" t="s">
        <v>147</v>
      </c>
      <c r="N6" s="424" t="s">
        <v>65</v>
      </c>
      <c r="O6" s="427" t="s">
        <v>147</v>
      </c>
      <c r="P6" s="428" t="s">
        <v>64</v>
      </c>
      <c r="Q6" s="424" t="s">
        <v>148</v>
      </c>
      <c r="R6" s="424" t="s">
        <v>65</v>
      </c>
      <c r="S6" s="424" t="s">
        <v>65</v>
      </c>
      <c r="T6" s="424" t="s">
        <v>145</v>
      </c>
      <c r="U6" s="428" t="s">
        <v>64</v>
      </c>
      <c r="V6" s="424" t="s">
        <v>65</v>
      </c>
      <c r="W6" s="424" t="s">
        <v>65</v>
      </c>
      <c r="X6" s="427" t="s">
        <v>147</v>
      </c>
      <c r="Y6" s="424" t="s">
        <v>65</v>
      </c>
      <c r="Z6" s="424" t="s">
        <v>65</v>
      </c>
      <c r="AA6" s="424" t="s">
        <v>65</v>
      </c>
      <c r="AB6" s="427" t="s">
        <v>147</v>
      </c>
      <c r="AC6" s="424" t="s">
        <v>145</v>
      </c>
      <c r="AD6" s="428" t="s">
        <v>64</v>
      </c>
      <c r="AE6" s="424" t="s">
        <v>65</v>
      </c>
      <c r="AF6" s="424" t="s">
        <v>145</v>
      </c>
      <c r="AG6" s="424" t="s">
        <v>145</v>
      </c>
      <c r="AH6" s="428" t="s">
        <v>147</v>
      </c>
      <c r="AI6" s="428" t="s">
        <v>147</v>
      </c>
      <c r="AJ6" s="428" t="s">
        <v>147</v>
      </c>
      <c r="AK6" s="428" t="s">
        <v>147</v>
      </c>
      <c r="AL6" s="428" t="s">
        <v>147</v>
      </c>
      <c r="AM6" s="428" t="s">
        <v>147</v>
      </c>
    </row>
    <row r="7" spans="1:56">
      <c r="A7" s="416">
        <v>1960</v>
      </c>
      <c r="F7" s="416">
        <f>G7*1000</f>
        <v>13442000</v>
      </c>
      <c r="G7" s="416">
        <v>13442</v>
      </c>
      <c r="J7" s="416">
        <f t="shared" ref="J7:J38" si="0">K7*$AY$78</f>
        <v>19464800</v>
      </c>
      <c r="K7" s="416">
        <v>16780</v>
      </c>
      <c r="P7" s="416">
        <v>17609</v>
      </c>
      <c r="Q7" s="416">
        <f t="shared" ref="Q7:Q38" si="1">P7*$AY$78</f>
        <v>20426440</v>
      </c>
      <c r="T7" s="416">
        <f t="shared" ref="T7:T38" si="2">U7*$AY$75</f>
        <v>124476180</v>
      </c>
      <c r="U7" s="416">
        <v>90660</v>
      </c>
      <c r="AC7" s="416">
        <f>AD7*1000</f>
        <v>90470000</v>
      </c>
      <c r="AD7" s="416">
        <v>90470</v>
      </c>
    </row>
    <row r="8" spans="1:56">
      <c r="A8" s="416">
        <v>1961</v>
      </c>
      <c r="F8" s="416">
        <f t="shared" ref="F8:F64" si="3">G8*1000</f>
        <v>11815000</v>
      </c>
      <c r="G8" s="416">
        <v>11815</v>
      </c>
      <c r="J8" s="416">
        <f t="shared" si="0"/>
        <v>20487920</v>
      </c>
      <c r="K8" s="416">
        <v>17662</v>
      </c>
      <c r="P8" s="416">
        <v>15134</v>
      </c>
      <c r="Q8" s="416">
        <f t="shared" si="1"/>
        <v>17555440</v>
      </c>
      <c r="T8" s="416">
        <f t="shared" si="2"/>
        <v>123770458</v>
      </c>
      <c r="U8" s="416">
        <v>90146</v>
      </c>
      <c r="AC8" s="416">
        <f t="shared" ref="AC8:AC64" si="4">AD8*1000</f>
        <v>105222000</v>
      </c>
      <c r="AD8" s="416">
        <v>105222</v>
      </c>
    </row>
    <row r="9" spans="1:56">
      <c r="A9" s="416">
        <v>1962</v>
      </c>
      <c r="F9" s="416">
        <f t="shared" si="3"/>
        <v>13084000</v>
      </c>
      <c r="G9" s="416">
        <v>13084</v>
      </c>
      <c r="J9" s="416">
        <f t="shared" si="0"/>
        <v>21473920</v>
      </c>
      <c r="K9" s="416">
        <v>18512</v>
      </c>
      <c r="P9" s="416">
        <v>15696</v>
      </c>
      <c r="Q9" s="416">
        <f t="shared" si="1"/>
        <v>18207360</v>
      </c>
      <c r="T9" s="416">
        <f t="shared" si="2"/>
        <v>125710507</v>
      </c>
      <c r="U9" s="416">
        <v>91559</v>
      </c>
      <c r="AC9" s="416">
        <f t="shared" si="4"/>
        <v>110391000</v>
      </c>
      <c r="AD9" s="416">
        <v>110391</v>
      </c>
      <c r="BC9" s="416" t="s">
        <v>149</v>
      </c>
      <c r="BD9" s="416" t="s">
        <v>149</v>
      </c>
    </row>
    <row r="10" spans="1:56">
      <c r="A10" s="416">
        <v>1963</v>
      </c>
      <c r="F10" s="416">
        <f t="shared" si="3"/>
        <v>13022000</v>
      </c>
      <c r="G10" s="416">
        <v>13022</v>
      </c>
      <c r="J10" s="416">
        <f t="shared" si="0"/>
        <v>23698800</v>
      </c>
      <c r="K10" s="416">
        <v>20430</v>
      </c>
      <c r="P10" s="416">
        <v>20355</v>
      </c>
      <c r="Q10" s="416">
        <f t="shared" si="1"/>
        <v>23611800</v>
      </c>
      <c r="T10" s="416">
        <f t="shared" si="2"/>
        <v>130160400</v>
      </c>
      <c r="U10" s="416">
        <v>94800</v>
      </c>
      <c r="AC10" s="416">
        <f t="shared" si="4"/>
        <v>113703000</v>
      </c>
      <c r="AD10" s="416">
        <v>113703</v>
      </c>
      <c r="BC10" s="416" t="s">
        <v>150</v>
      </c>
      <c r="BD10" s="416" t="s">
        <v>151</v>
      </c>
    </row>
    <row r="11" spans="1:56">
      <c r="A11" s="416">
        <v>1964</v>
      </c>
      <c r="F11" s="416">
        <f t="shared" si="3"/>
        <v>12189000</v>
      </c>
      <c r="G11" s="416">
        <v>12189</v>
      </c>
      <c r="J11" s="416">
        <f t="shared" si="0"/>
        <v>22222120</v>
      </c>
      <c r="K11" s="416">
        <v>19157</v>
      </c>
      <c r="P11" s="416">
        <v>25965</v>
      </c>
      <c r="Q11" s="416">
        <f t="shared" si="1"/>
        <v>30119400</v>
      </c>
      <c r="T11" s="416">
        <f t="shared" si="2"/>
        <v>126821264</v>
      </c>
      <c r="U11" s="416">
        <v>92368</v>
      </c>
      <c r="AC11" s="416">
        <f t="shared" si="4"/>
        <v>124804000</v>
      </c>
      <c r="AD11" s="416">
        <v>124804</v>
      </c>
      <c r="BB11" s="416">
        <v>1980</v>
      </c>
      <c r="BD11" s="416">
        <v>10000</v>
      </c>
    </row>
    <row r="12" spans="1:56">
      <c r="A12" s="416">
        <v>1965</v>
      </c>
      <c r="F12" s="416">
        <f t="shared" si="3"/>
        <v>12408000</v>
      </c>
      <c r="G12" s="416">
        <v>12408</v>
      </c>
      <c r="J12" s="416">
        <f t="shared" si="0"/>
        <v>22272000</v>
      </c>
      <c r="K12" s="416">
        <v>19200</v>
      </c>
      <c r="P12" s="416">
        <v>31855</v>
      </c>
      <c r="Q12" s="416">
        <f t="shared" si="1"/>
        <v>36951800</v>
      </c>
      <c r="T12" s="416">
        <f t="shared" si="2"/>
        <v>122979610</v>
      </c>
      <c r="U12" s="416">
        <v>89570</v>
      </c>
      <c r="AC12" s="416">
        <f t="shared" si="4"/>
        <v>130311000</v>
      </c>
      <c r="AD12" s="416">
        <v>130311</v>
      </c>
      <c r="BB12" s="416">
        <v>1981</v>
      </c>
      <c r="BD12" s="416">
        <v>10200</v>
      </c>
    </row>
    <row r="13" spans="1:56">
      <c r="A13" s="416">
        <v>1966</v>
      </c>
      <c r="F13" s="416">
        <f t="shared" si="3"/>
        <v>11965000</v>
      </c>
      <c r="G13" s="416">
        <v>11965</v>
      </c>
      <c r="J13" s="416">
        <f t="shared" si="0"/>
        <v>22270840</v>
      </c>
      <c r="K13" s="416">
        <v>19199</v>
      </c>
      <c r="P13" s="416">
        <v>36511</v>
      </c>
      <c r="Q13" s="416">
        <f t="shared" si="1"/>
        <v>42352760</v>
      </c>
      <c r="T13" s="416">
        <f t="shared" si="2"/>
        <v>123670229</v>
      </c>
      <c r="U13" s="416">
        <v>90073</v>
      </c>
      <c r="AC13" s="416">
        <f t="shared" si="4"/>
        <v>139669000</v>
      </c>
      <c r="AD13" s="416">
        <v>139669</v>
      </c>
      <c r="BB13" s="416">
        <v>1982</v>
      </c>
      <c r="BD13" s="416">
        <v>11600</v>
      </c>
    </row>
    <row r="14" spans="1:56">
      <c r="A14" s="416">
        <v>1967</v>
      </c>
      <c r="F14" s="416">
        <f t="shared" si="3"/>
        <v>11776000</v>
      </c>
      <c r="G14" s="416">
        <v>11776</v>
      </c>
      <c r="J14" s="416">
        <f t="shared" si="0"/>
        <v>24735840</v>
      </c>
      <c r="K14" s="416">
        <v>21324</v>
      </c>
      <c r="P14" s="416">
        <v>28713</v>
      </c>
      <c r="Q14" s="416">
        <f t="shared" si="1"/>
        <v>33307080</v>
      </c>
      <c r="T14" s="416">
        <f t="shared" si="2"/>
        <v>123947575</v>
      </c>
      <c r="U14" s="416">
        <v>90275</v>
      </c>
      <c r="AC14" s="416">
        <f t="shared" si="4"/>
        <v>137357000</v>
      </c>
      <c r="AD14" s="416">
        <v>137357</v>
      </c>
      <c r="BB14" s="416">
        <v>1983</v>
      </c>
      <c r="BC14" s="416">
        <v>4250</v>
      </c>
      <c r="BD14" s="416">
        <v>13280</v>
      </c>
    </row>
    <row r="15" spans="1:56">
      <c r="A15" s="416">
        <v>1968</v>
      </c>
      <c r="F15" s="416">
        <f t="shared" si="3"/>
        <v>11497000</v>
      </c>
      <c r="G15" s="416">
        <v>11497</v>
      </c>
      <c r="J15" s="416">
        <f t="shared" si="0"/>
        <v>30532360</v>
      </c>
      <c r="K15" s="416">
        <v>26321</v>
      </c>
      <c r="P15" s="416">
        <v>25789</v>
      </c>
      <c r="Q15" s="416">
        <f t="shared" si="1"/>
        <v>29915240</v>
      </c>
      <c r="T15" s="416">
        <f t="shared" si="2"/>
        <v>128066575</v>
      </c>
      <c r="U15" s="416">
        <v>93275</v>
      </c>
      <c r="AC15" s="416">
        <f t="shared" si="4"/>
        <v>150093000</v>
      </c>
      <c r="AD15" s="416">
        <v>150093</v>
      </c>
      <c r="BB15" s="416">
        <v>1984</v>
      </c>
      <c r="BC15" s="416">
        <v>6000</v>
      </c>
      <c r="BD15" s="416">
        <v>13600</v>
      </c>
    </row>
    <row r="16" spans="1:56">
      <c r="A16" s="416">
        <v>1969</v>
      </c>
      <c r="F16" s="416">
        <f t="shared" si="3"/>
        <v>13319000</v>
      </c>
      <c r="G16" s="416">
        <v>13319</v>
      </c>
      <c r="J16" s="416">
        <f t="shared" si="0"/>
        <v>31890720</v>
      </c>
      <c r="K16" s="416">
        <v>27492</v>
      </c>
      <c r="P16" s="416">
        <v>28881</v>
      </c>
      <c r="Q16" s="416">
        <f t="shared" si="1"/>
        <v>33501960</v>
      </c>
      <c r="T16" s="416">
        <f t="shared" si="2"/>
        <v>115790582</v>
      </c>
      <c r="U16" s="416">
        <v>84334</v>
      </c>
      <c r="AC16" s="416">
        <f t="shared" si="4"/>
        <v>167373000</v>
      </c>
      <c r="AD16" s="416">
        <v>167373</v>
      </c>
      <c r="BB16" s="416">
        <v>1985</v>
      </c>
      <c r="BC16" s="416">
        <v>7750</v>
      </c>
      <c r="BD16" s="416">
        <v>15300</v>
      </c>
    </row>
    <row r="17" spans="1:56">
      <c r="A17" s="416">
        <v>1970</v>
      </c>
      <c r="F17" s="416">
        <f t="shared" si="3"/>
        <v>12828000</v>
      </c>
      <c r="G17" s="416">
        <v>12828</v>
      </c>
      <c r="J17" s="416">
        <f t="shared" si="0"/>
        <v>32069360</v>
      </c>
      <c r="K17" s="416">
        <v>27646</v>
      </c>
      <c r="P17" s="416">
        <v>28004</v>
      </c>
      <c r="Q17" s="416">
        <f t="shared" si="1"/>
        <v>32484640</v>
      </c>
      <c r="T17" s="416">
        <f t="shared" si="2"/>
        <v>132642784</v>
      </c>
      <c r="U17" s="416">
        <v>96608</v>
      </c>
      <c r="AC17" s="416">
        <f t="shared" si="4"/>
        <v>178728000</v>
      </c>
      <c r="AD17" s="416">
        <v>178728</v>
      </c>
      <c r="BB17" s="416">
        <v>1986</v>
      </c>
      <c r="BC17" s="416">
        <v>8900</v>
      </c>
      <c r="BD17" s="416">
        <v>15400</v>
      </c>
    </row>
    <row r="18" spans="1:56">
      <c r="A18" s="416">
        <v>1971</v>
      </c>
      <c r="F18" s="416">
        <f t="shared" si="3"/>
        <v>13301000</v>
      </c>
      <c r="G18" s="416">
        <v>13301</v>
      </c>
      <c r="J18" s="416">
        <f t="shared" si="0"/>
        <v>32944000</v>
      </c>
      <c r="K18" s="416">
        <v>28400</v>
      </c>
      <c r="P18" s="416">
        <v>32224</v>
      </c>
      <c r="Q18" s="416">
        <f t="shared" si="1"/>
        <v>37379840</v>
      </c>
      <c r="T18" s="416">
        <f t="shared" si="2"/>
        <v>139548974</v>
      </c>
      <c r="U18" s="416">
        <v>101638</v>
      </c>
      <c r="AC18" s="416">
        <f t="shared" si="4"/>
        <v>169342000</v>
      </c>
      <c r="AD18" s="416">
        <v>169342</v>
      </c>
      <c r="BB18" s="416">
        <v>1987</v>
      </c>
      <c r="BC18" s="416">
        <v>10000</v>
      </c>
      <c r="BD18" s="416">
        <v>16100</v>
      </c>
    </row>
    <row r="19" spans="1:56">
      <c r="A19" s="416">
        <v>1972</v>
      </c>
      <c r="F19" s="416">
        <f t="shared" si="3"/>
        <v>13782000</v>
      </c>
      <c r="G19" s="416">
        <v>13782</v>
      </c>
      <c r="J19" s="416">
        <f t="shared" si="0"/>
        <v>56264640</v>
      </c>
      <c r="K19" s="416">
        <v>48504</v>
      </c>
      <c r="P19" s="416">
        <v>30590</v>
      </c>
      <c r="Q19" s="416">
        <f t="shared" si="1"/>
        <v>35484400</v>
      </c>
      <c r="T19" s="416">
        <f t="shared" si="2"/>
        <v>157750835</v>
      </c>
      <c r="U19" s="416">
        <v>114895</v>
      </c>
      <c r="AC19" s="416">
        <f t="shared" si="4"/>
        <v>187813000</v>
      </c>
      <c r="AD19" s="416">
        <v>187813</v>
      </c>
      <c r="BB19" s="416">
        <v>1988</v>
      </c>
      <c r="BC19" s="416">
        <v>11650</v>
      </c>
      <c r="BD19" s="416">
        <v>23200</v>
      </c>
    </row>
    <row r="20" spans="1:56">
      <c r="A20" s="416">
        <v>1973</v>
      </c>
      <c r="F20" s="416">
        <f t="shared" si="3"/>
        <v>13456000</v>
      </c>
      <c r="G20" s="416">
        <v>13456</v>
      </c>
      <c r="J20" s="416">
        <f t="shared" si="0"/>
        <v>59668080</v>
      </c>
      <c r="K20" s="416">
        <v>51438</v>
      </c>
      <c r="P20" s="416">
        <v>38587</v>
      </c>
      <c r="Q20" s="416">
        <f t="shared" si="1"/>
        <v>44760920</v>
      </c>
      <c r="T20" s="416">
        <f t="shared" si="2"/>
        <v>171079919</v>
      </c>
      <c r="U20" s="416">
        <v>124603</v>
      </c>
      <c r="AC20" s="416">
        <f t="shared" si="4"/>
        <v>210054000</v>
      </c>
      <c r="AD20" s="416">
        <v>210054</v>
      </c>
      <c r="BB20" s="416">
        <v>1989</v>
      </c>
      <c r="BC20" s="416">
        <v>14100</v>
      </c>
      <c r="BD20" s="416">
        <v>27200</v>
      </c>
    </row>
    <row r="21" spans="1:56">
      <c r="A21" s="416">
        <v>1974</v>
      </c>
      <c r="F21" s="416">
        <f t="shared" si="3"/>
        <v>13529000</v>
      </c>
      <c r="G21" s="416">
        <v>13529</v>
      </c>
      <c r="J21" s="416">
        <f t="shared" si="0"/>
        <v>69016520</v>
      </c>
      <c r="K21" s="416">
        <v>59497</v>
      </c>
      <c r="P21" s="416">
        <v>36077</v>
      </c>
      <c r="Q21" s="416">
        <f t="shared" si="1"/>
        <v>41849320</v>
      </c>
      <c r="T21" s="416">
        <f t="shared" si="2"/>
        <v>171546739</v>
      </c>
      <c r="U21" s="416">
        <v>124943</v>
      </c>
      <c r="AC21" s="416">
        <f t="shared" si="4"/>
        <v>241547000</v>
      </c>
      <c r="AD21" s="416">
        <v>241547</v>
      </c>
    </row>
    <row r="22" spans="1:56">
      <c r="A22" s="416">
        <v>1975</v>
      </c>
      <c r="F22" s="416">
        <f t="shared" si="3"/>
        <v>14896000</v>
      </c>
      <c r="G22" s="416">
        <v>14896</v>
      </c>
      <c r="J22" s="416">
        <f t="shared" si="0"/>
        <v>109252280</v>
      </c>
      <c r="K22" s="416">
        <v>94183</v>
      </c>
      <c r="P22" s="416">
        <v>37542</v>
      </c>
      <c r="Q22" s="416">
        <f t="shared" si="1"/>
        <v>43548720</v>
      </c>
      <c r="T22" s="416">
        <f t="shared" si="2"/>
        <v>178257963</v>
      </c>
      <c r="U22" s="416">
        <v>129831</v>
      </c>
      <c r="AC22" s="416">
        <f t="shared" si="4"/>
        <v>250810000</v>
      </c>
      <c r="AD22" s="416">
        <v>250810</v>
      </c>
    </row>
    <row r="23" spans="1:56">
      <c r="A23" s="416">
        <v>1976</v>
      </c>
      <c r="F23" s="416">
        <f t="shared" si="3"/>
        <v>16827000</v>
      </c>
      <c r="G23" s="416">
        <v>16827</v>
      </c>
      <c r="J23" s="416">
        <f t="shared" si="0"/>
        <v>92249000</v>
      </c>
      <c r="K23" s="416">
        <v>79525</v>
      </c>
      <c r="P23" s="416">
        <v>43035</v>
      </c>
      <c r="Q23" s="416">
        <f t="shared" si="1"/>
        <v>49920600</v>
      </c>
      <c r="T23" s="416">
        <f t="shared" si="2"/>
        <v>203306975</v>
      </c>
      <c r="U23" s="416">
        <v>148075</v>
      </c>
      <c r="AC23" s="416">
        <f t="shared" si="4"/>
        <v>248946000</v>
      </c>
      <c r="AD23" s="416">
        <v>248946</v>
      </c>
    </row>
    <row r="24" spans="1:56">
      <c r="A24" s="416">
        <v>1977</v>
      </c>
      <c r="F24" s="416">
        <f t="shared" si="3"/>
        <v>15937000</v>
      </c>
      <c r="G24" s="416">
        <v>15937</v>
      </c>
      <c r="J24" s="416">
        <f t="shared" si="0"/>
        <v>134145880</v>
      </c>
      <c r="K24" s="416">
        <v>115643</v>
      </c>
      <c r="P24" s="416">
        <v>40478</v>
      </c>
      <c r="Q24" s="416">
        <f t="shared" si="1"/>
        <v>46954480</v>
      </c>
      <c r="T24" s="416">
        <f t="shared" si="2"/>
        <v>226207242</v>
      </c>
      <c r="U24" s="416">
        <v>164754</v>
      </c>
      <c r="AC24" s="416">
        <f t="shared" si="4"/>
        <v>284035000</v>
      </c>
      <c r="AD24" s="416">
        <v>284035</v>
      </c>
    </row>
    <row r="25" spans="1:56">
      <c r="A25" s="416">
        <v>1978</v>
      </c>
      <c r="F25" s="416">
        <f t="shared" si="3"/>
        <v>16198000</v>
      </c>
      <c r="G25" s="416">
        <v>16198</v>
      </c>
      <c r="J25" s="416">
        <f t="shared" si="0"/>
        <v>154164000</v>
      </c>
      <c r="K25" s="416">
        <v>132900</v>
      </c>
      <c r="P25" s="416">
        <v>40516</v>
      </c>
      <c r="Q25" s="416">
        <f t="shared" si="1"/>
        <v>46998560</v>
      </c>
      <c r="T25" s="416">
        <f t="shared" si="2"/>
        <v>238794906</v>
      </c>
      <c r="U25" s="416">
        <v>173922</v>
      </c>
      <c r="AC25" s="416">
        <f t="shared" si="4"/>
        <v>292168000</v>
      </c>
      <c r="AD25" s="416">
        <v>292168</v>
      </c>
    </row>
    <row r="26" spans="1:56">
      <c r="A26" s="416">
        <v>1979</v>
      </c>
      <c r="F26" s="416">
        <f t="shared" si="3"/>
        <v>16852000</v>
      </c>
      <c r="G26" s="416">
        <v>16852</v>
      </c>
      <c r="J26" s="416">
        <f t="shared" si="0"/>
        <v>164223520</v>
      </c>
      <c r="K26" s="416">
        <v>141572</v>
      </c>
      <c r="P26" s="416">
        <v>43945</v>
      </c>
      <c r="Q26" s="416">
        <f t="shared" si="1"/>
        <v>50976200</v>
      </c>
      <c r="T26" s="416">
        <f t="shared" si="2"/>
        <v>245180729</v>
      </c>
      <c r="U26" s="416">
        <v>178573</v>
      </c>
      <c r="AC26" s="416">
        <f t="shared" si="4"/>
        <v>313602000</v>
      </c>
      <c r="AD26" s="416">
        <v>313602</v>
      </c>
    </row>
    <row r="27" spans="1:56">
      <c r="A27" s="416">
        <v>1980</v>
      </c>
      <c r="D27" s="416">
        <f t="shared" ref="D27:D36" si="5">E27*$AY$73</f>
        <v>17391304.34782609</v>
      </c>
      <c r="E27" s="416">
        <v>10000</v>
      </c>
      <c r="F27" s="416">
        <f t="shared" si="3"/>
        <v>15245000</v>
      </c>
      <c r="G27" s="416">
        <v>15245</v>
      </c>
      <c r="J27" s="416">
        <f t="shared" si="0"/>
        <v>162226000</v>
      </c>
      <c r="K27" s="416">
        <v>139850</v>
      </c>
      <c r="P27" s="416">
        <v>45826</v>
      </c>
      <c r="Q27" s="416">
        <f t="shared" si="1"/>
        <v>53158160</v>
      </c>
      <c r="T27" s="416">
        <f t="shared" si="2"/>
        <v>234976593</v>
      </c>
      <c r="U27" s="416">
        <v>171141</v>
      </c>
      <c r="AC27" s="416">
        <f t="shared" si="4"/>
        <v>312475000</v>
      </c>
      <c r="AD27" s="416">
        <v>312475</v>
      </c>
    </row>
    <row r="28" spans="1:56">
      <c r="A28" s="416">
        <v>1981</v>
      </c>
      <c r="D28" s="416">
        <f t="shared" si="5"/>
        <v>17739130.434782613</v>
      </c>
      <c r="E28" s="416">
        <v>10200</v>
      </c>
      <c r="F28" s="416">
        <f t="shared" si="3"/>
        <v>14653000</v>
      </c>
      <c r="G28" s="416">
        <v>14653</v>
      </c>
      <c r="J28" s="416">
        <f t="shared" si="0"/>
        <v>157799440</v>
      </c>
      <c r="K28" s="416">
        <v>136034</v>
      </c>
      <c r="P28" s="416">
        <v>44652</v>
      </c>
      <c r="Q28" s="416">
        <f t="shared" si="1"/>
        <v>51796320</v>
      </c>
      <c r="T28" s="416">
        <f t="shared" si="2"/>
        <v>214450243</v>
      </c>
      <c r="U28" s="416">
        <v>156191</v>
      </c>
      <c r="AC28" s="416">
        <f t="shared" si="4"/>
        <v>320483000</v>
      </c>
      <c r="AD28" s="416">
        <v>320483</v>
      </c>
    </row>
    <row r="29" spans="1:56">
      <c r="A29" s="416">
        <v>1982</v>
      </c>
      <c r="D29" s="416">
        <f t="shared" si="5"/>
        <v>20173913.043478265</v>
      </c>
      <c r="E29" s="416">
        <v>11600</v>
      </c>
      <c r="F29" s="416">
        <f t="shared" si="3"/>
        <v>15228000</v>
      </c>
      <c r="G29" s="416">
        <v>15228</v>
      </c>
      <c r="J29" s="416">
        <f t="shared" si="0"/>
        <v>174694840</v>
      </c>
      <c r="K29" s="416">
        <v>150599</v>
      </c>
      <c r="P29" s="416">
        <v>37951</v>
      </c>
      <c r="Q29" s="416">
        <f t="shared" si="1"/>
        <v>44023160</v>
      </c>
      <c r="T29" s="416">
        <f t="shared" si="2"/>
        <v>206110641</v>
      </c>
      <c r="U29" s="416">
        <v>150117</v>
      </c>
      <c r="AC29" s="416">
        <f t="shared" si="4"/>
        <v>299451000</v>
      </c>
      <c r="AD29" s="416">
        <v>299451</v>
      </c>
    </row>
    <row r="30" spans="1:56">
      <c r="A30" s="416">
        <v>1983</v>
      </c>
      <c r="D30" s="416">
        <f t="shared" si="5"/>
        <v>23095652.173913047</v>
      </c>
      <c r="E30" s="416">
        <v>13280</v>
      </c>
      <c r="F30" s="416">
        <f t="shared" si="3"/>
        <v>14430000</v>
      </c>
      <c r="G30" s="416">
        <v>14430</v>
      </c>
      <c r="J30" s="416">
        <f t="shared" si="0"/>
        <v>199583800</v>
      </c>
      <c r="K30" s="416">
        <v>172055</v>
      </c>
      <c r="P30" s="416">
        <v>43086</v>
      </c>
      <c r="Q30" s="416">
        <f t="shared" si="1"/>
        <v>49979760</v>
      </c>
      <c r="T30" s="416">
        <f t="shared" si="2"/>
        <v>204125283</v>
      </c>
      <c r="U30" s="416">
        <v>148671</v>
      </c>
      <c r="AC30" s="416">
        <f t="shared" si="4"/>
        <v>322677000</v>
      </c>
      <c r="AD30" s="416">
        <v>322677</v>
      </c>
    </row>
    <row r="31" spans="1:56">
      <c r="A31" s="416">
        <v>1984</v>
      </c>
      <c r="D31" s="416">
        <f t="shared" si="5"/>
        <v>23652173.91304348</v>
      </c>
      <c r="E31" s="416">
        <v>13600</v>
      </c>
      <c r="F31" s="416">
        <f t="shared" si="3"/>
        <v>14000000</v>
      </c>
      <c r="G31" s="416">
        <v>14000</v>
      </c>
      <c r="J31" s="416">
        <f t="shared" si="0"/>
        <v>205753840</v>
      </c>
      <c r="K31" s="416">
        <v>177374</v>
      </c>
      <c r="P31" s="416">
        <v>64770</v>
      </c>
      <c r="Q31" s="416">
        <f t="shared" si="1"/>
        <v>75133200</v>
      </c>
      <c r="T31" s="416">
        <f t="shared" si="2"/>
        <v>190167365</v>
      </c>
      <c r="U31" s="416">
        <v>138505</v>
      </c>
      <c r="AC31" s="416">
        <f t="shared" si="4"/>
        <v>341042000</v>
      </c>
      <c r="AD31" s="416">
        <v>341042</v>
      </c>
    </row>
    <row r="32" spans="1:56">
      <c r="A32" s="416">
        <v>1985</v>
      </c>
      <c r="D32" s="416">
        <f t="shared" si="5"/>
        <v>26608695.652173918</v>
      </c>
      <c r="E32" s="416">
        <v>15300</v>
      </c>
      <c r="F32" s="416">
        <f t="shared" si="3"/>
        <v>13569000</v>
      </c>
      <c r="G32" s="416">
        <v>13569</v>
      </c>
      <c r="J32" s="416">
        <f t="shared" si="0"/>
        <v>221434720</v>
      </c>
      <c r="K32" s="416">
        <v>190892</v>
      </c>
      <c r="P32" s="416">
        <v>58128</v>
      </c>
      <c r="Q32" s="416">
        <f t="shared" si="1"/>
        <v>67428480</v>
      </c>
      <c r="T32" s="416">
        <f t="shared" si="2"/>
        <v>169337582</v>
      </c>
      <c r="U32" s="416">
        <v>123334</v>
      </c>
      <c r="AC32" s="416">
        <f t="shared" si="4"/>
        <v>326687000</v>
      </c>
      <c r="AD32" s="416">
        <v>326687</v>
      </c>
    </row>
    <row r="33" spans="1:30">
      <c r="A33" s="416">
        <v>1986</v>
      </c>
      <c r="D33" s="416">
        <f t="shared" si="5"/>
        <v>26782608.695652179</v>
      </c>
      <c r="E33" s="416">
        <v>15400</v>
      </c>
      <c r="F33" s="416">
        <f t="shared" si="3"/>
        <v>11360000</v>
      </c>
      <c r="G33" s="416">
        <v>11360</v>
      </c>
      <c r="J33" s="416">
        <f t="shared" si="0"/>
        <v>208229280</v>
      </c>
      <c r="K33" s="416">
        <v>179508</v>
      </c>
      <c r="P33" s="416">
        <v>50991</v>
      </c>
      <c r="Q33" s="416">
        <f t="shared" si="1"/>
        <v>59149560</v>
      </c>
      <c r="T33" s="416">
        <f t="shared" si="2"/>
        <v>163772813</v>
      </c>
      <c r="U33" s="416">
        <v>119281</v>
      </c>
      <c r="AC33" s="416">
        <f t="shared" si="4"/>
        <v>299093000</v>
      </c>
      <c r="AD33" s="416">
        <v>299093</v>
      </c>
    </row>
    <row r="34" spans="1:30">
      <c r="A34" s="416">
        <v>1987</v>
      </c>
      <c r="D34" s="416">
        <f t="shared" si="5"/>
        <v>28000000.000000004</v>
      </c>
      <c r="E34" s="416">
        <v>16100</v>
      </c>
      <c r="F34" s="416">
        <f t="shared" si="3"/>
        <v>13106000</v>
      </c>
      <c r="G34" s="416">
        <v>13106</v>
      </c>
      <c r="J34" s="416">
        <f t="shared" si="0"/>
        <v>165782560</v>
      </c>
      <c r="K34" s="416">
        <v>142916</v>
      </c>
      <c r="P34" s="416">
        <v>57391</v>
      </c>
      <c r="Q34" s="416">
        <f t="shared" si="1"/>
        <v>66573560</v>
      </c>
      <c r="T34" s="416">
        <f t="shared" si="2"/>
        <v>161346722</v>
      </c>
      <c r="U34" s="416">
        <v>117514</v>
      </c>
      <c r="AC34" s="416">
        <f t="shared" si="4"/>
        <v>327481000</v>
      </c>
      <c r="AD34" s="416">
        <v>327481</v>
      </c>
    </row>
    <row r="35" spans="1:30">
      <c r="A35" s="416">
        <v>1988</v>
      </c>
      <c r="D35" s="416">
        <f t="shared" si="5"/>
        <v>40347826.086956531</v>
      </c>
      <c r="E35" s="416">
        <v>23200</v>
      </c>
      <c r="F35" s="416">
        <f t="shared" si="3"/>
        <v>13365000</v>
      </c>
      <c r="G35" s="416">
        <v>13365</v>
      </c>
      <c r="J35" s="416">
        <f t="shared" si="0"/>
        <v>180291840</v>
      </c>
      <c r="K35" s="416">
        <v>155424</v>
      </c>
      <c r="P35" s="416">
        <v>64711</v>
      </c>
      <c r="Q35" s="416">
        <f t="shared" si="1"/>
        <v>75064760</v>
      </c>
      <c r="T35" s="416">
        <f t="shared" si="2"/>
        <v>154594308</v>
      </c>
      <c r="U35" s="416">
        <v>112596</v>
      </c>
      <c r="AC35" s="416">
        <f t="shared" si="4"/>
        <v>333595000</v>
      </c>
      <c r="AD35" s="416">
        <v>333595</v>
      </c>
    </row>
    <row r="36" spans="1:30">
      <c r="A36" s="416">
        <v>1989</v>
      </c>
      <c r="D36" s="416">
        <f t="shared" si="5"/>
        <v>47304347.826086961</v>
      </c>
      <c r="E36" s="416">
        <v>27200</v>
      </c>
      <c r="F36" s="416">
        <f t="shared" si="3"/>
        <v>12558000</v>
      </c>
      <c r="G36" s="416">
        <v>12558</v>
      </c>
      <c r="J36" s="416">
        <f t="shared" si="0"/>
        <v>191717840</v>
      </c>
      <c r="K36" s="416">
        <v>165274</v>
      </c>
      <c r="P36" s="416">
        <v>60627</v>
      </c>
      <c r="Q36" s="416">
        <f t="shared" si="1"/>
        <v>70327320</v>
      </c>
      <c r="T36" s="416">
        <f t="shared" si="2"/>
        <v>148043725</v>
      </c>
      <c r="U36" s="416">
        <v>107825</v>
      </c>
      <c r="AC36" s="416">
        <f t="shared" si="4"/>
        <v>335516000</v>
      </c>
      <c r="AD36" s="416">
        <v>335516</v>
      </c>
    </row>
    <row r="37" spans="1:30">
      <c r="A37" s="416">
        <v>1990</v>
      </c>
      <c r="F37" s="416">
        <f t="shared" si="3"/>
        <v>12421000</v>
      </c>
      <c r="G37" s="416">
        <v>12421</v>
      </c>
      <c r="J37" s="416">
        <f t="shared" si="0"/>
        <v>211297480</v>
      </c>
      <c r="K37" s="416">
        <v>182153</v>
      </c>
      <c r="P37" s="416">
        <v>61725</v>
      </c>
      <c r="Q37" s="416">
        <f t="shared" si="1"/>
        <v>71601000</v>
      </c>
      <c r="T37" s="416">
        <f t="shared" si="2"/>
        <v>145792005</v>
      </c>
      <c r="U37" s="416">
        <v>106185</v>
      </c>
      <c r="AC37" s="416">
        <f t="shared" si="4"/>
        <v>335654000</v>
      </c>
      <c r="AD37" s="416">
        <v>335654</v>
      </c>
    </row>
    <row r="38" spans="1:30">
      <c r="A38" s="416">
        <v>1991</v>
      </c>
      <c r="F38" s="416">
        <f t="shared" si="3"/>
        <v>12108000</v>
      </c>
      <c r="G38" s="416">
        <v>12108</v>
      </c>
      <c r="J38" s="416">
        <f t="shared" si="0"/>
        <v>221215480</v>
      </c>
      <c r="K38" s="416">
        <v>190703</v>
      </c>
      <c r="P38" s="416">
        <v>60278</v>
      </c>
      <c r="Q38" s="416">
        <f t="shared" si="1"/>
        <v>69922480</v>
      </c>
      <c r="T38" s="416">
        <f t="shared" si="2"/>
        <v>140783301</v>
      </c>
      <c r="U38" s="416">
        <v>102537</v>
      </c>
      <c r="AC38" s="416">
        <f t="shared" si="4"/>
        <v>327920000</v>
      </c>
      <c r="AD38" s="416">
        <v>327920</v>
      </c>
    </row>
    <row r="39" spans="1:30">
      <c r="A39" s="416">
        <v>1992</v>
      </c>
      <c r="F39" s="416">
        <f t="shared" si="3"/>
        <v>12979000</v>
      </c>
      <c r="G39" s="416">
        <v>12979</v>
      </c>
      <c r="J39" s="416">
        <f t="shared" ref="J39:J64" si="6">K39*$AY$78</f>
        <v>229696240</v>
      </c>
      <c r="K39" s="416">
        <v>198014</v>
      </c>
      <c r="P39" s="416">
        <v>76089</v>
      </c>
      <c r="Q39" s="416">
        <f t="shared" ref="Q39:Q64" si="7">P39*$AY$78</f>
        <v>88263240</v>
      </c>
      <c r="T39" s="416">
        <f t="shared" ref="T39:T64" si="8">U39*$AY$75</f>
        <v>140555383</v>
      </c>
      <c r="U39" s="416">
        <v>102371</v>
      </c>
      <c r="AC39" s="416">
        <f t="shared" si="4"/>
        <v>357315000</v>
      </c>
      <c r="AD39" s="416">
        <v>357315</v>
      </c>
    </row>
    <row r="40" spans="1:30">
      <c r="A40" s="416">
        <v>1993</v>
      </c>
      <c r="F40" s="416">
        <f t="shared" si="3"/>
        <v>11323000</v>
      </c>
      <c r="G40" s="416">
        <v>11323</v>
      </c>
      <c r="J40" s="416">
        <f t="shared" si="6"/>
        <v>227872720</v>
      </c>
      <c r="K40" s="416">
        <v>196442</v>
      </c>
      <c r="P40" s="416">
        <v>82331</v>
      </c>
      <c r="Q40" s="416">
        <f t="shared" si="7"/>
        <v>95503960</v>
      </c>
      <c r="T40" s="416">
        <f t="shared" si="8"/>
        <v>122733843</v>
      </c>
      <c r="U40" s="416">
        <v>89391</v>
      </c>
      <c r="AC40" s="416">
        <f t="shared" si="4"/>
        <v>342461000</v>
      </c>
      <c r="AD40" s="416">
        <v>342461</v>
      </c>
    </row>
    <row r="41" spans="1:30">
      <c r="A41" s="416">
        <v>1994</v>
      </c>
      <c r="F41" s="416">
        <f t="shared" si="3"/>
        <v>12482000</v>
      </c>
      <c r="G41" s="416">
        <v>12482</v>
      </c>
      <c r="J41" s="416">
        <f t="shared" si="6"/>
        <v>227115240</v>
      </c>
      <c r="K41" s="416">
        <v>195789</v>
      </c>
      <c r="P41" s="416">
        <v>74096</v>
      </c>
      <c r="Q41" s="416">
        <f t="shared" si="7"/>
        <v>85951360</v>
      </c>
      <c r="T41" s="416">
        <f t="shared" si="8"/>
        <v>120966792</v>
      </c>
      <c r="U41" s="416">
        <v>88104</v>
      </c>
      <c r="AC41" s="416">
        <f t="shared" si="4"/>
        <v>353538000</v>
      </c>
      <c r="AD41" s="416">
        <v>353538</v>
      </c>
    </row>
    <row r="42" spans="1:30">
      <c r="A42" s="416">
        <v>1995</v>
      </c>
      <c r="F42" s="416">
        <f t="shared" si="3"/>
        <v>13178000</v>
      </c>
      <c r="G42" s="416">
        <v>13178</v>
      </c>
      <c r="J42" s="416">
        <f t="shared" si="6"/>
        <v>238203680</v>
      </c>
      <c r="K42" s="416">
        <v>205348</v>
      </c>
      <c r="P42" s="416">
        <v>66417</v>
      </c>
      <c r="Q42" s="416">
        <f t="shared" si="7"/>
        <v>77043720</v>
      </c>
      <c r="T42" s="416">
        <f t="shared" si="8"/>
        <v>127590144</v>
      </c>
      <c r="U42" s="416">
        <v>92928</v>
      </c>
      <c r="AC42" s="416">
        <f t="shared" si="4"/>
        <v>364661000</v>
      </c>
      <c r="AD42" s="416">
        <v>364661</v>
      </c>
    </row>
    <row r="43" spans="1:30">
      <c r="A43" s="416">
        <v>1996</v>
      </c>
      <c r="F43" s="416">
        <f t="shared" si="3"/>
        <v>12805000</v>
      </c>
      <c r="G43" s="416">
        <v>12805</v>
      </c>
      <c r="J43" s="416">
        <f t="shared" si="6"/>
        <v>266467080</v>
      </c>
      <c r="K43" s="416">
        <v>229713</v>
      </c>
      <c r="P43" s="416">
        <v>67092</v>
      </c>
      <c r="Q43" s="416">
        <f t="shared" si="7"/>
        <v>77826720</v>
      </c>
      <c r="T43" s="416">
        <f t="shared" si="8"/>
        <v>138068880</v>
      </c>
      <c r="U43" s="416">
        <v>100560</v>
      </c>
      <c r="AC43" s="416">
        <f t="shared" si="4"/>
        <v>380621000</v>
      </c>
      <c r="AD43" s="416">
        <v>380621</v>
      </c>
    </row>
    <row r="44" spans="1:30">
      <c r="A44" s="416">
        <v>1997</v>
      </c>
      <c r="F44" s="416">
        <f t="shared" si="3"/>
        <v>14244000</v>
      </c>
      <c r="G44" s="416">
        <v>14244</v>
      </c>
      <c r="J44" s="416">
        <f t="shared" si="6"/>
        <v>293345440</v>
      </c>
      <c r="K44" s="416">
        <v>252884</v>
      </c>
      <c r="P44" s="416">
        <v>102323</v>
      </c>
      <c r="Q44" s="416">
        <f t="shared" si="7"/>
        <v>118694680</v>
      </c>
      <c r="T44" s="416">
        <f t="shared" si="8"/>
        <v>142947149</v>
      </c>
      <c r="U44" s="416">
        <v>104113</v>
      </c>
      <c r="AC44" s="416">
        <f t="shared" si="4"/>
        <v>417372000</v>
      </c>
      <c r="AD44" s="416">
        <v>417372</v>
      </c>
    </row>
    <row r="45" spans="1:30">
      <c r="A45" s="416">
        <v>1998</v>
      </c>
      <c r="F45" s="416">
        <f t="shared" si="3"/>
        <v>17769000</v>
      </c>
      <c r="G45" s="416">
        <v>17769</v>
      </c>
      <c r="J45" s="416">
        <f t="shared" si="6"/>
        <v>321619280</v>
      </c>
      <c r="K45" s="416">
        <v>277258</v>
      </c>
      <c r="P45" s="416">
        <v>128750</v>
      </c>
      <c r="Q45" s="416">
        <f t="shared" si="7"/>
        <v>149350000</v>
      </c>
      <c r="T45" s="416">
        <f t="shared" si="8"/>
        <v>152181947</v>
      </c>
      <c r="U45" s="416">
        <v>110839</v>
      </c>
      <c r="AC45" s="416">
        <f t="shared" si="4"/>
        <v>411140000</v>
      </c>
      <c r="AD45" s="416">
        <v>411140</v>
      </c>
    </row>
    <row r="46" spans="1:30">
      <c r="A46" s="416">
        <v>1999</v>
      </c>
      <c r="F46" s="416">
        <f t="shared" si="3"/>
        <v>24208000</v>
      </c>
      <c r="G46" s="416">
        <v>24208</v>
      </c>
      <c r="J46" s="416">
        <f t="shared" si="6"/>
        <v>359961920</v>
      </c>
      <c r="K46" s="416">
        <v>310312</v>
      </c>
      <c r="P46" s="416">
        <v>149094</v>
      </c>
      <c r="Q46" s="416">
        <f t="shared" si="7"/>
        <v>172949040</v>
      </c>
      <c r="T46" s="416">
        <f t="shared" si="8"/>
        <v>151933434</v>
      </c>
      <c r="U46" s="416">
        <v>110658</v>
      </c>
      <c r="AC46" s="416">
        <f t="shared" si="4"/>
        <v>425884000</v>
      </c>
      <c r="AD46" s="416">
        <v>425884</v>
      </c>
    </row>
    <row r="47" spans="1:30">
      <c r="A47" s="416">
        <v>2000</v>
      </c>
      <c r="F47" s="416">
        <f t="shared" si="3"/>
        <v>23088000</v>
      </c>
      <c r="G47" s="416">
        <v>23088</v>
      </c>
      <c r="J47" s="416">
        <f t="shared" si="6"/>
        <v>464774880</v>
      </c>
      <c r="K47" s="416">
        <v>400668</v>
      </c>
      <c r="P47" s="416">
        <v>133023</v>
      </c>
      <c r="Q47" s="416">
        <f t="shared" si="7"/>
        <v>154306680</v>
      </c>
      <c r="T47" s="416">
        <f t="shared" si="8"/>
        <v>168229571</v>
      </c>
      <c r="U47" s="416">
        <v>122527</v>
      </c>
      <c r="AC47" s="416">
        <f t="shared" si="4"/>
        <v>370209000</v>
      </c>
      <c r="AD47" s="416">
        <v>370209</v>
      </c>
    </row>
    <row r="48" spans="1:30">
      <c r="A48" s="416">
        <v>2001</v>
      </c>
      <c r="F48" s="416">
        <f t="shared" si="3"/>
        <v>24360000</v>
      </c>
      <c r="G48" s="416">
        <v>24360</v>
      </c>
      <c r="J48" s="416">
        <f t="shared" si="6"/>
        <v>425243240</v>
      </c>
      <c r="K48" s="416">
        <v>366589</v>
      </c>
      <c r="P48" s="416">
        <v>169750</v>
      </c>
      <c r="Q48" s="416">
        <f t="shared" si="7"/>
        <v>196910000</v>
      </c>
      <c r="T48" s="416">
        <f t="shared" si="8"/>
        <v>177435536</v>
      </c>
      <c r="U48" s="416">
        <v>129232</v>
      </c>
      <c r="AC48" s="416">
        <f t="shared" si="4"/>
        <v>407046000</v>
      </c>
      <c r="AD48" s="416">
        <v>407046</v>
      </c>
    </row>
    <row r="49" spans="1:31">
      <c r="A49" s="416">
        <v>2002</v>
      </c>
      <c r="F49" s="416">
        <f t="shared" si="3"/>
        <v>25782000</v>
      </c>
      <c r="G49" s="416">
        <v>25782</v>
      </c>
      <c r="J49" s="416">
        <f t="shared" si="6"/>
        <v>474951560</v>
      </c>
      <c r="K49" s="416">
        <v>409441</v>
      </c>
      <c r="P49" s="416">
        <v>165900</v>
      </c>
      <c r="Q49" s="416">
        <f t="shared" si="7"/>
        <v>192444000</v>
      </c>
      <c r="T49" s="416">
        <f t="shared" si="8"/>
        <v>190045168</v>
      </c>
      <c r="U49" s="416">
        <v>138416</v>
      </c>
      <c r="AC49" s="416">
        <f t="shared" si="4"/>
        <v>419223000</v>
      </c>
      <c r="AD49" s="416">
        <v>419223</v>
      </c>
    </row>
    <row r="50" spans="1:31">
      <c r="A50" s="416">
        <v>2003</v>
      </c>
      <c r="F50" s="416">
        <f t="shared" si="3"/>
        <v>25160000</v>
      </c>
      <c r="G50" s="416">
        <v>25160</v>
      </c>
      <c r="J50" s="416">
        <f t="shared" si="6"/>
        <v>507853800</v>
      </c>
      <c r="K50" s="416">
        <v>437805</v>
      </c>
      <c r="P50" s="416">
        <v>170866</v>
      </c>
      <c r="Q50" s="416">
        <f t="shared" si="7"/>
        <v>198204560</v>
      </c>
      <c r="T50" s="416">
        <f t="shared" si="8"/>
        <v>198222756</v>
      </c>
      <c r="U50" s="416">
        <v>144372</v>
      </c>
      <c r="AC50" s="416">
        <f t="shared" si="4"/>
        <v>393535000</v>
      </c>
      <c r="AD50" s="416">
        <v>393535</v>
      </c>
    </row>
    <row r="51" spans="1:31">
      <c r="A51" s="416">
        <v>2004</v>
      </c>
      <c r="F51" s="416">
        <f t="shared" si="3"/>
        <v>20732000</v>
      </c>
      <c r="G51" s="416">
        <v>20732</v>
      </c>
      <c r="J51" s="416">
        <f t="shared" si="6"/>
        <v>593695122.39999998</v>
      </c>
      <c r="K51" s="416">
        <v>511806.14</v>
      </c>
      <c r="P51" s="416">
        <v>132285.85</v>
      </c>
      <c r="Q51" s="416">
        <f t="shared" si="7"/>
        <v>153451586</v>
      </c>
      <c r="T51" s="416">
        <f t="shared" si="8"/>
        <v>194215847.72000003</v>
      </c>
      <c r="U51" s="416">
        <v>141453.64000000001</v>
      </c>
      <c r="AC51" s="416">
        <f t="shared" si="4"/>
        <v>453775130</v>
      </c>
      <c r="AD51" s="416">
        <v>453775.13</v>
      </c>
    </row>
    <row r="52" spans="1:31">
      <c r="A52" s="416">
        <v>2005</v>
      </c>
      <c r="F52" s="416">
        <f t="shared" si="3"/>
        <v>11612600</v>
      </c>
      <c r="G52" s="416">
        <v>11612.6</v>
      </c>
      <c r="H52" s="416">
        <f>BB100</f>
        <v>12684479.166666668</v>
      </c>
      <c r="J52" s="416">
        <f t="shared" si="6"/>
        <v>489847398.39999998</v>
      </c>
      <c r="K52" s="416">
        <v>422282.23999999999</v>
      </c>
      <c r="L52" s="416">
        <f>BB99</f>
        <v>529979881.18811876</v>
      </c>
      <c r="P52" s="416">
        <v>242704.01</v>
      </c>
      <c r="Q52" s="416">
        <f t="shared" si="7"/>
        <v>281536651.60000002</v>
      </c>
      <c r="S52" s="416">
        <f>BB109</f>
        <v>157212929.03225806</v>
      </c>
      <c r="T52" s="416">
        <f t="shared" si="8"/>
        <v>185302880.92000002</v>
      </c>
      <c r="U52" s="416">
        <v>134962.04</v>
      </c>
      <c r="AC52" s="416">
        <f t="shared" si="4"/>
        <v>474786660</v>
      </c>
      <c r="AD52" s="416">
        <v>474786.66</v>
      </c>
    </row>
    <row r="53" spans="1:31">
      <c r="A53" s="416">
        <v>2006</v>
      </c>
      <c r="F53" s="416">
        <f t="shared" si="3"/>
        <v>9823000</v>
      </c>
      <c r="G53" s="416">
        <v>9823</v>
      </c>
      <c r="J53" s="416">
        <f t="shared" si="6"/>
        <v>628735590.39999998</v>
      </c>
      <c r="K53" s="416">
        <v>542013.43999999994</v>
      </c>
      <c r="P53" s="416">
        <v>161060.25</v>
      </c>
      <c r="Q53" s="416">
        <f t="shared" si="7"/>
        <v>186829890</v>
      </c>
      <c r="T53" s="416">
        <f t="shared" si="8"/>
        <v>187377154.39999998</v>
      </c>
      <c r="U53" s="416">
        <v>136472.79999999999</v>
      </c>
      <c r="AC53" s="416">
        <f t="shared" si="4"/>
        <v>391701910</v>
      </c>
      <c r="AD53" s="416">
        <v>391701.91</v>
      </c>
    </row>
    <row r="54" spans="1:31">
      <c r="A54" s="416">
        <v>2007</v>
      </c>
      <c r="F54" s="416">
        <f t="shared" si="3"/>
        <v>6088000</v>
      </c>
      <c r="G54" s="416">
        <v>6088</v>
      </c>
      <c r="J54" s="416">
        <f t="shared" si="6"/>
        <v>719017682.79999995</v>
      </c>
      <c r="K54" s="416">
        <v>619842.82999999996</v>
      </c>
      <c r="P54" s="416">
        <v>77194.92</v>
      </c>
      <c r="Q54" s="416">
        <f t="shared" si="7"/>
        <v>89546107.200000003</v>
      </c>
      <c r="T54" s="416">
        <f t="shared" si="8"/>
        <v>185764126.54000002</v>
      </c>
      <c r="U54" s="416">
        <v>135297.98000000001</v>
      </c>
      <c r="AC54" s="416">
        <f t="shared" si="4"/>
        <v>465649280</v>
      </c>
      <c r="AD54" s="416">
        <v>465649.28</v>
      </c>
    </row>
    <row r="55" spans="1:31">
      <c r="A55" s="416">
        <v>2008</v>
      </c>
      <c r="F55" s="416">
        <f t="shared" si="3"/>
        <v>4581400</v>
      </c>
      <c r="G55" s="416">
        <v>4581.3999999999996</v>
      </c>
      <c r="J55" s="416">
        <f t="shared" si="6"/>
        <v>629695618</v>
      </c>
      <c r="K55" s="416">
        <v>542841.05000000005</v>
      </c>
      <c r="P55" s="416">
        <v>102485.39</v>
      </c>
      <c r="Q55" s="416">
        <f t="shared" si="7"/>
        <v>118883052.40000001</v>
      </c>
      <c r="T55" s="416">
        <f t="shared" si="8"/>
        <v>183950887.81999999</v>
      </c>
      <c r="U55" s="416">
        <v>133977.34</v>
      </c>
      <c r="AC55" s="416">
        <f t="shared" si="4"/>
        <v>475449480</v>
      </c>
      <c r="AD55" s="416">
        <v>475449.48</v>
      </c>
    </row>
    <row r="56" spans="1:31">
      <c r="A56" s="416">
        <v>2009</v>
      </c>
      <c r="F56" s="416">
        <f t="shared" si="3"/>
        <v>5617960</v>
      </c>
      <c r="G56" s="416">
        <v>5617.96</v>
      </c>
      <c r="J56" s="416">
        <f t="shared" si="6"/>
        <v>689026068.39999998</v>
      </c>
      <c r="K56" s="416">
        <v>593987.99</v>
      </c>
      <c r="P56" s="416">
        <v>89778.94</v>
      </c>
      <c r="Q56" s="416">
        <f t="shared" si="7"/>
        <v>104143570.40000001</v>
      </c>
      <c r="T56" s="416">
        <f t="shared" si="8"/>
        <v>204188715.60000002</v>
      </c>
      <c r="U56" s="416">
        <v>148717.20000000001</v>
      </c>
      <c r="AC56" s="416">
        <f t="shared" si="4"/>
        <v>568442700</v>
      </c>
      <c r="AD56" s="416">
        <v>568442.69999999995</v>
      </c>
    </row>
    <row r="57" spans="1:31">
      <c r="A57" s="416">
        <v>2010</v>
      </c>
      <c r="F57" s="416">
        <f t="shared" si="3"/>
        <v>4189000</v>
      </c>
      <c r="G57" s="416">
        <v>4189</v>
      </c>
      <c r="J57" s="416">
        <f t="shared" si="6"/>
        <v>834436658.5200001</v>
      </c>
      <c r="K57" s="416">
        <v>719341.94700000004</v>
      </c>
      <c r="P57" s="416">
        <v>58689.347000000002</v>
      </c>
      <c r="Q57" s="416">
        <f t="shared" si="7"/>
        <v>68079642.519999996</v>
      </c>
      <c r="T57" s="416">
        <f t="shared" si="8"/>
        <v>210995648.68399999</v>
      </c>
      <c r="U57" s="416">
        <v>153674.908</v>
      </c>
      <c r="AC57" s="416">
        <f t="shared" si="4"/>
        <v>582382381</v>
      </c>
      <c r="AD57" s="416">
        <v>582382.38100000005</v>
      </c>
    </row>
    <row r="58" spans="1:31">
      <c r="A58" s="416">
        <v>2011</v>
      </c>
      <c r="F58" s="416">
        <f t="shared" si="3"/>
        <v>4704000</v>
      </c>
      <c r="G58" s="416">
        <v>4704</v>
      </c>
      <c r="J58" s="416">
        <f t="shared" si="6"/>
        <v>946959343.91999996</v>
      </c>
      <c r="K58" s="416">
        <v>816344.26199999999</v>
      </c>
      <c r="P58" s="416">
        <v>65509.447999999997</v>
      </c>
      <c r="Q58" s="416">
        <f t="shared" si="7"/>
        <v>75990959.679999992</v>
      </c>
      <c r="T58" s="416">
        <f t="shared" si="8"/>
        <v>216489559.89999998</v>
      </c>
      <c r="U58" s="416">
        <v>157676.29999999999</v>
      </c>
      <c r="AC58" s="416">
        <f t="shared" si="4"/>
        <v>506714149</v>
      </c>
      <c r="AD58" s="416">
        <v>506714.14899999998</v>
      </c>
    </row>
    <row r="59" spans="1:31">
      <c r="A59" s="416">
        <v>2012</v>
      </c>
      <c r="F59" s="416">
        <f t="shared" si="3"/>
        <v>3386000</v>
      </c>
      <c r="G59" s="416">
        <v>3386</v>
      </c>
      <c r="J59" s="416">
        <f t="shared" si="6"/>
        <v>986566080</v>
      </c>
      <c r="K59" s="416">
        <v>850488</v>
      </c>
      <c r="P59" s="416">
        <v>42822</v>
      </c>
      <c r="Q59" s="416">
        <f t="shared" si="7"/>
        <v>49673520</v>
      </c>
      <c r="T59" s="416">
        <f t="shared" si="8"/>
        <v>223855293</v>
      </c>
      <c r="U59" s="416">
        <v>163041</v>
      </c>
      <c r="AC59" s="416">
        <f t="shared" si="4"/>
        <v>518603000</v>
      </c>
      <c r="AD59" s="416">
        <v>518603</v>
      </c>
    </row>
    <row r="60" spans="1:31">
      <c r="A60" s="416">
        <v>2013</v>
      </c>
      <c r="F60" s="416">
        <f t="shared" si="3"/>
        <v>3736000</v>
      </c>
      <c r="G60" s="416">
        <v>3736</v>
      </c>
      <c r="J60" s="416">
        <f t="shared" si="6"/>
        <v>955509400</v>
      </c>
      <c r="K60" s="416">
        <v>823715</v>
      </c>
      <c r="P60" s="416">
        <v>53390</v>
      </c>
      <c r="Q60" s="416">
        <f t="shared" si="7"/>
        <v>61932400</v>
      </c>
      <c r="T60" s="416">
        <f t="shared" si="8"/>
        <v>252896989</v>
      </c>
      <c r="U60" s="416">
        <v>184193</v>
      </c>
      <c r="AC60" s="416">
        <f t="shared" si="4"/>
        <v>596465000</v>
      </c>
      <c r="AD60" s="416">
        <v>596465</v>
      </c>
    </row>
    <row r="61" spans="1:31">
      <c r="A61" s="416">
        <v>2014</v>
      </c>
      <c r="F61" s="416">
        <f t="shared" si="3"/>
        <v>3907000</v>
      </c>
      <c r="G61" s="416">
        <v>3907</v>
      </c>
      <c r="J61" s="416">
        <f t="shared" si="6"/>
        <v>1033089040</v>
      </c>
      <c r="K61" s="416">
        <v>890594</v>
      </c>
      <c r="P61" s="416">
        <v>43303</v>
      </c>
      <c r="Q61" s="416">
        <f t="shared" si="7"/>
        <v>50231480</v>
      </c>
      <c r="T61" s="416">
        <f t="shared" si="8"/>
        <v>243619628</v>
      </c>
      <c r="U61" s="416">
        <v>177436</v>
      </c>
      <c r="AC61" s="416">
        <f t="shared" si="4"/>
        <v>668565000</v>
      </c>
      <c r="AD61" s="416">
        <v>668565</v>
      </c>
    </row>
    <row r="62" spans="1:31">
      <c r="A62" s="416">
        <v>2015</v>
      </c>
      <c r="B62" s="292">
        <f>AE78</f>
        <v>120176.68712099698</v>
      </c>
      <c r="C62" s="416">
        <v>19473138</v>
      </c>
      <c r="G62" s="416">
        <v>57373</v>
      </c>
      <c r="J62" s="416">
        <f t="shared" si="6"/>
        <v>1085824960</v>
      </c>
      <c r="K62" s="416">
        <v>936056</v>
      </c>
      <c r="L62" s="416">
        <f>R62</f>
        <v>849667000</v>
      </c>
      <c r="P62" s="416">
        <v>40294</v>
      </c>
      <c r="Q62" s="416">
        <f t="shared" si="7"/>
        <v>46741040</v>
      </c>
      <c r="R62" s="416">
        <v>849667000</v>
      </c>
      <c r="S62" s="416">
        <f>Y62+Z62+W62</f>
        <v>275092907</v>
      </c>
      <c r="T62" s="416">
        <f t="shared" si="8"/>
        <v>275092907</v>
      </c>
      <c r="U62" s="416">
        <v>200359</v>
      </c>
      <c r="V62" s="416">
        <f>T62-Y62-Z62</f>
        <v>73902907</v>
      </c>
      <c r="W62" s="416">
        <f>V62</f>
        <v>73902907</v>
      </c>
      <c r="Y62" s="416">
        <v>57739000</v>
      </c>
      <c r="Z62" s="416">
        <v>143451000</v>
      </c>
      <c r="AC62" s="416">
        <f t="shared" si="4"/>
        <v>736729000</v>
      </c>
      <c r="AD62" s="416">
        <v>736729</v>
      </c>
      <c r="AE62" s="416">
        <v>119569000</v>
      </c>
    </row>
    <row r="63" spans="1:31">
      <c r="A63" s="416">
        <v>2016</v>
      </c>
      <c r="B63" s="292">
        <f t="shared" ref="B63:B69" si="9">AE79</f>
        <v>136221.82435035298</v>
      </c>
      <c r="C63" s="416">
        <v>22073053</v>
      </c>
      <c r="F63" s="416">
        <f t="shared" si="3"/>
        <v>4314000</v>
      </c>
      <c r="G63" s="416">
        <v>4314</v>
      </c>
      <c r="J63" s="416">
        <f t="shared" si="6"/>
        <v>1237860360</v>
      </c>
      <c r="K63" s="416">
        <v>1067121</v>
      </c>
      <c r="L63" s="416">
        <f t="shared" ref="L63:L68" si="10">R63</f>
        <v>1032051000</v>
      </c>
      <c r="P63" s="416">
        <v>49307</v>
      </c>
      <c r="Q63" s="416">
        <f t="shared" si="7"/>
        <v>57196120</v>
      </c>
      <c r="R63" s="416">
        <v>1032051000</v>
      </c>
      <c r="S63" s="416">
        <f t="shared" ref="S63:S68" si="11">Y63+Z63+W63</f>
        <v>316737370</v>
      </c>
      <c r="T63" s="416">
        <f t="shared" si="8"/>
        <v>316737370</v>
      </c>
      <c r="U63" s="416">
        <v>230690</v>
      </c>
      <c r="V63" s="416">
        <f>T63-Y63-Z63</f>
        <v>85927370</v>
      </c>
      <c r="W63" s="416">
        <f>V63</f>
        <v>85927370</v>
      </c>
      <c r="Y63" s="416">
        <v>63198000</v>
      </c>
      <c r="Z63" s="416">
        <v>167612000</v>
      </c>
      <c r="AC63" s="416">
        <f t="shared" si="4"/>
        <v>787328000</v>
      </c>
      <c r="AD63" s="416">
        <v>787328</v>
      </c>
      <c r="AE63" s="416">
        <v>109130000</v>
      </c>
    </row>
    <row r="64" spans="1:31">
      <c r="A64" s="416">
        <v>2017</v>
      </c>
      <c r="B64" s="292">
        <f t="shared" si="9"/>
        <v>149925.10341154327</v>
      </c>
      <c r="C64" s="416">
        <v>24293499</v>
      </c>
      <c r="F64" s="416">
        <f t="shared" si="3"/>
        <v>4236500</v>
      </c>
      <c r="G64" s="416">
        <v>4236.5</v>
      </c>
      <c r="J64" s="416">
        <f t="shared" si="6"/>
        <v>1301510410.28</v>
      </c>
      <c r="K64" s="416">
        <v>1121991.733</v>
      </c>
      <c r="L64" s="416">
        <f t="shared" si="10"/>
        <v>1122094000</v>
      </c>
      <c r="P64" s="416">
        <v>41095.660000000003</v>
      </c>
      <c r="Q64" s="416">
        <f t="shared" si="7"/>
        <v>47670965.600000001</v>
      </c>
      <c r="R64" s="416">
        <v>1122094000</v>
      </c>
      <c r="S64" s="416">
        <f t="shared" si="11"/>
        <v>367256905</v>
      </c>
      <c r="T64" s="416">
        <f t="shared" si="8"/>
        <v>367256905</v>
      </c>
      <c r="U64" s="416">
        <v>267485</v>
      </c>
      <c r="V64" s="416">
        <f>T64-Y64-Z64</f>
        <v>98053905</v>
      </c>
      <c r="W64" s="416">
        <f>V64</f>
        <v>98053905</v>
      </c>
      <c r="Y64" s="416">
        <v>71046000</v>
      </c>
      <c r="Z64" s="416">
        <v>198157000</v>
      </c>
      <c r="AC64" s="416">
        <f t="shared" si="4"/>
        <v>744307611</v>
      </c>
      <c r="AD64" s="416">
        <v>744307.61100000003</v>
      </c>
      <c r="AE64" s="416">
        <v>99883000</v>
      </c>
    </row>
    <row r="65" spans="1:52">
      <c r="A65" s="416">
        <v>2018</v>
      </c>
      <c r="B65" s="292">
        <f t="shared" si="9"/>
        <v>164000</v>
      </c>
      <c r="C65" s="416">
        <v>26574161</v>
      </c>
      <c r="L65" s="416">
        <f t="shared" si="10"/>
        <v>1206639000</v>
      </c>
      <c r="R65" s="416">
        <v>1206639000</v>
      </c>
      <c r="S65" s="416">
        <f t="shared" si="11"/>
        <v>305396000</v>
      </c>
      <c r="Y65" s="416">
        <v>68536000</v>
      </c>
      <c r="Z65" s="416">
        <v>236860000</v>
      </c>
      <c r="AE65" s="416">
        <v>112894000</v>
      </c>
    </row>
    <row r="66" spans="1:52">
      <c r="A66" s="416">
        <v>2019</v>
      </c>
      <c r="B66" s="292">
        <f t="shared" si="9"/>
        <v>173123.25472853123</v>
      </c>
      <c r="C66" s="416">
        <v>28052471</v>
      </c>
      <c r="L66" s="416">
        <f t="shared" si="10"/>
        <v>1313142000</v>
      </c>
      <c r="R66" s="416">
        <v>1313142000</v>
      </c>
      <c r="S66" s="416">
        <f t="shared" si="11"/>
        <v>352975000</v>
      </c>
      <c r="Y66" s="416">
        <v>78668000</v>
      </c>
      <c r="Z66" s="416">
        <v>274307000</v>
      </c>
      <c r="AE66" s="416">
        <v>112890000</v>
      </c>
    </row>
    <row r="67" spans="1:52">
      <c r="A67" s="416">
        <v>2020</v>
      </c>
      <c r="B67" s="292">
        <f t="shared" si="9"/>
        <v>180268.3076993475</v>
      </c>
      <c r="C67" s="416">
        <v>29210238</v>
      </c>
      <c r="L67" s="416">
        <f t="shared" si="10"/>
        <v>1267314000</v>
      </c>
      <c r="R67" s="416">
        <v>1267314000</v>
      </c>
      <c r="S67" s="416">
        <f t="shared" si="11"/>
        <v>355021000</v>
      </c>
      <c r="Y67" s="416">
        <v>79930000</v>
      </c>
      <c r="Z67" s="416">
        <v>275091000</v>
      </c>
      <c r="AE67" s="416">
        <v>110955000</v>
      </c>
    </row>
    <row r="68" spans="1:52">
      <c r="A68" s="416">
        <v>2021</v>
      </c>
      <c r="B68" s="292">
        <f t="shared" si="9"/>
        <v>198199.41498811572</v>
      </c>
      <c r="C68" s="416">
        <v>32115751</v>
      </c>
      <c r="L68" s="416">
        <f t="shared" si="10"/>
        <v>1313891000</v>
      </c>
      <c r="R68" s="416">
        <v>1313891000</v>
      </c>
      <c r="S68" s="416">
        <f t="shared" si="11"/>
        <v>426074000</v>
      </c>
      <c r="Y68" s="416">
        <v>81627000</v>
      </c>
      <c r="Z68" s="416">
        <v>344447000</v>
      </c>
      <c r="AE68" s="416">
        <v>107460000</v>
      </c>
    </row>
    <row r="69" spans="1:52">
      <c r="A69" s="416">
        <v>2022</v>
      </c>
      <c r="B69" s="292">
        <f t="shared" si="9"/>
        <v>165154.38045250045</v>
      </c>
      <c r="C69" s="416">
        <v>26761214</v>
      </c>
      <c r="H69" s="416">
        <f>I69*1000</f>
        <v>4761000</v>
      </c>
      <c r="I69" s="416">
        <v>4761</v>
      </c>
      <c r="L69" s="416">
        <f>M69*1000</f>
        <v>1480685025.9999995</v>
      </c>
      <c r="M69" s="416">
        <v>1480685.0259999996</v>
      </c>
      <c r="N69" s="416">
        <f>O69*1000</f>
        <v>41443368.333333336</v>
      </c>
      <c r="O69" s="416">
        <v>41443.368333333339</v>
      </c>
      <c r="S69" s="416" t="e">
        <f>Y69+AA69+W69</f>
        <v>#VALUE!</v>
      </c>
      <c r="W69" s="416">
        <f>X69*1000</f>
        <v>88745430.000000015</v>
      </c>
      <c r="X69" s="416">
        <v>88745.430000000008</v>
      </c>
      <c r="Y69" s="416" t="s">
        <v>152</v>
      </c>
      <c r="AA69" s="416">
        <f>AB69*1000</f>
        <v>402404903.00000006</v>
      </c>
      <c r="AB69" s="416">
        <v>402404.90300000005</v>
      </c>
      <c r="AF69" s="416">
        <f>(AH69+AL69+AM69)*1000</f>
        <v>418041480.48000002</v>
      </c>
      <c r="AG69" s="416">
        <f>(AH69+AI69+AJ69+AK69+AL69+AM69)*1000</f>
        <v>932419325.48000002</v>
      </c>
      <c r="AH69" s="416">
        <v>53123.955479999997</v>
      </c>
      <c r="AI69" s="416">
        <v>362258.84500000003</v>
      </c>
      <c r="AJ69" s="416">
        <v>51835</v>
      </c>
      <c r="AK69" s="416">
        <v>100284</v>
      </c>
      <c r="AL69" s="416">
        <v>278822.52500000002</v>
      </c>
      <c r="AM69" s="416">
        <v>86095</v>
      </c>
    </row>
    <row r="70" spans="1:52">
      <c r="R70" s="416">
        <f>L69/R66-1</f>
        <v>0.12758941987995165</v>
      </c>
    </row>
    <row r="71" spans="1:52">
      <c r="L71" s="465">
        <f>L63/L62-1</f>
        <v>0.21465350543212813</v>
      </c>
      <c r="AV71" s="416">
        <v>1</v>
      </c>
      <c r="AZ71" s="416" t="s">
        <v>153</v>
      </c>
    </row>
    <row r="72" spans="1:52">
      <c r="L72" s="465">
        <f t="shared" ref="L72:L77" si="12">L64/L63-1</f>
        <v>8.7246657384179693E-2</v>
      </c>
      <c r="AA72" s="416" t="s">
        <v>154</v>
      </c>
      <c r="AV72" s="416" t="s">
        <v>155</v>
      </c>
      <c r="AW72" s="416" t="s">
        <v>156</v>
      </c>
      <c r="AX72" s="416" t="s">
        <v>157</v>
      </c>
      <c r="AY72" s="423" t="s">
        <v>158</v>
      </c>
      <c r="AZ72" s="416" t="s">
        <v>159</v>
      </c>
    </row>
    <row r="73" spans="1:52">
      <c r="L73" s="465">
        <f t="shared" si="12"/>
        <v>7.5345737522881429E-2</v>
      </c>
      <c r="AA73" s="416" t="s">
        <v>160</v>
      </c>
      <c r="AV73" s="4" t="s">
        <v>161</v>
      </c>
      <c r="AW73" s="100">
        <f>1/0.575</f>
        <v>1.7391304347826089</v>
      </c>
      <c r="AX73" s="100">
        <f>1/0.585</f>
        <v>1.7094017094017095</v>
      </c>
      <c r="AY73" s="416">
        <f t="shared" ref="AY73:AY78" si="13">AW73*1000</f>
        <v>1739.130434782609</v>
      </c>
      <c r="AZ73" s="416">
        <f t="shared" ref="AZ73:AZ78" si="14">1000/AX73</f>
        <v>585</v>
      </c>
    </row>
    <row r="74" spans="1:52">
      <c r="L74" s="465">
        <f t="shared" si="12"/>
        <v>8.8264178432820417E-2</v>
      </c>
      <c r="AV74" s="4" t="s">
        <v>162</v>
      </c>
      <c r="AW74" s="100">
        <v>1.353</v>
      </c>
      <c r="AX74" s="100">
        <v>1.3380000000000001</v>
      </c>
      <c r="AY74" s="416">
        <f t="shared" si="13"/>
        <v>1353</v>
      </c>
      <c r="AZ74" s="416">
        <f t="shared" si="14"/>
        <v>747.38415545590431</v>
      </c>
    </row>
    <row r="75" spans="1:52">
      <c r="L75" s="465">
        <f t="shared" si="12"/>
        <v>-3.4899500587141419E-2</v>
      </c>
      <c r="AF75" s="675" t="s">
        <v>904</v>
      </c>
      <c r="AG75" s="457"/>
      <c r="AH75" s="457"/>
      <c r="AI75" s="457"/>
      <c r="AJ75" s="457"/>
      <c r="AK75" s="457"/>
      <c r="AL75" s="457"/>
      <c r="AM75" s="457"/>
      <c r="AN75" s="457"/>
      <c r="AV75" s="4" t="s">
        <v>163</v>
      </c>
      <c r="AW75" s="100">
        <v>1.373</v>
      </c>
      <c r="AX75" s="100">
        <v>1.3560000000000001</v>
      </c>
      <c r="AY75" s="416">
        <f t="shared" si="13"/>
        <v>1373</v>
      </c>
      <c r="AZ75" s="416">
        <f t="shared" si="14"/>
        <v>737.46312684365773</v>
      </c>
    </row>
    <row r="76" spans="1:52">
      <c r="L76" s="465">
        <f t="shared" si="12"/>
        <v>3.6752533310608015E-2</v>
      </c>
      <c r="AC76" s="783" t="s">
        <v>903</v>
      </c>
      <c r="AE76" s="785" t="s">
        <v>911</v>
      </c>
      <c r="AF76" s="678" t="s">
        <v>905</v>
      </c>
      <c r="AV76" s="4" t="s">
        <v>164</v>
      </c>
      <c r="AW76" s="100">
        <v>1.373</v>
      </c>
      <c r="AX76" s="100">
        <v>1.3560000000000001</v>
      </c>
      <c r="AY76" s="416">
        <f t="shared" si="13"/>
        <v>1373</v>
      </c>
      <c r="AZ76" s="416">
        <f t="shared" si="14"/>
        <v>737.46312684365773</v>
      </c>
    </row>
    <row r="77" spans="1:52">
      <c r="L77" s="465">
        <f t="shared" si="12"/>
        <v>0.12694662342614382</v>
      </c>
      <c r="AB77" s="463"/>
      <c r="AC77" s="784"/>
      <c r="AD77" s="463"/>
      <c r="AE77" s="786"/>
      <c r="AF77" s="673" t="s">
        <v>907</v>
      </c>
      <c r="AV77" s="4" t="s">
        <v>165</v>
      </c>
      <c r="AW77" s="100">
        <v>1.2350000000000001</v>
      </c>
      <c r="AX77" s="100">
        <v>1.2230000000000001</v>
      </c>
      <c r="AY77" s="416">
        <f t="shared" si="13"/>
        <v>1235</v>
      </c>
      <c r="AZ77" s="416">
        <f t="shared" si="14"/>
        <v>817.6614881439084</v>
      </c>
    </row>
    <row r="78" spans="1:52">
      <c r="AB78" s="416">
        <v>2015</v>
      </c>
      <c r="AC78" s="587">
        <f>C62</f>
        <v>19473138</v>
      </c>
      <c r="AE78" s="292">
        <f t="shared" ref="AE78:AE85" si="15">AC78*$AF$79/1000</f>
        <v>120176.68712099698</v>
      </c>
      <c r="AF78" s="673" t="s">
        <v>906</v>
      </c>
      <c r="AV78" s="4" t="s">
        <v>166</v>
      </c>
      <c r="AW78" s="100">
        <v>1.1599999999999999</v>
      </c>
      <c r="AX78" s="100">
        <v>1.1519999999999999</v>
      </c>
      <c r="AY78" s="416">
        <f t="shared" si="13"/>
        <v>1160</v>
      </c>
      <c r="AZ78" s="416">
        <f t="shared" si="14"/>
        <v>868.05555555555566</v>
      </c>
    </row>
    <row r="79" spans="1:52">
      <c r="AB79" s="416">
        <v>2016</v>
      </c>
      <c r="AC79" s="587">
        <f t="shared" ref="AC79:AC84" si="16">C63</f>
        <v>22073053</v>
      </c>
      <c r="AE79" s="292">
        <f t="shared" si="15"/>
        <v>136221.82435035298</v>
      </c>
      <c r="AF79" s="674">
        <f>(164000*1000)/AC81</f>
        <v>6.1714083842571741</v>
      </c>
    </row>
    <row r="80" spans="1:52">
      <c r="AB80" s="416">
        <v>2017</v>
      </c>
      <c r="AC80" s="587">
        <f t="shared" si="16"/>
        <v>24293499</v>
      </c>
      <c r="AE80" s="292">
        <f t="shared" si="15"/>
        <v>149925.10341154327</v>
      </c>
      <c r="AF80" s="673" t="s">
        <v>909</v>
      </c>
    </row>
    <row r="81" spans="28:52">
      <c r="AB81" s="416">
        <v>2018</v>
      </c>
      <c r="AC81" s="587">
        <f t="shared" si="16"/>
        <v>26574161</v>
      </c>
      <c r="AE81" s="292">
        <f t="shared" si="15"/>
        <v>164000</v>
      </c>
      <c r="AF81" s="676" t="s">
        <v>910</v>
      </c>
      <c r="AG81" s="463"/>
      <c r="AH81" s="463"/>
      <c r="AI81" s="463"/>
      <c r="AJ81" s="463"/>
      <c r="AK81" s="463"/>
      <c r="AL81" s="463"/>
      <c r="AM81" s="463"/>
      <c r="AN81" s="463"/>
    </row>
    <row r="82" spans="28:52">
      <c r="AB82" s="416">
        <v>2019</v>
      </c>
      <c r="AC82" s="587">
        <f t="shared" si="16"/>
        <v>28052471</v>
      </c>
      <c r="AE82" s="292">
        <f t="shared" si="15"/>
        <v>173123.25472853123</v>
      </c>
      <c r="AF82" s="675" t="s">
        <v>913</v>
      </c>
      <c r="AG82" s="457"/>
      <c r="AH82" s="457"/>
      <c r="AI82" s="457"/>
      <c r="AJ82" s="457"/>
      <c r="AK82" s="457"/>
      <c r="AL82" s="457"/>
      <c r="AM82" s="457"/>
      <c r="AN82" s="457"/>
    </row>
    <row r="83" spans="28:52">
      <c r="AB83" s="416">
        <v>2020</v>
      </c>
      <c r="AC83" s="587">
        <f t="shared" si="16"/>
        <v>29210238</v>
      </c>
      <c r="AE83" s="292">
        <f t="shared" si="15"/>
        <v>180268.3076993475</v>
      </c>
      <c r="AF83" s="677" t="s">
        <v>914</v>
      </c>
      <c r="AV83" s="416" t="s">
        <v>167</v>
      </c>
      <c r="AW83" s="416" t="s">
        <v>168</v>
      </c>
      <c r="AX83" s="416" t="s">
        <v>169</v>
      </c>
      <c r="AY83" s="416" t="s">
        <v>170</v>
      </c>
      <c r="AZ83" s="416" t="s">
        <v>171</v>
      </c>
    </row>
    <row r="84" spans="28:52">
      <c r="AB84" s="416">
        <v>2021</v>
      </c>
      <c r="AC84" s="587">
        <f t="shared" si="16"/>
        <v>32115751</v>
      </c>
      <c r="AE84" s="292">
        <f t="shared" si="15"/>
        <v>198199.41498811572</v>
      </c>
      <c r="AF84" s="673" t="s">
        <v>915</v>
      </c>
      <c r="AV84" s="416">
        <f>0.31/2</f>
        <v>0.155</v>
      </c>
      <c r="AW84" s="416">
        <v>0.52</v>
      </c>
      <c r="AX84" s="416">
        <f>PI()*AV84^2*AW84</f>
        <v>3.9247917021297291E-2</v>
      </c>
      <c r="AY84" s="416">
        <v>13</v>
      </c>
      <c r="AZ84" s="416">
        <f>AY84/AX84</f>
        <v>331.22776918188413</v>
      </c>
    </row>
    <row r="85" spans="28:52">
      <c r="AB85" s="463" t="s">
        <v>908</v>
      </c>
      <c r="AC85" s="672">
        <f>C69</f>
        <v>26761214</v>
      </c>
      <c r="AD85" s="463"/>
      <c r="AE85" s="462">
        <f t="shared" si="15"/>
        <v>165154.38045250045</v>
      </c>
      <c r="AF85" s="676" t="s">
        <v>916</v>
      </c>
      <c r="AG85" s="463"/>
      <c r="AH85" s="463"/>
      <c r="AI85" s="463"/>
      <c r="AJ85" s="463"/>
      <c r="AK85" s="463"/>
      <c r="AL85" s="463"/>
      <c r="AM85" s="463"/>
      <c r="AN85" s="463"/>
      <c r="AV85" s="416">
        <v>0.15</v>
      </c>
      <c r="AW85" s="416">
        <v>0.3</v>
      </c>
      <c r="AX85" s="416">
        <f>PI()*AV85^2*AW85</f>
        <v>2.1205750411731103E-2</v>
      </c>
      <c r="AY85" s="416">
        <v>6</v>
      </c>
      <c r="AZ85" s="416">
        <f>AY85/AX85</f>
        <v>282.94212105225841</v>
      </c>
    </row>
    <row r="86" spans="28:52">
      <c r="AV86" s="416">
        <v>0.15</v>
      </c>
      <c r="AW86" s="416">
        <v>0.5</v>
      </c>
      <c r="AX86" s="416">
        <f>PI()*AV86^2*AW86</f>
        <v>3.5342917352885174E-2</v>
      </c>
      <c r="AY86" s="416">
        <v>10</v>
      </c>
      <c r="AZ86" s="416">
        <f>AY86/AX86</f>
        <v>282.94212105225836</v>
      </c>
    </row>
    <row r="87" spans="28:52">
      <c r="AV87" s="416">
        <f>0.306/2</f>
        <v>0.153</v>
      </c>
      <c r="AW87" s="416">
        <v>0.56000000000000005</v>
      </c>
      <c r="AX87" s="416">
        <f>PI()*AV87^2*AW87</f>
        <v>4.1183263759614744E-2</v>
      </c>
      <c r="AY87" s="416">
        <v>13</v>
      </c>
      <c r="AZ87" s="416">
        <f>AY87/AX87</f>
        <v>315.66220870401486</v>
      </c>
    </row>
    <row r="88" spans="28:52">
      <c r="AE88" s="423"/>
      <c r="AF88" s="423"/>
      <c r="AG88" s="423"/>
      <c r="AH88" s="423"/>
      <c r="AI88" s="423"/>
      <c r="AJ88" s="423"/>
      <c r="AK88" s="423"/>
    </row>
    <row r="89" spans="28:52">
      <c r="AH89" s="423"/>
      <c r="AI89" s="423"/>
      <c r="AJ89" s="423"/>
      <c r="AK89" s="423"/>
    </row>
    <row r="94" spans="28:52">
      <c r="AR94" s="416" t="s">
        <v>172</v>
      </c>
    </row>
    <row r="97" spans="49:56">
      <c r="AZ97" s="416" t="s">
        <v>173</v>
      </c>
    </row>
    <row r="98" spans="49:56">
      <c r="AX98" s="416" t="s">
        <v>174</v>
      </c>
      <c r="AY98" s="416" t="s">
        <v>175</v>
      </c>
      <c r="AZ98" s="416" t="s">
        <v>176</v>
      </c>
      <c r="BA98" s="416" t="s">
        <v>146</v>
      </c>
      <c r="BB98" s="416" t="s">
        <v>65</v>
      </c>
    </row>
    <row r="99" spans="49:56">
      <c r="AW99" s="416" t="s">
        <v>91</v>
      </c>
      <c r="AX99" s="416">
        <v>23.4</v>
      </c>
      <c r="AY99" s="416">
        <f t="shared" ref="AY99:AY109" si="17">$AY$110*AX99/100</f>
        <v>461.44799999999998</v>
      </c>
      <c r="AZ99" s="416">
        <f>1000/1.01</f>
        <v>990.09900990099004</v>
      </c>
      <c r="BA99" s="416">
        <f>AY99*AZ99</f>
        <v>456879.20792079205</v>
      </c>
      <c r="BB99" s="416">
        <f>BA99*AY78</f>
        <v>529979881.18811876</v>
      </c>
      <c r="BD99" s="416">
        <f>1000/0.93</f>
        <v>1075.2688172043011</v>
      </c>
    </row>
    <row r="100" spans="49:56">
      <c r="AW100" s="416" t="s">
        <v>177</v>
      </c>
      <c r="AX100" s="416">
        <v>0.5</v>
      </c>
      <c r="AY100" s="416">
        <f t="shared" si="17"/>
        <v>9.86</v>
      </c>
      <c r="AZ100" s="416">
        <f>1000/0.96</f>
        <v>1041.6666666666667</v>
      </c>
      <c r="BA100" s="416">
        <f t="shared" ref="BA100:BA109" si="18">AY100*AZ100</f>
        <v>10270.833333333334</v>
      </c>
      <c r="BB100" s="416">
        <f>BA100*AY77</f>
        <v>12684479.166666668</v>
      </c>
    </row>
    <row r="101" spans="49:56">
      <c r="AW101" s="416" t="s">
        <v>89</v>
      </c>
      <c r="AX101" s="416">
        <v>7.8</v>
      </c>
      <c r="AY101" s="416">
        <f t="shared" si="17"/>
        <v>153.816</v>
      </c>
      <c r="AZ101" s="416">
        <f>1000*41.868*1000/49.5/1000</f>
        <v>845.81818181818176</v>
      </c>
      <c r="BA101" s="416">
        <f t="shared" si="18"/>
        <v>130100.36945454545</v>
      </c>
      <c r="BB101" s="416">
        <f>BA101*AY73</f>
        <v>226261512.09486169</v>
      </c>
      <c r="BD101" s="416" t="s">
        <v>178</v>
      </c>
    </row>
    <row r="102" spans="49:56">
      <c r="AW102" s="416" t="s">
        <v>179</v>
      </c>
      <c r="AX102" s="416">
        <v>4.8</v>
      </c>
      <c r="AY102" s="416">
        <f t="shared" si="17"/>
        <v>94.656000000000006</v>
      </c>
      <c r="AZ102" s="416">
        <f>1000/1.61</f>
        <v>621.11801242236027</v>
      </c>
      <c r="BA102" s="416">
        <f t="shared" si="18"/>
        <v>58792.546583850934</v>
      </c>
    </row>
    <row r="103" spans="49:56">
      <c r="AW103" s="416" t="s">
        <v>180</v>
      </c>
      <c r="AX103" s="416">
        <v>12.2</v>
      </c>
      <c r="AY103" s="416">
        <f t="shared" si="17"/>
        <v>240.58399999999997</v>
      </c>
      <c r="AZ103" s="416">
        <f>1000/1.35</f>
        <v>740.74074074074065</v>
      </c>
      <c r="BA103" s="416">
        <f t="shared" si="18"/>
        <v>178210.37037037034</v>
      </c>
      <c r="BD103" s="416" t="s">
        <v>181</v>
      </c>
    </row>
    <row r="104" spans="49:56">
      <c r="AW104" s="416" t="s">
        <v>182</v>
      </c>
      <c r="AX104" s="416">
        <v>22.5</v>
      </c>
      <c r="AY104" s="416">
        <f t="shared" si="17"/>
        <v>443.7</v>
      </c>
      <c r="AZ104" s="416">
        <f>1000/2.63</f>
        <v>380.22813688212932</v>
      </c>
      <c r="BA104" s="416">
        <f t="shared" si="18"/>
        <v>168707.22433460079</v>
      </c>
    </row>
    <row r="105" spans="49:56">
      <c r="AW105" s="416" t="s">
        <v>183</v>
      </c>
      <c r="AX105" s="416">
        <v>7.6</v>
      </c>
      <c r="AY105" s="416">
        <f t="shared" si="17"/>
        <v>149.87199999999999</v>
      </c>
      <c r="BD105" s="416" t="s">
        <v>184</v>
      </c>
    </row>
    <row r="106" spans="49:56">
      <c r="AW106" s="416" t="s">
        <v>185</v>
      </c>
      <c r="AX106" s="416">
        <v>1.2</v>
      </c>
      <c r="AY106" s="416">
        <f t="shared" si="17"/>
        <v>23.664000000000001</v>
      </c>
      <c r="AZ106" s="416">
        <v>1000</v>
      </c>
      <c r="BA106" s="416">
        <f t="shared" si="18"/>
        <v>23664</v>
      </c>
    </row>
    <row r="107" spans="49:56">
      <c r="AW107" s="416" t="s">
        <v>186</v>
      </c>
      <c r="AX107" s="416">
        <v>1.8</v>
      </c>
      <c r="AY107" s="416">
        <f t="shared" si="17"/>
        <v>35.496000000000002</v>
      </c>
      <c r="AZ107" s="416">
        <f>1000/1.04</f>
        <v>961.53846153846155</v>
      </c>
      <c r="BA107" s="416">
        <f t="shared" si="18"/>
        <v>34130.769230769234</v>
      </c>
      <c r="BB107" s="416">
        <f>BA107*AY74</f>
        <v>46178930.769230776</v>
      </c>
    </row>
    <row r="108" spans="49:56">
      <c r="AW108" s="416" t="s">
        <v>187</v>
      </c>
      <c r="AX108" s="416">
        <v>12.7</v>
      </c>
      <c r="AY108" s="416">
        <f t="shared" si="17"/>
        <v>250.44399999999999</v>
      </c>
      <c r="AZ108" s="416">
        <v>1000</v>
      </c>
      <c r="BA108" s="416">
        <f t="shared" si="18"/>
        <v>250444</v>
      </c>
    </row>
    <row r="109" spans="49:56">
      <c r="AW109" s="416" t="s">
        <v>87</v>
      </c>
      <c r="AX109" s="416">
        <v>5.4</v>
      </c>
      <c r="AY109" s="416">
        <f t="shared" si="17"/>
        <v>106.48800000000001</v>
      </c>
      <c r="AZ109" s="416">
        <f>1000/0.93</f>
        <v>1075.2688172043011</v>
      </c>
      <c r="BA109" s="416">
        <f t="shared" si="18"/>
        <v>114503.22580645162</v>
      </c>
      <c r="BB109" s="416">
        <f>BA109*AY76</f>
        <v>157212929.03225806</v>
      </c>
    </row>
    <row r="110" spans="49:56">
      <c r="AY110" s="416">
        <v>1972</v>
      </c>
    </row>
  </sheetData>
  <mergeCells count="9">
    <mergeCell ref="AC76:AC77"/>
    <mergeCell ref="AE76:AE77"/>
    <mergeCell ref="B3:E3"/>
    <mergeCell ref="S3:U3"/>
    <mergeCell ref="S2:AA2"/>
    <mergeCell ref="Z3:AB3"/>
    <mergeCell ref="AC3:AM3"/>
    <mergeCell ref="F3:I3"/>
    <mergeCell ref="J3:R3"/>
  </mergeCells>
  <phoneticPr fontId="50" type="noConversion"/>
  <hyperlinks>
    <hyperlink ref="AF83" r:id="rId1" xr:uid="{00000000-0004-0000-0300-000000000000}"/>
    <hyperlink ref="AF76" r:id="rId2" xr:uid="{00000000-0004-0000-0300-000001000000}"/>
  </hyperlinks>
  <pageMargins left="0.7" right="0.7" top="0.75" bottom="0.75" header="0.3" footer="0.3"/>
  <pageSetup orientation="portrait" r:id="rId3"/>
  <drawing r:id="rId4"/>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E2D08-DC7F-409B-AA07-988D1455329B}">
  <sheetPr codeName="Hoja5"/>
  <dimension ref="A1:AV139"/>
  <sheetViews>
    <sheetView topLeftCell="A4" zoomScale="85" zoomScaleNormal="85" workbookViewId="0">
      <selection activeCell="B9" sqref="B9"/>
    </sheetView>
  </sheetViews>
  <sheetFormatPr baseColWidth="10" defaultColWidth="11.44140625" defaultRowHeight="14.4"/>
  <cols>
    <col min="1" max="1" width="11.33203125" customWidth="1"/>
    <col min="2" max="2" width="7.88671875" bestFit="1" customWidth="1"/>
    <col min="3" max="3" width="6.88671875" bestFit="1" customWidth="1"/>
    <col min="4" max="4" width="5.33203125" bestFit="1" customWidth="1"/>
    <col min="5" max="5" width="8" bestFit="1" customWidth="1"/>
    <col min="6" max="6" width="7" bestFit="1" customWidth="1"/>
    <col min="7" max="7" width="8.6640625" customWidth="1"/>
    <col min="8" max="8" width="7" bestFit="1" customWidth="1"/>
    <col min="9" max="9" width="9.33203125" customWidth="1"/>
    <col min="10" max="10" width="6.88671875" bestFit="1" customWidth="1"/>
    <col min="11" max="11" width="5.33203125" bestFit="1" customWidth="1"/>
    <col min="12" max="12" width="8.5546875" bestFit="1" customWidth="1"/>
    <col min="13" max="13" width="16.5546875" bestFit="1" customWidth="1"/>
    <col min="14" max="14" width="9" hidden="1" customWidth="1"/>
    <col min="15" max="15" width="7" bestFit="1" customWidth="1"/>
    <col min="16" max="16" width="5.33203125" bestFit="1" customWidth="1"/>
    <col min="17" max="17" width="7" bestFit="1" customWidth="1"/>
    <col min="18" max="24" width="8.6640625" hidden="1" customWidth="1"/>
    <col min="25" max="42" width="8.33203125" customWidth="1"/>
  </cols>
  <sheetData>
    <row r="1" spans="1:48" ht="1.2" customHeight="1"/>
    <row r="2" spans="1:48">
      <c r="A2" t="s">
        <v>144</v>
      </c>
      <c r="B2" t="s">
        <v>146</v>
      </c>
      <c r="C2" t="s">
        <v>188</v>
      </c>
      <c r="D2" t="s">
        <v>188</v>
      </c>
      <c r="E2" t="s">
        <v>188</v>
      </c>
      <c r="F2" t="s">
        <v>188</v>
      </c>
      <c r="G2" t="s">
        <v>188</v>
      </c>
      <c r="H2" t="s">
        <v>188</v>
      </c>
      <c r="I2" t="s">
        <v>188</v>
      </c>
      <c r="J2" t="s">
        <v>188</v>
      </c>
      <c r="K2" t="s">
        <v>188</v>
      </c>
      <c r="L2" t="s">
        <v>188</v>
      </c>
      <c r="M2" t="s">
        <v>188</v>
      </c>
      <c r="N2" t="s">
        <v>188</v>
      </c>
      <c r="O2" t="s">
        <v>188</v>
      </c>
      <c r="P2" t="s">
        <v>188</v>
      </c>
      <c r="Q2" t="s">
        <v>188</v>
      </c>
      <c r="R2" s="802" t="s">
        <v>189</v>
      </c>
      <c r="S2" s="802"/>
      <c r="T2" s="802"/>
      <c r="U2" s="802"/>
      <c r="V2" s="802"/>
      <c r="W2" s="802"/>
      <c r="X2" s="802"/>
      <c r="Y2" t="s">
        <v>190</v>
      </c>
      <c r="Z2" t="s">
        <v>191</v>
      </c>
      <c r="AA2" t="s">
        <v>191</v>
      </c>
      <c r="AB2" t="s">
        <v>191</v>
      </c>
      <c r="AC2" t="s">
        <v>191</v>
      </c>
      <c r="AD2" t="s">
        <v>191</v>
      </c>
      <c r="AE2" s="794" t="s">
        <v>192</v>
      </c>
      <c r="AF2" s="794"/>
      <c r="AG2" s="794"/>
      <c r="AH2" s="794"/>
      <c r="AI2" s="794"/>
      <c r="AJ2" s="794"/>
      <c r="AK2" s="794"/>
      <c r="AL2" s="794"/>
      <c r="AM2" s="794"/>
      <c r="AN2" s="794"/>
      <c r="AO2" s="794"/>
      <c r="AP2" s="794"/>
    </row>
    <row r="3" spans="1:48">
      <c r="A3" t="s">
        <v>193</v>
      </c>
      <c r="B3" s="433" t="s">
        <v>194</v>
      </c>
      <c r="C3" s="800" t="s">
        <v>195</v>
      </c>
      <c r="D3" s="800"/>
      <c r="E3" s="800"/>
      <c r="F3" s="801" t="s">
        <v>196</v>
      </c>
      <c r="G3" s="801"/>
      <c r="H3" s="801"/>
      <c r="I3" s="801"/>
      <c r="J3" s="799" t="s">
        <v>197</v>
      </c>
      <c r="K3" s="799"/>
      <c r="L3" s="799"/>
      <c r="M3" s="799"/>
      <c r="N3" s="799"/>
      <c r="O3" s="798" t="s">
        <v>198</v>
      </c>
      <c r="P3" s="798"/>
      <c r="Q3" s="798"/>
      <c r="R3" s="785" t="s">
        <v>199</v>
      </c>
      <c r="S3" s="785" t="s">
        <v>130</v>
      </c>
      <c r="T3" s="785" t="s">
        <v>134</v>
      </c>
      <c r="U3" s="785" t="s">
        <v>135</v>
      </c>
      <c r="V3" s="785" t="s">
        <v>200</v>
      </c>
      <c r="W3" s="785" t="s">
        <v>201</v>
      </c>
      <c r="X3" s="785" t="s">
        <v>202</v>
      </c>
      <c r="Y3" s="795" t="s">
        <v>203</v>
      </c>
      <c r="Z3" s="796"/>
      <c r="AA3" s="796"/>
      <c r="AB3" s="796"/>
      <c r="AC3" s="796"/>
      <c r="AD3" s="797"/>
      <c r="AE3" s="805" t="s">
        <v>204</v>
      </c>
      <c r="AF3" s="806"/>
      <c r="AG3" s="806"/>
      <c r="AH3" s="806"/>
      <c r="AI3" s="806"/>
      <c r="AJ3" s="807"/>
      <c r="AK3" s="805" t="s">
        <v>205</v>
      </c>
      <c r="AL3" s="806"/>
      <c r="AM3" s="806"/>
      <c r="AN3" s="806"/>
      <c r="AO3" s="806"/>
      <c r="AP3" s="807"/>
      <c r="AQ3" s="803" t="s">
        <v>206</v>
      </c>
      <c r="AR3" s="804"/>
      <c r="AS3" s="804"/>
      <c r="AT3" s="804"/>
      <c r="AU3" s="804"/>
      <c r="AV3" s="804"/>
    </row>
    <row r="4" spans="1:48">
      <c r="A4" t="s">
        <v>207</v>
      </c>
      <c r="C4" t="s">
        <v>208</v>
      </c>
      <c r="D4" t="s">
        <v>209</v>
      </c>
      <c r="E4" t="s">
        <v>210</v>
      </c>
      <c r="F4" t="s">
        <v>208</v>
      </c>
      <c r="G4" t="s">
        <v>209</v>
      </c>
      <c r="H4" t="s">
        <v>211</v>
      </c>
      <c r="I4" t="s">
        <v>210</v>
      </c>
      <c r="J4" s="415" t="s">
        <v>208</v>
      </c>
      <c r="K4" s="415" t="s">
        <v>209</v>
      </c>
      <c r="L4" s="415" t="s">
        <v>212</v>
      </c>
      <c r="M4" s="414" t="s">
        <v>213</v>
      </c>
      <c r="N4" t="s">
        <v>210</v>
      </c>
      <c r="O4" t="s">
        <v>208</v>
      </c>
      <c r="P4" t="s">
        <v>209</v>
      </c>
      <c r="Q4" t="s">
        <v>210</v>
      </c>
      <c r="R4" s="785"/>
      <c r="S4" s="785"/>
      <c r="T4" s="785"/>
      <c r="U4" s="785"/>
      <c r="V4" s="785"/>
      <c r="W4" s="785"/>
      <c r="X4" s="785"/>
      <c r="Y4" s="448" t="s">
        <v>214</v>
      </c>
      <c r="Z4" s="449" t="s">
        <v>215</v>
      </c>
      <c r="AA4" s="450" t="s">
        <v>166</v>
      </c>
      <c r="AB4" s="451" t="s">
        <v>216</v>
      </c>
      <c r="AC4" s="452" t="s">
        <v>164</v>
      </c>
      <c r="AD4" s="453" t="s">
        <v>217</v>
      </c>
      <c r="AE4" s="448" t="s">
        <v>214</v>
      </c>
      <c r="AF4" s="449" t="s">
        <v>215</v>
      </c>
      <c r="AG4" s="450" t="s">
        <v>166</v>
      </c>
      <c r="AH4" s="451" t="s">
        <v>216</v>
      </c>
      <c r="AI4" s="452" t="s">
        <v>164</v>
      </c>
      <c r="AJ4" s="453" t="s">
        <v>217</v>
      </c>
      <c r="AK4" s="448" t="s">
        <v>214</v>
      </c>
      <c r="AL4" s="449" t="s">
        <v>215</v>
      </c>
      <c r="AM4" s="450" t="s">
        <v>166</v>
      </c>
      <c r="AN4" s="451" t="s">
        <v>216</v>
      </c>
      <c r="AO4" s="452" t="s">
        <v>164</v>
      </c>
      <c r="AP4" s="453" t="s">
        <v>217</v>
      </c>
      <c r="AQ4" s="448" t="s">
        <v>214</v>
      </c>
      <c r="AR4" s="449" t="s">
        <v>215</v>
      </c>
      <c r="AS4" s="450" t="s">
        <v>166</v>
      </c>
      <c r="AT4" s="451" t="s">
        <v>216</v>
      </c>
      <c r="AU4" s="452" t="s">
        <v>164</v>
      </c>
      <c r="AV4" s="453" t="s">
        <v>217</v>
      </c>
    </row>
    <row r="5" spans="1:48">
      <c r="A5" s="432">
        <v>2014</v>
      </c>
      <c r="B5" s="437">
        <f>B6*B6/B7</f>
        <v>106021.45578547729</v>
      </c>
      <c r="C5" s="437">
        <f>E5*$C$27</f>
        <v>1658.4849821466078</v>
      </c>
      <c r="D5" s="437">
        <f t="shared" ref="D5:D12" si="0">E5*$D$27</f>
        <v>2248.5150178533922</v>
      </c>
      <c r="E5" s="436">
        <f>VolumesFuels!G61</f>
        <v>3907</v>
      </c>
      <c r="F5" s="437">
        <f t="shared" ref="F5:F12" si="1">I5*$F$27</f>
        <v>433487.83211001486</v>
      </c>
      <c r="G5" s="437">
        <f>I5*G$27</f>
        <v>180783.96535793942</v>
      </c>
      <c r="H5" s="437">
        <f t="shared" ref="H5:H12" si="2">I5*$H$27</f>
        <v>85242.093695370131</v>
      </c>
      <c r="I5" s="437">
        <f>I6*I6/I7</f>
        <v>699513.89116332424</v>
      </c>
      <c r="L5" s="437">
        <f>L6*L6/L7</f>
        <v>52751.544684958382</v>
      </c>
      <c r="M5" s="437">
        <f t="shared" ref="M5:M10" si="3">M6*L5/L6</f>
        <v>56159.511514578218</v>
      </c>
      <c r="N5" s="439">
        <f>L5+M5</f>
        <v>108911.0561995366</v>
      </c>
      <c r="O5" s="437">
        <f t="shared" ref="O5:O12" si="4">Q5*O$27</f>
        <v>121379.99872468793</v>
      </c>
      <c r="P5" s="437">
        <f t="shared" ref="P5:P12" si="5">Q5*P$27</f>
        <v>1392.7705340763675</v>
      </c>
      <c r="Q5" s="437">
        <f>Q6*Q6/Q7</f>
        <v>122772.7692587643</v>
      </c>
      <c r="R5" s="419"/>
      <c r="S5" s="419"/>
      <c r="T5" s="419"/>
      <c r="U5" s="419"/>
      <c r="V5" s="419"/>
      <c r="W5" s="419"/>
      <c r="X5" s="419"/>
      <c r="Y5" s="292">
        <f>Fuel_prices_info!L61</f>
        <v>820.20213850000005</v>
      </c>
      <c r="Z5" s="292">
        <f>Fuel_prices_info!L65</f>
        <v>877.49860795238874</v>
      </c>
      <c r="AA5" s="292">
        <f>Fuel_prices_info!L66</f>
        <v>1032.7079930337932</v>
      </c>
      <c r="AB5" s="292">
        <f>Fuel_prices_info!L63</f>
        <v>1015.2989063801895</v>
      </c>
      <c r="AC5" s="292">
        <f>Fuel_prices_info!L64</f>
        <v>845.57386364253443</v>
      </c>
      <c r="AD5" s="292">
        <f>Fuel_prices_info!L62</f>
        <v>1055.3151574036956</v>
      </c>
      <c r="AE5" s="416">
        <v>0</v>
      </c>
      <c r="AF5" s="416">
        <f>C5*Z5/1000</f>
        <v>1455.3182631435907</v>
      </c>
      <c r="AG5" s="416">
        <f>(F5+H5+G5/2)*AA5/1000</f>
        <v>629045.06362379179</v>
      </c>
      <c r="AH5" s="416">
        <f>0</f>
        <v>0</v>
      </c>
      <c r="AI5" s="416">
        <f>M5*AC5/1000</f>
        <v>47487.015131659304</v>
      </c>
      <c r="AJ5" s="416">
        <f>O5*AD5/1000</f>
        <v>128094.15245980442</v>
      </c>
      <c r="AK5" s="416">
        <f>B5*Y5/1000</f>
        <v>86959.024762131681</v>
      </c>
      <c r="AL5" s="416">
        <f>D5*Z5/1000</f>
        <v>1973.0687981263923</v>
      </c>
      <c r="AM5" s="416">
        <f>G5*AA5/1000/2</f>
        <v>93348.523018744207</v>
      </c>
      <c r="AN5" s="416">
        <f>L5*AB5/1000</f>
        <v>53558.585628503941</v>
      </c>
      <c r="AO5" s="416">
        <f>0</f>
        <v>0</v>
      </c>
      <c r="AP5" s="416">
        <f>P5*AD5/1000</f>
        <v>1469.811855396031</v>
      </c>
      <c r="AQ5" s="416">
        <f>AE5+AK5</f>
        <v>86959.024762131681</v>
      </c>
      <c r="AR5" s="416">
        <f>AF5+AL5</f>
        <v>3428.387061269983</v>
      </c>
      <c r="AS5" s="416">
        <f>AG5+AM5</f>
        <v>722393.58664253599</v>
      </c>
      <c r="AT5" s="416">
        <f>AH5+AN5</f>
        <v>53558.585628503941</v>
      </c>
      <c r="AU5" s="416">
        <f>AI5+AO5</f>
        <v>47487.015131659304</v>
      </c>
      <c r="AV5" s="416">
        <f>AJ5</f>
        <v>128094.15245980442</v>
      </c>
    </row>
    <row r="6" spans="1:48">
      <c r="A6" s="432">
        <v>2015</v>
      </c>
      <c r="B6" s="436">
        <f>VolumesFuels!B62</f>
        <v>120176.68712099698</v>
      </c>
      <c r="C6" s="437">
        <f t="shared" ref="C6:C12" si="6">E6*$C$27</f>
        <v>1744.8688300777146</v>
      </c>
      <c r="D6" s="437">
        <f t="shared" si="0"/>
        <v>2365.6311699222852</v>
      </c>
      <c r="E6" s="437">
        <f>(E5+E7)/2</f>
        <v>4110.5</v>
      </c>
      <c r="F6" s="437">
        <f t="shared" si="1"/>
        <v>526537.51483460341</v>
      </c>
      <c r="G6" s="437">
        <f t="shared" ref="G6:G12" si="7">I6*$G$27</f>
        <v>219589.87724794153</v>
      </c>
      <c r="H6" s="437">
        <f t="shared" si="2"/>
        <v>103539.60791745526</v>
      </c>
      <c r="I6" s="436">
        <f>VolumesFuels!R62/1000</f>
        <v>849667</v>
      </c>
      <c r="L6" s="436">
        <f>VolumesFuels!Y62/1000</f>
        <v>57739</v>
      </c>
      <c r="M6" s="437">
        <f t="shared" si="3"/>
        <v>61469.176963548285</v>
      </c>
      <c r="N6" s="439">
        <f t="shared" ref="N6:N12" si="8">L6+M6</f>
        <v>119208.17696354829</v>
      </c>
      <c r="O6" s="437">
        <f t="shared" si="4"/>
        <v>141823.64951267256</v>
      </c>
      <c r="P6" s="437">
        <f t="shared" si="5"/>
        <v>1627.3504873274367</v>
      </c>
      <c r="Q6" s="436">
        <f>VolumesFuels!Z62/1000</f>
        <v>143451</v>
      </c>
      <c r="R6" s="419"/>
      <c r="S6" s="419"/>
      <c r="T6" s="419"/>
      <c r="U6" s="419"/>
      <c r="V6" s="419"/>
      <c r="W6" s="419"/>
      <c r="X6" s="419"/>
      <c r="Y6" s="292">
        <f t="shared" ref="Y6:AD6" si="9">Y5</f>
        <v>820.20213850000005</v>
      </c>
      <c r="Z6" s="292">
        <f t="shared" si="9"/>
        <v>877.49860795238874</v>
      </c>
      <c r="AA6" s="292">
        <f t="shared" si="9"/>
        <v>1032.7079930337932</v>
      </c>
      <c r="AB6" s="292">
        <f t="shared" si="9"/>
        <v>1015.2989063801895</v>
      </c>
      <c r="AC6" s="292">
        <f t="shared" si="9"/>
        <v>845.57386364253443</v>
      </c>
      <c r="AD6" s="292">
        <f t="shared" si="9"/>
        <v>1055.3151574036956</v>
      </c>
      <c r="AE6" s="416">
        <v>0</v>
      </c>
      <c r="AF6" s="416">
        <f t="shared" ref="AF6:AF25" si="10">C6*Z6/1000</f>
        <v>1531.1199694527079</v>
      </c>
      <c r="AG6" s="416">
        <f t="shared" ref="AG6:AG25" si="11">(F6+H6)*AA6/1000</f>
        <v>650685.68089378544</v>
      </c>
      <c r="AH6" s="416">
        <f>0</f>
        <v>0</v>
      </c>
      <c r="AI6" s="416">
        <f t="shared" ref="AI6:AI25" si="12">M6*AC6/1000</f>
        <v>51976.729459994196</v>
      </c>
      <c r="AJ6" s="416">
        <f t="shared" ref="AJ6:AJ25" si="13">O6*AD6/1000</f>
        <v>149668.6470090326</v>
      </c>
      <c r="AK6" s="416">
        <f t="shared" ref="AK6:AK25" si="14">B6*Y6/1000</f>
        <v>98569.175774487143</v>
      </c>
      <c r="AL6" s="416">
        <f t="shared" ref="AL6:AL25" si="15">D6*Z6/1000</f>
        <v>2075.8380585355862</v>
      </c>
      <c r="AM6" s="416">
        <f t="shared" ref="AM6:AM25" si="16">G6*AA6/1000</f>
        <v>226772.22142325868</v>
      </c>
      <c r="AN6" s="416">
        <f t="shared" ref="AN6:AN25" si="17">L6*AB6/1000</f>
        <v>58622.343555485764</v>
      </c>
      <c r="AO6" s="416">
        <f>0</f>
        <v>0</v>
      </c>
      <c r="AP6" s="416">
        <f t="shared" ref="AP6:AP25" si="18">P6*AD6/1000</f>
        <v>1717.3676356849344</v>
      </c>
      <c r="AQ6" s="416">
        <f t="shared" ref="AQ6:AQ25" si="19">AE6+AK6</f>
        <v>98569.175774487143</v>
      </c>
      <c r="AR6" s="416">
        <f t="shared" ref="AR6:AR25" si="20">AF6+AL6</f>
        <v>3606.9580279882939</v>
      </c>
      <c r="AS6" s="416">
        <f t="shared" ref="AS6:AS25" si="21">AG6+AM6</f>
        <v>877457.90231704409</v>
      </c>
      <c r="AT6" s="416">
        <f t="shared" ref="AT6:AT25" si="22">AH6+AN6</f>
        <v>58622.343555485764</v>
      </c>
      <c r="AU6" s="416">
        <f t="shared" ref="AU6:AU25" si="23">AI6+AO6</f>
        <v>51976.729459994196</v>
      </c>
      <c r="AV6" s="416">
        <f t="shared" ref="AV6:AV25" si="24">AJ6</f>
        <v>149668.6470090326</v>
      </c>
    </row>
    <row r="7" spans="1:48">
      <c r="A7" s="432">
        <v>2016</v>
      </c>
      <c r="B7" s="436">
        <f>VolumesFuels!B63</f>
        <v>136221.82435035298</v>
      </c>
      <c r="C7" s="437">
        <f t="shared" si="6"/>
        <v>1831.2526780088215</v>
      </c>
      <c r="D7" s="437">
        <f t="shared" si="0"/>
        <v>2482.7473219911781</v>
      </c>
      <c r="E7" s="436">
        <f>VolumesFuels!G63</f>
        <v>4314</v>
      </c>
      <c r="F7" s="437">
        <f t="shared" si="1"/>
        <v>639560.6381353722</v>
      </c>
      <c r="G7" s="437">
        <f t="shared" si="7"/>
        <v>266725.61415662291</v>
      </c>
      <c r="H7" s="437">
        <f t="shared" si="2"/>
        <v>125764.74770800515</v>
      </c>
      <c r="I7" s="436">
        <f>VolumesFuels!R63/1000</f>
        <v>1032051</v>
      </c>
      <c r="L7" s="436">
        <f>VolumesFuels!Y63/1000</f>
        <v>63198</v>
      </c>
      <c r="M7" s="437">
        <f t="shared" si="3"/>
        <v>67280.850824266512</v>
      </c>
      <c r="N7" s="439">
        <f t="shared" si="8"/>
        <v>130478.85082426651</v>
      </c>
      <c r="O7" s="437">
        <f t="shared" si="4"/>
        <v>165710.55999691933</v>
      </c>
      <c r="P7" s="437">
        <f t="shared" si="5"/>
        <v>1901.4400030806778</v>
      </c>
      <c r="Q7" s="436">
        <f>VolumesFuels!Z63/1000</f>
        <v>167612</v>
      </c>
      <c r="R7" s="419"/>
      <c r="S7" s="419"/>
      <c r="T7" s="419"/>
      <c r="U7" s="419"/>
      <c r="V7" s="419"/>
      <c r="W7" s="419"/>
      <c r="X7" s="419"/>
      <c r="Y7" s="292">
        <f t="shared" ref="Y7:Y25" si="25">Y6</f>
        <v>820.20213850000005</v>
      </c>
      <c r="Z7" s="292">
        <f t="shared" ref="Z7:Z25" si="26">Z6</f>
        <v>877.49860795238874</v>
      </c>
      <c r="AA7" s="292">
        <f t="shared" ref="AA7:AA25" si="27">AA6</f>
        <v>1032.7079930337932</v>
      </c>
      <c r="AB7" s="292">
        <f t="shared" ref="AB7:AB25" si="28">AB6</f>
        <v>1015.2989063801895</v>
      </c>
      <c r="AC7" s="292">
        <f t="shared" ref="AC7:AC25" si="29">AC6</f>
        <v>845.57386364253443</v>
      </c>
      <c r="AD7" s="292">
        <f t="shared" ref="AD7:AD25" si="30">AD6</f>
        <v>1055.3151574036956</v>
      </c>
      <c r="AE7" s="416">
        <v>0</v>
      </c>
      <c r="AF7" s="416">
        <f t="shared" si="10"/>
        <v>1606.9216757618246</v>
      </c>
      <c r="AG7" s="416">
        <f t="shared" si="11"/>
        <v>790357.64323212754</v>
      </c>
      <c r="AH7" s="416">
        <f>0</f>
        <v>0</v>
      </c>
      <c r="AI7" s="416">
        <f t="shared" si="12"/>
        <v>56890.92898063203</v>
      </c>
      <c r="AJ7" s="416">
        <f t="shared" si="13"/>
        <v>174876.86570660348</v>
      </c>
      <c r="AK7" s="416">
        <f t="shared" si="14"/>
        <v>111729.43164253089</v>
      </c>
      <c r="AL7" s="416">
        <f t="shared" si="15"/>
        <v>2178.6073189447798</v>
      </c>
      <c r="AM7" s="416">
        <f t="shared" si="16"/>
        <v>275449.67368639197</v>
      </c>
      <c r="AN7" s="416">
        <f t="shared" si="17"/>
        <v>64164.86028541522</v>
      </c>
      <c r="AO7" s="416">
        <f>0</f>
        <v>0</v>
      </c>
      <c r="AP7" s="416">
        <f t="shared" si="18"/>
        <v>2006.618456144769</v>
      </c>
      <c r="AQ7" s="416">
        <f t="shared" si="19"/>
        <v>111729.43164253089</v>
      </c>
      <c r="AR7" s="416">
        <f t="shared" si="20"/>
        <v>3785.5289947066044</v>
      </c>
      <c r="AS7" s="416">
        <f t="shared" si="21"/>
        <v>1065807.3169185196</v>
      </c>
      <c r="AT7" s="416">
        <f t="shared" si="22"/>
        <v>64164.86028541522</v>
      </c>
      <c r="AU7" s="416">
        <f t="shared" si="23"/>
        <v>56890.92898063203</v>
      </c>
      <c r="AV7" s="416">
        <f t="shared" si="24"/>
        <v>174876.86570660348</v>
      </c>
    </row>
    <row r="8" spans="1:48">
      <c r="A8" s="432">
        <v>2017</v>
      </c>
      <c r="B8" s="436">
        <f>VolumesFuels!B64</f>
        <v>149925.10341154327</v>
      </c>
      <c r="C8" s="437">
        <f t="shared" si="6"/>
        <v>1798.354652383953</v>
      </c>
      <c r="D8" s="437">
        <f t="shared" si="0"/>
        <v>2438.1453476160468</v>
      </c>
      <c r="E8" s="436">
        <f>VolumesFuels!G64</f>
        <v>4236.5</v>
      </c>
      <c r="F8" s="437">
        <f t="shared" si="1"/>
        <v>695360.16600717627</v>
      </c>
      <c r="G8" s="437">
        <f t="shared" si="7"/>
        <v>289996.5324305307</v>
      </c>
      <c r="H8" s="437">
        <f t="shared" si="2"/>
        <v>136737.30156229326</v>
      </c>
      <c r="I8" s="436">
        <f>VolumesFuels!R64/1000</f>
        <v>1122094</v>
      </c>
      <c r="L8" s="436">
        <f>VolumesFuels!Y64/1000</f>
        <v>71046</v>
      </c>
      <c r="M8" s="437">
        <f t="shared" si="3"/>
        <v>75635.863914377638</v>
      </c>
      <c r="N8" s="439">
        <f t="shared" si="8"/>
        <v>146681.86391437764</v>
      </c>
      <c r="O8" s="437">
        <f t="shared" si="4"/>
        <v>195909.04850076095</v>
      </c>
      <c r="P8" s="437">
        <f t="shared" si="5"/>
        <v>2247.9514992390632</v>
      </c>
      <c r="Q8" s="436">
        <f>VolumesFuels!Z64/1000</f>
        <v>198157</v>
      </c>
      <c r="R8" s="419"/>
      <c r="S8" s="419"/>
      <c r="T8" s="419"/>
      <c r="U8" s="419"/>
      <c r="V8" s="419"/>
      <c r="W8" s="419"/>
      <c r="X8" s="419"/>
      <c r="Y8" s="292">
        <f t="shared" si="25"/>
        <v>820.20213850000005</v>
      </c>
      <c r="Z8" s="292">
        <f t="shared" si="26"/>
        <v>877.49860795238874</v>
      </c>
      <c r="AA8" s="292">
        <f t="shared" si="27"/>
        <v>1032.7079930337932</v>
      </c>
      <c r="AB8" s="292">
        <f t="shared" si="28"/>
        <v>1015.2989063801895</v>
      </c>
      <c r="AC8" s="292">
        <f t="shared" si="29"/>
        <v>845.57386364253443</v>
      </c>
      <c r="AD8" s="292">
        <f t="shared" si="30"/>
        <v>1055.3151574036956</v>
      </c>
      <c r="AE8" s="416">
        <v>0</v>
      </c>
      <c r="AF8" s="416">
        <f t="shared" si="10"/>
        <v>1578.0537040716208</v>
      </c>
      <c r="AG8" s="416">
        <f>(F8+H8)*AA8/1000</f>
        <v>859313.70574216871</v>
      </c>
      <c r="AH8" s="416">
        <f>0</f>
        <v>0</v>
      </c>
      <c r="AI8" s="416">
        <f t="shared" si="12"/>
        <v>63955.709680021246</v>
      </c>
      <c r="AJ8" s="416">
        <f t="shared" si="13"/>
        <v>206745.7883553888</v>
      </c>
      <c r="AK8" s="416">
        <f t="shared" si="14"/>
        <v>122968.89043298144</v>
      </c>
      <c r="AL8" s="416">
        <f t="shared" si="15"/>
        <v>2139.469148518674</v>
      </c>
      <c r="AM8" s="416">
        <f t="shared" si="16"/>
        <v>299481.73699309264</v>
      </c>
      <c r="AN8" s="416">
        <f t="shared" si="17"/>
        <v>72132.926102686935</v>
      </c>
      <c r="AO8" s="416">
        <f>0</f>
        <v>0</v>
      </c>
      <c r="AP8" s="416">
        <f t="shared" si="18"/>
        <v>2372.2972902553456</v>
      </c>
      <c r="AQ8" s="416">
        <f t="shared" si="19"/>
        <v>122968.89043298144</v>
      </c>
      <c r="AR8" s="416">
        <f t="shared" si="20"/>
        <v>3717.5228525902949</v>
      </c>
      <c r="AS8" s="416">
        <f t="shared" si="21"/>
        <v>1158795.4427352613</v>
      </c>
      <c r="AT8" s="416">
        <f t="shared" si="22"/>
        <v>72132.926102686935</v>
      </c>
      <c r="AU8" s="416">
        <f t="shared" si="23"/>
        <v>63955.709680021246</v>
      </c>
      <c r="AV8" s="416">
        <f t="shared" si="24"/>
        <v>206745.7883553888</v>
      </c>
    </row>
    <row r="9" spans="1:48">
      <c r="A9" s="432">
        <v>2018</v>
      </c>
      <c r="B9" s="436">
        <f>VolumesFuels!B65</f>
        <v>164000</v>
      </c>
      <c r="C9" s="437">
        <f t="shared" si="6"/>
        <v>1842.8837219071625</v>
      </c>
      <c r="D9" s="437">
        <f t="shared" si="0"/>
        <v>2498.5162780928376</v>
      </c>
      <c r="E9" s="437">
        <f>E8*0.8+E25*0.2</f>
        <v>4341.4000000000005</v>
      </c>
      <c r="F9" s="437">
        <f t="shared" si="1"/>
        <v>747752.59055902017</v>
      </c>
      <c r="G9" s="437">
        <f t="shared" si="7"/>
        <v>311846.53504558722</v>
      </c>
      <c r="H9" s="437">
        <f t="shared" si="2"/>
        <v>147039.87439539289</v>
      </c>
      <c r="I9" s="436">
        <f>VolumesFuels!R65/1000</f>
        <v>1206639</v>
      </c>
      <c r="L9" s="436">
        <f>VolumesFuels!Y65/1000</f>
        <v>68536</v>
      </c>
      <c r="M9" s="437">
        <f t="shared" si="3"/>
        <v>72963.707587137702</v>
      </c>
      <c r="N9" s="439">
        <f t="shared" si="8"/>
        <v>141499.7075871377</v>
      </c>
      <c r="O9" s="437">
        <f t="shared" si="4"/>
        <v>234172.99024455476</v>
      </c>
      <c r="P9" s="437">
        <f t="shared" si="5"/>
        <v>2687.0097554452504</v>
      </c>
      <c r="Q9" s="436">
        <f>VolumesFuels!Z65/1000</f>
        <v>236860</v>
      </c>
      <c r="R9" s="419"/>
      <c r="S9" s="419"/>
      <c r="T9" s="419"/>
      <c r="U9" s="419"/>
      <c r="V9" s="419"/>
      <c r="W9" s="419"/>
      <c r="X9" s="419"/>
      <c r="Y9" s="292">
        <f t="shared" si="25"/>
        <v>820.20213850000005</v>
      </c>
      <c r="Z9" s="292">
        <f t="shared" si="26"/>
        <v>877.49860795238874</v>
      </c>
      <c r="AA9" s="292">
        <f t="shared" si="27"/>
        <v>1032.7079930337932</v>
      </c>
      <c r="AB9" s="292">
        <f t="shared" si="28"/>
        <v>1015.2989063801895</v>
      </c>
      <c r="AC9" s="292">
        <f t="shared" si="29"/>
        <v>845.57386364253443</v>
      </c>
      <c r="AD9" s="292">
        <f t="shared" si="30"/>
        <v>1055.3151574036956</v>
      </c>
      <c r="AE9" s="416">
        <v>0</v>
      </c>
      <c r="AF9" s="416">
        <f t="shared" si="10"/>
        <v>1617.1279005916522</v>
      </c>
      <c r="AG9" s="416">
        <f t="shared" si="11"/>
        <v>924059.33066483261</v>
      </c>
      <c r="AH9" s="416">
        <f>0</f>
        <v>0</v>
      </c>
      <c r="AI9" s="416">
        <f t="shared" si="12"/>
        <v>61696.204130140133</v>
      </c>
      <c r="AJ9" s="416">
        <f t="shared" si="13"/>
        <v>247126.30605962637</v>
      </c>
      <c r="AK9" s="416">
        <f t="shared" si="14"/>
        <v>134513.15071400002</v>
      </c>
      <c r="AL9" s="416">
        <f t="shared" si="15"/>
        <v>2192.4445559728488</v>
      </c>
      <c r="AM9" s="416">
        <f t="shared" si="16"/>
        <v>322046.40934147086</v>
      </c>
      <c r="AN9" s="416">
        <f t="shared" si="17"/>
        <v>69584.525847672674</v>
      </c>
      <c r="AO9" s="416">
        <f>0</f>
        <v>0</v>
      </c>
      <c r="AP9" s="416">
        <f t="shared" si="18"/>
        <v>2835.6421230129704</v>
      </c>
      <c r="AQ9" s="416">
        <f t="shared" si="19"/>
        <v>134513.15071400002</v>
      </c>
      <c r="AR9" s="416">
        <f t="shared" si="20"/>
        <v>3809.572456564501</v>
      </c>
      <c r="AS9" s="416">
        <f t="shared" si="21"/>
        <v>1246105.7400063034</v>
      </c>
      <c r="AT9" s="416">
        <f t="shared" si="22"/>
        <v>69584.525847672674</v>
      </c>
      <c r="AU9" s="416">
        <f t="shared" si="23"/>
        <v>61696.204130140133</v>
      </c>
      <c r="AV9" s="416">
        <f t="shared" si="24"/>
        <v>247126.30605962637</v>
      </c>
    </row>
    <row r="10" spans="1:48">
      <c r="A10" s="432">
        <v>2019</v>
      </c>
      <c r="B10" s="436">
        <f>VolumesFuels!B66</f>
        <v>173123.25472853123</v>
      </c>
      <c r="C10" s="437">
        <f t="shared" si="6"/>
        <v>1887.4127914303717</v>
      </c>
      <c r="D10" s="437">
        <f t="shared" si="0"/>
        <v>2558.887208569628</v>
      </c>
      <c r="E10" s="437">
        <f>E8*0.6+E25*0.4</f>
        <v>4446.3</v>
      </c>
      <c r="F10" s="437">
        <f t="shared" si="1"/>
        <v>813752.35863572522</v>
      </c>
      <c r="G10" s="437">
        <f t="shared" si="7"/>
        <v>339371.41325850767</v>
      </c>
      <c r="H10" s="437">
        <f t="shared" si="2"/>
        <v>160018.22810576734</v>
      </c>
      <c r="I10" s="436">
        <f>VolumesFuels!R66/1000</f>
        <v>1313142</v>
      </c>
      <c r="L10" s="436">
        <f>VolumesFuels!Y66/1000</f>
        <v>78668</v>
      </c>
      <c r="M10" s="437">
        <f t="shared" si="3"/>
        <v>83750.276474625731</v>
      </c>
      <c r="N10" s="439">
        <f t="shared" si="8"/>
        <v>162418.27647462575</v>
      </c>
      <c r="O10" s="437">
        <f t="shared" si="4"/>
        <v>271195.18042308994</v>
      </c>
      <c r="P10" s="437">
        <f t="shared" si="5"/>
        <v>3111.8195769100748</v>
      </c>
      <c r="Q10" s="436">
        <f>VolumesFuels!Z66/1000</f>
        <v>274307</v>
      </c>
      <c r="R10" s="419"/>
      <c r="S10" s="419"/>
      <c r="T10" s="419"/>
      <c r="U10" s="419"/>
      <c r="V10" s="419"/>
      <c r="W10" s="419"/>
      <c r="X10" s="419"/>
      <c r="Y10" s="292">
        <f t="shared" si="25"/>
        <v>820.20213850000005</v>
      </c>
      <c r="Z10" s="292">
        <f t="shared" si="26"/>
        <v>877.49860795238874</v>
      </c>
      <c r="AA10" s="292">
        <f t="shared" si="27"/>
        <v>1032.7079930337932</v>
      </c>
      <c r="AB10" s="292">
        <f t="shared" si="28"/>
        <v>1015.2989063801895</v>
      </c>
      <c r="AC10" s="292">
        <f t="shared" si="29"/>
        <v>845.57386364253443</v>
      </c>
      <c r="AD10" s="292">
        <f t="shared" si="30"/>
        <v>1055.3151574036956</v>
      </c>
      <c r="AE10" s="416">
        <v>0</v>
      </c>
      <c r="AF10" s="416">
        <f t="shared" si="10"/>
        <v>1656.2020971116833</v>
      </c>
      <c r="AG10" s="416">
        <f t="shared" si="11"/>
        <v>1005620.6683091461</v>
      </c>
      <c r="AH10" s="416">
        <f>0</f>
        <v>0</v>
      </c>
      <c r="AI10" s="416">
        <f t="shared" si="12"/>
        <v>70817.044859779737</v>
      </c>
      <c r="AJ10" s="416">
        <f t="shared" si="13"/>
        <v>286196.38451531681</v>
      </c>
      <c r="AK10" s="416">
        <f t="shared" si="14"/>
        <v>141996.06375242156</v>
      </c>
      <c r="AL10" s="416">
        <f t="shared" si="15"/>
        <v>2245.4199634270226</v>
      </c>
      <c r="AM10" s="416">
        <f t="shared" si="16"/>
        <v>350471.57107923547</v>
      </c>
      <c r="AN10" s="416">
        <f t="shared" si="17"/>
        <v>79871.53436711675</v>
      </c>
      <c r="AO10" s="416">
        <f>0</f>
        <v>0</v>
      </c>
      <c r="AP10" s="416">
        <f t="shared" si="18"/>
        <v>3283.950366618757</v>
      </c>
      <c r="AQ10" s="416">
        <f t="shared" si="19"/>
        <v>141996.06375242156</v>
      </c>
      <c r="AR10" s="416">
        <f t="shared" si="20"/>
        <v>3901.6220605387061</v>
      </c>
      <c r="AS10" s="416">
        <f t="shared" si="21"/>
        <v>1356092.2393883816</v>
      </c>
      <c r="AT10" s="416">
        <f t="shared" si="22"/>
        <v>79871.53436711675</v>
      </c>
      <c r="AU10" s="416">
        <f t="shared" si="23"/>
        <v>70817.044859779737</v>
      </c>
      <c r="AV10" s="416">
        <f t="shared" si="24"/>
        <v>286196.38451531681</v>
      </c>
    </row>
    <row r="11" spans="1:48">
      <c r="A11" s="432">
        <v>2020</v>
      </c>
      <c r="B11" s="436">
        <f>VolumesFuels!B67</f>
        <v>180268.3076993475</v>
      </c>
      <c r="C11" s="437">
        <f t="shared" si="6"/>
        <v>1931.941860953581</v>
      </c>
      <c r="D11" s="437">
        <f t="shared" si="0"/>
        <v>2619.2581390464184</v>
      </c>
      <c r="E11" s="437">
        <f>E8*0.4+E25*0.6</f>
        <v>4551.2</v>
      </c>
      <c r="F11" s="437">
        <f t="shared" si="1"/>
        <v>785352.80771773006</v>
      </c>
      <c r="G11" s="437">
        <f t="shared" si="7"/>
        <v>327527.52042223339</v>
      </c>
      <c r="H11" s="437">
        <f t="shared" si="2"/>
        <v>154433.67186003679</v>
      </c>
      <c r="I11" s="436">
        <f>VolumesFuels!R67/1000</f>
        <v>1267314</v>
      </c>
      <c r="L11" s="436">
        <f>VolumesFuels!Y67/1000</f>
        <v>79930</v>
      </c>
      <c r="M11" s="437">
        <f>M12*L11/L12</f>
        <v>85093.806867046762</v>
      </c>
      <c r="N11" s="439">
        <f t="shared" si="8"/>
        <v>165023.80686704675</v>
      </c>
      <c r="O11" s="437">
        <f t="shared" si="4"/>
        <v>271970.28649567178</v>
      </c>
      <c r="P11" s="437">
        <f t="shared" si="5"/>
        <v>3120.7135043282506</v>
      </c>
      <c r="Q11" s="436">
        <f>VolumesFuels!Z67/1000</f>
        <v>275091</v>
      </c>
      <c r="R11" s="419"/>
      <c r="S11" s="419"/>
      <c r="T11" s="419"/>
      <c r="U11" s="419"/>
      <c r="V11" s="419"/>
      <c r="W11" s="419"/>
      <c r="X11" s="419"/>
      <c r="Y11" s="292">
        <f t="shared" si="25"/>
        <v>820.20213850000005</v>
      </c>
      <c r="Z11" s="292">
        <f t="shared" si="26"/>
        <v>877.49860795238874</v>
      </c>
      <c r="AA11" s="292">
        <f t="shared" si="27"/>
        <v>1032.7079930337932</v>
      </c>
      <c r="AB11" s="292">
        <f t="shared" si="28"/>
        <v>1015.2989063801895</v>
      </c>
      <c r="AC11" s="292">
        <f t="shared" si="29"/>
        <v>845.57386364253443</v>
      </c>
      <c r="AD11" s="292">
        <f t="shared" si="30"/>
        <v>1055.3151574036956</v>
      </c>
      <c r="AE11" s="416">
        <v>0</v>
      </c>
      <c r="AF11" s="416">
        <f t="shared" si="10"/>
        <v>1695.2762936317147</v>
      </c>
      <c r="AG11" s="416">
        <f t="shared" si="11"/>
        <v>970525.00920504949</v>
      </c>
      <c r="AH11" s="416">
        <f>0</f>
        <v>0</v>
      </c>
      <c r="AI11" s="416">
        <f t="shared" si="12"/>
        <v>71953.099044620365</v>
      </c>
      <c r="AJ11" s="416">
        <f t="shared" si="13"/>
        <v>287014.36570230807</v>
      </c>
      <c r="AK11" s="416">
        <f t="shared" si="14"/>
        <v>147856.45147878083</v>
      </c>
      <c r="AL11" s="416">
        <f t="shared" si="15"/>
        <v>2298.3953708811964</v>
      </c>
      <c r="AM11" s="416">
        <f t="shared" si="16"/>
        <v>338240.28827857936</v>
      </c>
      <c r="AN11" s="416">
        <f t="shared" si="17"/>
        <v>81152.841586968541</v>
      </c>
      <c r="AO11" s="416">
        <f>0</f>
        <v>0</v>
      </c>
      <c r="AP11" s="416">
        <f t="shared" si="18"/>
        <v>3293.3362630320062</v>
      </c>
      <c r="AQ11" s="416">
        <f t="shared" si="19"/>
        <v>147856.45147878083</v>
      </c>
      <c r="AR11" s="416">
        <f t="shared" si="20"/>
        <v>3993.6716645129109</v>
      </c>
      <c r="AS11" s="416">
        <f t="shared" si="21"/>
        <v>1308765.2974836288</v>
      </c>
      <c r="AT11" s="416">
        <f t="shared" si="22"/>
        <v>81152.841586968541</v>
      </c>
      <c r="AU11" s="416">
        <f t="shared" si="23"/>
        <v>71953.099044620365</v>
      </c>
      <c r="AV11" s="416">
        <f t="shared" si="24"/>
        <v>287014.36570230807</v>
      </c>
    </row>
    <row r="12" spans="1:48">
      <c r="A12" s="432">
        <v>2021</v>
      </c>
      <c r="B12" s="436">
        <f>VolumesFuels!B68</f>
        <v>198199.41498811572</v>
      </c>
      <c r="C12" s="437">
        <f t="shared" si="6"/>
        <v>1976.4709304767907</v>
      </c>
      <c r="D12" s="437">
        <f t="shared" si="0"/>
        <v>2679.6290695232096</v>
      </c>
      <c r="E12" s="437">
        <f>E8*0.2+E25*0.8</f>
        <v>4656.1000000000004</v>
      </c>
      <c r="F12" s="437">
        <f t="shared" si="1"/>
        <v>814216.5129439556</v>
      </c>
      <c r="G12" s="437">
        <f t="shared" si="7"/>
        <v>339564.9865266924</v>
      </c>
      <c r="H12" s="437">
        <f t="shared" si="2"/>
        <v>160109.50052935231</v>
      </c>
      <c r="I12" s="436">
        <f>VolumesFuels!R68/1000</f>
        <v>1313891</v>
      </c>
      <c r="L12" s="458">
        <f>VolumesFuels!Y68/1000</f>
        <v>81627</v>
      </c>
      <c r="M12" s="459">
        <f>M25*L12/L25</f>
        <v>86900.440049248413</v>
      </c>
      <c r="N12" s="460">
        <f t="shared" si="8"/>
        <v>168527.4400492484</v>
      </c>
      <c r="O12" s="459">
        <f t="shared" si="4"/>
        <v>340539.49155942816</v>
      </c>
      <c r="P12" s="459">
        <f t="shared" si="5"/>
        <v>3907.508440571858</v>
      </c>
      <c r="Q12" s="458">
        <f>VolumesFuels!Z68/1000</f>
        <v>344447</v>
      </c>
      <c r="R12" s="461"/>
      <c r="S12" s="461"/>
      <c r="T12" s="461"/>
      <c r="U12" s="461"/>
      <c r="V12" s="461"/>
      <c r="W12" s="461"/>
      <c r="X12" s="461"/>
      <c r="Y12" s="462">
        <f t="shared" si="25"/>
        <v>820.20213850000005</v>
      </c>
      <c r="Z12" s="462">
        <f t="shared" si="26"/>
        <v>877.49860795238874</v>
      </c>
      <c r="AA12" s="462">
        <f t="shared" si="27"/>
        <v>1032.7079930337932</v>
      </c>
      <c r="AB12" s="462">
        <f t="shared" si="28"/>
        <v>1015.2989063801895</v>
      </c>
      <c r="AC12" s="462">
        <f t="shared" si="29"/>
        <v>845.57386364253443</v>
      </c>
      <c r="AD12" s="462">
        <f t="shared" si="30"/>
        <v>1055.3151574036956</v>
      </c>
      <c r="AE12" s="463">
        <v>0</v>
      </c>
      <c r="AF12" s="416">
        <f t="shared" si="10"/>
        <v>1734.3504901517465</v>
      </c>
      <c r="AG12" s="463">
        <f t="shared" si="11"/>
        <v>1006194.2619346364</v>
      </c>
      <c r="AH12" s="416">
        <f>0</f>
        <v>0</v>
      </c>
      <c r="AI12" s="416">
        <f t="shared" si="12"/>
        <v>73480.740844679414</v>
      </c>
      <c r="AJ12" s="463">
        <f t="shared" si="13"/>
        <v>359376.48713721242</v>
      </c>
      <c r="AK12" s="463">
        <f t="shared" si="14"/>
        <v>162563.58402270149</v>
      </c>
      <c r="AL12" s="416">
        <f t="shared" si="15"/>
        <v>2351.3707783353711</v>
      </c>
      <c r="AM12" s="416">
        <f t="shared" si="16"/>
        <v>350671.4757405275</v>
      </c>
      <c r="AN12" s="416">
        <f t="shared" si="17"/>
        <v>82875.80383109572</v>
      </c>
      <c r="AO12" s="416">
        <f>0</f>
        <v>0</v>
      </c>
      <c r="AP12" s="463">
        <f t="shared" si="18"/>
        <v>4123.6528850183595</v>
      </c>
      <c r="AQ12" s="463">
        <f t="shared" si="19"/>
        <v>162563.58402270149</v>
      </c>
      <c r="AR12" s="463">
        <f t="shared" si="20"/>
        <v>4085.7212684871174</v>
      </c>
      <c r="AS12" s="463">
        <f t="shared" si="21"/>
        <v>1356865.7376751639</v>
      </c>
      <c r="AT12" s="463">
        <f t="shared" si="22"/>
        <v>82875.80383109572</v>
      </c>
      <c r="AU12" s="463">
        <f t="shared" si="23"/>
        <v>73480.740844679414</v>
      </c>
      <c r="AV12" s="463">
        <f t="shared" si="24"/>
        <v>359376.48713721242</v>
      </c>
    </row>
    <row r="13" spans="1:48">
      <c r="A13" s="435">
        <v>44562</v>
      </c>
      <c r="C13">
        <v>146</v>
      </c>
      <c r="D13">
        <v>384</v>
      </c>
      <c r="E13">
        <v>530</v>
      </c>
      <c r="F13" s="431">
        <v>69667.833333333314</v>
      </c>
      <c r="G13" s="431">
        <v>30801.621999999999</v>
      </c>
      <c r="H13" s="431">
        <v>14433</v>
      </c>
      <c r="I13" s="431">
        <f>F13+G13+H13</f>
        <v>114902.45533333332</v>
      </c>
      <c r="J13">
        <v>0</v>
      </c>
      <c r="K13">
        <v>0</v>
      </c>
      <c r="M13" s="431">
        <v>9175.6666666666661</v>
      </c>
      <c r="N13" s="440">
        <f>J13+K13+M13</f>
        <v>9175.6666666666661</v>
      </c>
      <c r="O13" s="431">
        <v>30119.583333333332</v>
      </c>
      <c r="P13" s="431">
        <v>197</v>
      </c>
      <c r="Q13" s="431">
        <f>O13+P13</f>
        <v>30316.583333333332</v>
      </c>
      <c r="R13" s="431">
        <v>3028.5073333333335</v>
      </c>
      <c r="S13" s="431">
        <v>4651</v>
      </c>
      <c r="T13" s="431">
        <v>22652.348000000002</v>
      </c>
      <c r="U13" s="431">
        <v>7958</v>
      </c>
      <c r="V13" s="431">
        <v>2120</v>
      </c>
      <c r="W13" s="431">
        <v>229</v>
      </c>
      <c r="X13" s="431">
        <v>18992</v>
      </c>
      <c r="Y13" s="292">
        <f t="shared" si="25"/>
        <v>820.20213850000005</v>
      </c>
      <c r="Z13" s="292">
        <f t="shared" si="26"/>
        <v>877.49860795238874</v>
      </c>
      <c r="AA13" s="292">
        <f t="shared" si="27"/>
        <v>1032.7079930337932</v>
      </c>
      <c r="AB13" s="292">
        <f t="shared" si="28"/>
        <v>1015.2989063801895</v>
      </c>
      <c r="AC13" s="292">
        <f t="shared" si="29"/>
        <v>845.57386364253443</v>
      </c>
      <c r="AD13" s="292">
        <f t="shared" si="30"/>
        <v>1055.3151574036956</v>
      </c>
      <c r="AE13" s="416">
        <v>0</v>
      </c>
      <c r="AF13" s="416">
        <f t="shared" si="10"/>
        <v>128.11479676104875</v>
      </c>
      <c r="AG13" s="416">
        <f t="shared" si="11"/>
        <v>86851.602804136186</v>
      </c>
      <c r="AH13" s="416">
        <f>0</f>
        <v>0</v>
      </c>
      <c r="AI13" s="416">
        <f t="shared" si="12"/>
        <v>7758.7039148293479</v>
      </c>
      <c r="AJ13" s="416">
        <f t="shared" si="13"/>
        <v>31785.65282635039</v>
      </c>
      <c r="AK13" s="416">
        <f t="shared" si="14"/>
        <v>0</v>
      </c>
      <c r="AL13" s="416">
        <f t="shared" si="15"/>
        <v>336.95946545371726</v>
      </c>
      <c r="AM13" s="416">
        <f t="shared" si="16"/>
        <v>31809.081237805531</v>
      </c>
      <c r="AN13" s="416">
        <f t="shared" si="17"/>
        <v>0</v>
      </c>
      <c r="AO13" s="416">
        <f>0</f>
        <v>0</v>
      </c>
      <c r="AP13" s="416">
        <f t="shared" si="18"/>
        <v>207.89708600852805</v>
      </c>
      <c r="AQ13" s="416">
        <f t="shared" si="19"/>
        <v>0</v>
      </c>
      <c r="AR13" s="416">
        <f t="shared" si="20"/>
        <v>465.07426221476601</v>
      </c>
      <c r="AS13" s="416">
        <f t="shared" si="21"/>
        <v>118660.68404194171</v>
      </c>
      <c r="AT13" s="416">
        <f t="shared" si="22"/>
        <v>0</v>
      </c>
      <c r="AU13" s="416">
        <f t="shared" si="23"/>
        <v>7758.7039148293479</v>
      </c>
      <c r="AV13" s="416">
        <f t="shared" si="24"/>
        <v>31785.65282635039</v>
      </c>
    </row>
    <row r="14" spans="1:48">
      <c r="A14" s="435">
        <v>44593</v>
      </c>
      <c r="C14">
        <v>159</v>
      </c>
      <c r="D14">
        <v>243</v>
      </c>
      <c r="E14">
        <v>402</v>
      </c>
      <c r="F14" s="431">
        <v>67659.833333333328</v>
      </c>
      <c r="G14" s="431">
        <v>28225.377</v>
      </c>
      <c r="H14" s="431">
        <v>13163</v>
      </c>
      <c r="I14" s="431">
        <f t="shared" ref="I14:I24" si="31">F14+G14+H14</f>
        <v>109048.21033333332</v>
      </c>
      <c r="J14">
        <v>0</v>
      </c>
      <c r="K14">
        <v>0</v>
      </c>
      <c r="M14" s="431">
        <v>7941.166666666667</v>
      </c>
      <c r="N14" s="440">
        <f t="shared" ref="N14:N24" si="32">J14+K14+M14</f>
        <v>7941.166666666667</v>
      </c>
      <c r="O14" s="431">
        <v>28347.583333333332</v>
      </c>
      <c r="P14" s="431">
        <v>170</v>
      </c>
      <c r="Q14" s="431">
        <f t="shared" ref="Q14:Q24" si="33">O14+P14</f>
        <v>28517.583333333332</v>
      </c>
      <c r="R14" s="431">
        <v>4421.5020000000004</v>
      </c>
      <c r="S14" s="431">
        <v>4293.83</v>
      </c>
      <c r="T14" s="431">
        <v>19046.417000000001</v>
      </c>
      <c r="U14" s="431">
        <v>6762</v>
      </c>
      <c r="V14" s="431">
        <v>3014</v>
      </c>
      <c r="W14" s="431">
        <v>618</v>
      </c>
      <c r="X14" s="431">
        <v>16234</v>
      </c>
      <c r="Y14" s="292">
        <f t="shared" si="25"/>
        <v>820.20213850000005</v>
      </c>
      <c r="Z14" s="292">
        <f t="shared" si="26"/>
        <v>877.49860795238874</v>
      </c>
      <c r="AA14" s="292">
        <f t="shared" si="27"/>
        <v>1032.7079930337932</v>
      </c>
      <c r="AB14" s="292">
        <f t="shared" si="28"/>
        <v>1015.2989063801895</v>
      </c>
      <c r="AC14" s="292">
        <f t="shared" si="29"/>
        <v>845.57386364253443</v>
      </c>
      <c r="AD14" s="292">
        <f t="shared" si="30"/>
        <v>1055.3151574036956</v>
      </c>
      <c r="AE14" s="416">
        <v>0</v>
      </c>
      <c r="AF14" s="416">
        <f t="shared" si="10"/>
        <v>139.52227866442982</v>
      </c>
      <c r="AG14" s="416">
        <f t="shared" si="11"/>
        <v>83466.386002971427</v>
      </c>
      <c r="AH14" s="416">
        <f>0</f>
        <v>0</v>
      </c>
      <c r="AI14" s="416">
        <f t="shared" si="12"/>
        <v>6714.8429801626398</v>
      </c>
      <c r="AJ14" s="416">
        <f t="shared" si="13"/>
        <v>29915.634367431045</v>
      </c>
      <c r="AK14" s="416">
        <f t="shared" si="14"/>
        <v>0</v>
      </c>
      <c r="AL14" s="416">
        <f t="shared" si="15"/>
        <v>213.23216173243046</v>
      </c>
      <c r="AM14" s="416">
        <f t="shared" si="16"/>
        <v>29148.572434292186</v>
      </c>
      <c r="AN14" s="416">
        <f t="shared" si="17"/>
        <v>0</v>
      </c>
      <c r="AO14" s="416">
        <f>0</f>
        <v>0</v>
      </c>
      <c r="AP14" s="416">
        <f t="shared" si="18"/>
        <v>179.40357675862825</v>
      </c>
      <c r="AQ14" s="416">
        <f t="shared" si="19"/>
        <v>0</v>
      </c>
      <c r="AR14" s="416">
        <f t="shared" si="20"/>
        <v>352.75444039686028</v>
      </c>
      <c r="AS14" s="416">
        <f t="shared" si="21"/>
        <v>112614.95843726362</v>
      </c>
      <c r="AT14" s="416">
        <f t="shared" si="22"/>
        <v>0</v>
      </c>
      <c r="AU14" s="416">
        <f t="shared" si="23"/>
        <v>6714.8429801626398</v>
      </c>
      <c r="AV14" s="416">
        <f t="shared" si="24"/>
        <v>29915.634367431045</v>
      </c>
    </row>
    <row r="15" spans="1:48">
      <c r="A15" s="435">
        <v>44621</v>
      </c>
      <c r="C15">
        <v>165</v>
      </c>
      <c r="D15">
        <v>322</v>
      </c>
      <c r="E15">
        <v>487</v>
      </c>
      <c r="F15" s="431">
        <v>73282.833333333328</v>
      </c>
      <c r="G15" s="431">
        <v>33900.044000000002</v>
      </c>
      <c r="H15" s="431">
        <v>13966</v>
      </c>
      <c r="I15" s="431">
        <f t="shared" si="31"/>
        <v>121148.87733333334</v>
      </c>
      <c r="J15">
        <v>0</v>
      </c>
      <c r="K15">
        <v>0</v>
      </c>
      <c r="M15" s="431">
        <v>7222.666666666667</v>
      </c>
      <c r="N15" s="440">
        <f t="shared" si="32"/>
        <v>7222.666666666667</v>
      </c>
      <c r="O15" s="431">
        <v>32487.083333333332</v>
      </c>
      <c r="P15" s="431">
        <v>280</v>
      </c>
      <c r="Q15" s="431">
        <f t="shared" si="33"/>
        <v>32767.083333333332</v>
      </c>
      <c r="R15" s="431">
        <v>3721.1019999999999</v>
      </c>
      <c r="S15" s="431">
        <v>5138.1200000000008</v>
      </c>
      <c r="T15" s="431">
        <v>14911.088</v>
      </c>
      <c r="U15" s="431">
        <v>7931</v>
      </c>
      <c r="V15" s="431">
        <v>3734</v>
      </c>
      <c r="W15" s="431">
        <v>656</v>
      </c>
      <c r="X15" s="431">
        <v>18314</v>
      </c>
      <c r="Y15" s="292">
        <f t="shared" si="25"/>
        <v>820.20213850000005</v>
      </c>
      <c r="Z15" s="292">
        <f t="shared" si="26"/>
        <v>877.49860795238874</v>
      </c>
      <c r="AA15" s="292">
        <f t="shared" si="27"/>
        <v>1032.7079930337932</v>
      </c>
      <c r="AB15" s="292">
        <f t="shared" si="28"/>
        <v>1015.2989063801895</v>
      </c>
      <c r="AC15" s="292">
        <f t="shared" si="29"/>
        <v>845.57386364253443</v>
      </c>
      <c r="AD15" s="292">
        <f t="shared" si="30"/>
        <v>1055.3151574036956</v>
      </c>
      <c r="AE15" s="416">
        <v>0</v>
      </c>
      <c r="AF15" s="416">
        <f t="shared" si="10"/>
        <v>144.78727031214413</v>
      </c>
      <c r="AG15" s="416">
        <f t="shared" si="11"/>
        <v>90102.567566206577</v>
      </c>
      <c r="AH15" s="416">
        <f>0</f>
        <v>0</v>
      </c>
      <c r="AI15" s="416">
        <f t="shared" si="12"/>
        <v>6107.2981591354783</v>
      </c>
      <c r="AJ15" s="416">
        <f t="shared" si="13"/>
        <v>34284.111461503642</v>
      </c>
      <c r="AK15" s="416">
        <f t="shared" si="14"/>
        <v>0</v>
      </c>
      <c r="AL15" s="416">
        <f t="shared" si="15"/>
        <v>282.55455176066914</v>
      </c>
      <c r="AM15" s="416">
        <f t="shared" si="16"/>
        <v>35008.846402997282</v>
      </c>
      <c r="AN15" s="416">
        <f t="shared" si="17"/>
        <v>0</v>
      </c>
      <c r="AO15" s="416">
        <f>0</f>
        <v>0</v>
      </c>
      <c r="AP15" s="416">
        <f t="shared" si="18"/>
        <v>295.48824407303476</v>
      </c>
      <c r="AQ15" s="416">
        <f t="shared" si="19"/>
        <v>0</v>
      </c>
      <c r="AR15" s="416">
        <f t="shared" si="20"/>
        <v>427.34182207281327</v>
      </c>
      <c r="AS15" s="416">
        <f t="shared" si="21"/>
        <v>125111.41396920386</v>
      </c>
      <c r="AT15" s="416">
        <f t="shared" si="22"/>
        <v>0</v>
      </c>
      <c r="AU15" s="416">
        <f t="shared" si="23"/>
        <v>6107.2981591354783</v>
      </c>
      <c r="AV15" s="416">
        <f t="shared" si="24"/>
        <v>34284.111461503642</v>
      </c>
    </row>
    <row r="16" spans="1:48">
      <c r="A16" s="435">
        <v>44652</v>
      </c>
      <c r="C16">
        <v>117</v>
      </c>
      <c r="D16">
        <v>61</v>
      </c>
      <c r="E16">
        <v>178</v>
      </c>
      <c r="F16" s="431">
        <v>76148.833333333328</v>
      </c>
      <c r="G16" s="431">
        <v>31884.722999999998</v>
      </c>
      <c r="H16" s="431">
        <v>14063</v>
      </c>
      <c r="I16" s="431">
        <f t="shared" si="31"/>
        <v>122096.55633333333</v>
      </c>
      <c r="J16">
        <v>0</v>
      </c>
      <c r="K16">
        <v>0</v>
      </c>
      <c r="M16" s="431">
        <v>9288.1666666666661</v>
      </c>
      <c r="N16" s="440">
        <f t="shared" si="32"/>
        <v>9288.1666666666661</v>
      </c>
      <c r="O16" s="431">
        <v>30689.583333333332</v>
      </c>
      <c r="P16" s="431">
        <v>335</v>
      </c>
      <c r="Q16" s="431">
        <f t="shared" si="33"/>
        <v>31024.583333333332</v>
      </c>
      <c r="R16" s="431">
        <v>2313.6</v>
      </c>
      <c r="S16" s="431">
        <v>5177.920000000001</v>
      </c>
      <c r="T16" s="431">
        <v>14911.088</v>
      </c>
      <c r="U16" s="431">
        <v>6665</v>
      </c>
      <c r="V16" s="431">
        <v>2561</v>
      </c>
      <c r="W16" s="431">
        <v>274</v>
      </c>
      <c r="X16" s="431">
        <v>13110</v>
      </c>
      <c r="Y16" s="292">
        <f t="shared" si="25"/>
        <v>820.20213850000005</v>
      </c>
      <c r="Z16" s="292">
        <f t="shared" si="26"/>
        <v>877.49860795238874</v>
      </c>
      <c r="AA16" s="292">
        <f t="shared" si="27"/>
        <v>1032.7079930337932</v>
      </c>
      <c r="AB16" s="292">
        <f t="shared" si="28"/>
        <v>1015.2989063801895</v>
      </c>
      <c r="AC16" s="292">
        <f t="shared" si="29"/>
        <v>845.57386364253443</v>
      </c>
      <c r="AD16" s="292">
        <f t="shared" si="30"/>
        <v>1055.3151574036956</v>
      </c>
      <c r="AE16" s="416">
        <v>0</v>
      </c>
      <c r="AF16" s="416">
        <f t="shared" si="10"/>
        <v>102.66733713042949</v>
      </c>
      <c r="AG16" s="416">
        <f t="shared" si="11"/>
        <v>93162.4813495657</v>
      </c>
      <c r="AH16" s="416">
        <f>0</f>
        <v>0</v>
      </c>
      <c r="AI16" s="416">
        <f t="shared" si="12"/>
        <v>7853.830974489133</v>
      </c>
      <c r="AJ16" s="416">
        <f t="shared" si="13"/>
        <v>32387.182466070499</v>
      </c>
      <c r="AK16" s="416">
        <f t="shared" si="14"/>
        <v>0</v>
      </c>
      <c r="AL16" s="416">
        <f t="shared" si="15"/>
        <v>53.527415085095718</v>
      </c>
      <c r="AM16" s="416">
        <f t="shared" si="16"/>
        <v>32927.60829776842</v>
      </c>
      <c r="AN16" s="416">
        <f t="shared" si="17"/>
        <v>0</v>
      </c>
      <c r="AO16" s="416">
        <f>0</f>
        <v>0</v>
      </c>
      <c r="AP16" s="416">
        <f t="shared" si="18"/>
        <v>353.53057773023801</v>
      </c>
      <c r="AQ16" s="416">
        <f t="shared" si="19"/>
        <v>0</v>
      </c>
      <c r="AR16" s="416">
        <f t="shared" si="20"/>
        <v>156.1947522155252</v>
      </c>
      <c r="AS16" s="416">
        <f t="shared" si="21"/>
        <v>126090.08964733413</v>
      </c>
      <c r="AT16" s="416">
        <f t="shared" si="22"/>
        <v>0</v>
      </c>
      <c r="AU16" s="416">
        <f t="shared" si="23"/>
        <v>7853.830974489133</v>
      </c>
      <c r="AV16" s="416">
        <f t="shared" si="24"/>
        <v>32387.182466070499</v>
      </c>
    </row>
    <row r="17" spans="1:48">
      <c r="A17" s="435">
        <v>44682</v>
      </c>
      <c r="C17">
        <v>200</v>
      </c>
      <c r="D17">
        <v>330</v>
      </c>
      <c r="E17">
        <v>530</v>
      </c>
      <c r="F17" s="431">
        <v>77001.833333333328</v>
      </c>
      <c r="G17" s="431">
        <v>30262.255000000001</v>
      </c>
      <c r="H17" s="431">
        <v>14574.638999999999</v>
      </c>
      <c r="I17" s="431">
        <f t="shared" si="31"/>
        <v>121838.72733333333</v>
      </c>
      <c r="J17">
        <v>0</v>
      </c>
      <c r="K17">
        <v>0</v>
      </c>
      <c r="M17" s="431">
        <v>8989.6666666666661</v>
      </c>
      <c r="N17" s="440">
        <f t="shared" si="32"/>
        <v>8989.6666666666661</v>
      </c>
      <c r="O17" s="431">
        <v>34748.083333333343</v>
      </c>
      <c r="P17" s="431">
        <v>601</v>
      </c>
      <c r="Q17" s="431">
        <f t="shared" si="33"/>
        <v>35349.083333333343</v>
      </c>
      <c r="R17" s="431">
        <v>2987.067</v>
      </c>
      <c r="S17" s="431">
        <v>4469.0000000000009</v>
      </c>
      <c r="T17" s="431">
        <v>25249.223999999998</v>
      </c>
      <c r="U17" s="431">
        <v>6885</v>
      </c>
      <c r="V17" s="431">
        <v>4333</v>
      </c>
      <c r="W17" s="431">
        <v>670</v>
      </c>
      <c r="X17" s="431">
        <v>12215</v>
      </c>
      <c r="Y17" s="292">
        <f t="shared" si="25"/>
        <v>820.20213850000005</v>
      </c>
      <c r="Z17" s="292">
        <f t="shared" si="26"/>
        <v>877.49860795238874</v>
      </c>
      <c r="AA17" s="292">
        <f t="shared" si="27"/>
        <v>1032.7079930337932</v>
      </c>
      <c r="AB17" s="292">
        <f t="shared" si="28"/>
        <v>1015.2989063801895</v>
      </c>
      <c r="AC17" s="292">
        <f t="shared" si="29"/>
        <v>845.57386364253443</v>
      </c>
      <c r="AD17" s="292">
        <f t="shared" si="30"/>
        <v>1055.3151574036956</v>
      </c>
      <c r="AE17" s="416">
        <v>0</v>
      </c>
      <c r="AF17" s="416">
        <f t="shared" si="10"/>
        <v>175.49972159047775</v>
      </c>
      <c r="AG17" s="416">
        <f t="shared" si="11"/>
        <v>94571.754952471339</v>
      </c>
      <c r="AH17" s="416">
        <f>0</f>
        <v>0</v>
      </c>
      <c r="AI17" s="416">
        <f t="shared" si="12"/>
        <v>7601.4271761918362</v>
      </c>
      <c r="AJ17" s="416">
        <f t="shared" si="13"/>
        <v>36670.179032393411</v>
      </c>
      <c r="AK17" s="416">
        <f t="shared" si="14"/>
        <v>0</v>
      </c>
      <c r="AL17" s="416">
        <f t="shared" si="15"/>
        <v>289.57454062428826</v>
      </c>
      <c r="AM17" s="416">
        <f t="shared" si="16"/>
        <v>31252.072625726876</v>
      </c>
      <c r="AN17" s="416">
        <f t="shared" si="17"/>
        <v>0</v>
      </c>
      <c r="AO17" s="416">
        <f>0</f>
        <v>0</v>
      </c>
      <c r="AP17" s="416">
        <f t="shared" si="18"/>
        <v>634.24440959962112</v>
      </c>
      <c r="AQ17" s="416">
        <f t="shared" si="19"/>
        <v>0</v>
      </c>
      <c r="AR17" s="416">
        <f t="shared" si="20"/>
        <v>465.07426221476601</v>
      </c>
      <c r="AS17" s="416">
        <f t="shared" si="21"/>
        <v>125823.82757819822</v>
      </c>
      <c r="AT17" s="416">
        <f t="shared" si="22"/>
        <v>0</v>
      </c>
      <c r="AU17" s="416">
        <f t="shared" si="23"/>
        <v>7601.4271761918362</v>
      </c>
      <c r="AV17" s="416">
        <f t="shared" si="24"/>
        <v>36670.179032393411</v>
      </c>
    </row>
    <row r="18" spans="1:48">
      <c r="A18" s="435">
        <v>44713</v>
      </c>
      <c r="C18">
        <v>131</v>
      </c>
      <c r="D18">
        <v>232</v>
      </c>
      <c r="E18">
        <v>363</v>
      </c>
      <c r="F18" s="431">
        <v>80947.333333333328</v>
      </c>
      <c r="G18" s="431">
        <v>36940.014999999999</v>
      </c>
      <c r="H18" s="431">
        <v>12214</v>
      </c>
      <c r="I18" s="431">
        <f t="shared" si="31"/>
        <v>130101.34833333333</v>
      </c>
      <c r="J18">
        <v>0</v>
      </c>
      <c r="K18">
        <v>0</v>
      </c>
      <c r="M18" s="431">
        <v>9177.6666666666661</v>
      </c>
      <c r="N18" s="440">
        <f t="shared" si="32"/>
        <v>9177.6666666666661</v>
      </c>
      <c r="O18" s="431">
        <v>34780.583333333343</v>
      </c>
      <c r="P18" s="431">
        <v>390</v>
      </c>
      <c r="Q18" s="431">
        <f t="shared" si="33"/>
        <v>35170.583333333343</v>
      </c>
      <c r="R18" s="431">
        <v>4515.57</v>
      </c>
      <c r="S18" s="431">
        <v>4291.6400000000003</v>
      </c>
      <c r="T18" s="431">
        <v>30270.427</v>
      </c>
      <c r="U18" s="431">
        <v>5431</v>
      </c>
      <c r="V18" s="431">
        <v>3121</v>
      </c>
      <c r="W18" s="431">
        <v>472</v>
      </c>
      <c r="X18" s="431">
        <v>15849</v>
      </c>
      <c r="Y18" s="292">
        <f t="shared" si="25"/>
        <v>820.20213850000005</v>
      </c>
      <c r="Z18" s="292">
        <f t="shared" si="26"/>
        <v>877.49860795238874</v>
      </c>
      <c r="AA18" s="292">
        <f t="shared" si="27"/>
        <v>1032.7079930337932</v>
      </c>
      <c r="AB18" s="292">
        <f t="shared" si="28"/>
        <v>1015.2989063801895</v>
      </c>
      <c r="AC18" s="292">
        <f t="shared" si="29"/>
        <v>845.57386364253443</v>
      </c>
      <c r="AD18" s="292">
        <f t="shared" si="30"/>
        <v>1055.3151574036956</v>
      </c>
      <c r="AE18" s="416">
        <v>0</v>
      </c>
      <c r="AF18" s="416">
        <f t="shared" si="10"/>
        <v>114.95231764176293</v>
      </c>
      <c r="AG18" s="416">
        <f t="shared" si="11"/>
        <v>96208.453575018881</v>
      </c>
      <c r="AH18" s="416">
        <f>0</f>
        <v>0</v>
      </c>
      <c r="AI18" s="416">
        <f t="shared" si="12"/>
        <v>7760.3950625566331</v>
      </c>
      <c r="AJ18" s="416">
        <f t="shared" si="13"/>
        <v>36704.476775009025</v>
      </c>
      <c r="AK18" s="416">
        <f t="shared" si="14"/>
        <v>0</v>
      </c>
      <c r="AL18" s="416">
        <f t="shared" si="15"/>
        <v>203.57967704495417</v>
      </c>
      <c r="AM18" s="416">
        <f t="shared" si="16"/>
        <v>38148.248753288215</v>
      </c>
      <c r="AN18" s="416">
        <f t="shared" si="17"/>
        <v>0</v>
      </c>
      <c r="AO18" s="416">
        <f>0</f>
        <v>0</v>
      </c>
      <c r="AP18" s="416">
        <f t="shared" si="18"/>
        <v>411.57291138744125</v>
      </c>
      <c r="AQ18" s="416">
        <f t="shared" si="19"/>
        <v>0</v>
      </c>
      <c r="AR18" s="416">
        <f t="shared" si="20"/>
        <v>318.5319946867171</v>
      </c>
      <c r="AS18" s="416">
        <f t="shared" si="21"/>
        <v>134356.70232830709</v>
      </c>
      <c r="AT18" s="416">
        <f t="shared" si="22"/>
        <v>0</v>
      </c>
      <c r="AU18" s="416">
        <f t="shared" si="23"/>
        <v>7760.3950625566331</v>
      </c>
      <c r="AV18" s="416">
        <f t="shared" si="24"/>
        <v>36704.476775009025</v>
      </c>
    </row>
    <row r="19" spans="1:48">
      <c r="A19" s="435">
        <v>44743</v>
      </c>
      <c r="C19">
        <v>140</v>
      </c>
      <c r="D19">
        <v>237</v>
      </c>
      <c r="E19">
        <v>377</v>
      </c>
      <c r="F19" s="431">
        <v>78895.833333333328</v>
      </c>
      <c r="G19" s="431">
        <v>33741.108</v>
      </c>
      <c r="H19" s="431">
        <v>16740.222000000002</v>
      </c>
      <c r="I19" s="431">
        <f t="shared" si="31"/>
        <v>129377.16333333333</v>
      </c>
      <c r="J19">
        <v>0</v>
      </c>
      <c r="K19">
        <v>0</v>
      </c>
      <c r="M19" s="431">
        <v>5013.666666666667</v>
      </c>
      <c r="N19" s="440">
        <f t="shared" si="32"/>
        <v>5013.666666666667</v>
      </c>
      <c r="O19" s="431">
        <v>35569.083333333343</v>
      </c>
      <c r="P19" s="431">
        <v>396</v>
      </c>
      <c r="Q19" s="431">
        <f t="shared" si="33"/>
        <v>35965.083333333343</v>
      </c>
      <c r="R19" s="431">
        <v>3094</v>
      </c>
      <c r="S19" s="431">
        <v>4203.8</v>
      </c>
      <c r="T19" s="431">
        <v>30866</v>
      </c>
      <c r="U19" s="431">
        <v>4593</v>
      </c>
      <c r="V19" s="431">
        <v>804</v>
      </c>
      <c r="W19" s="431">
        <v>694</v>
      </c>
      <c r="X19" s="431">
        <v>18760</v>
      </c>
      <c r="Y19" s="292">
        <f t="shared" si="25"/>
        <v>820.20213850000005</v>
      </c>
      <c r="Z19" s="292">
        <f t="shared" si="26"/>
        <v>877.49860795238874</v>
      </c>
      <c r="AA19" s="292">
        <f t="shared" si="27"/>
        <v>1032.7079930337932</v>
      </c>
      <c r="AB19" s="292">
        <f t="shared" si="28"/>
        <v>1015.2989063801895</v>
      </c>
      <c r="AC19" s="292">
        <f t="shared" si="29"/>
        <v>845.57386364253443</v>
      </c>
      <c r="AD19" s="292">
        <f t="shared" si="30"/>
        <v>1055.3151574036956</v>
      </c>
      <c r="AE19" s="416">
        <v>0</v>
      </c>
      <c r="AF19" s="416">
        <f t="shared" si="10"/>
        <v>122.84980511333443</v>
      </c>
      <c r="AG19" s="416">
        <f t="shared" si="11"/>
        <v>98764.118764955449</v>
      </c>
      <c r="AH19" s="416">
        <f>0</f>
        <v>0</v>
      </c>
      <c r="AI19" s="416">
        <f t="shared" si="12"/>
        <v>4239.4254943491205</v>
      </c>
      <c r="AJ19" s="416">
        <f t="shared" si="13"/>
        <v>37536.592776621837</v>
      </c>
      <c r="AK19" s="416">
        <f t="shared" si="14"/>
        <v>0</v>
      </c>
      <c r="AL19" s="416">
        <f t="shared" si="15"/>
        <v>207.96717008471614</v>
      </c>
      <c r="AM19" s="416">
        <f t="shared" si="16"/>
        <v>34844.711925416465</v>
      </c>
      <c r="AN19" s="416">
        <f t="shared" si="17"/>
        <v>0</v>
      </c>
      <c r="AO19" s="416">
        <f>0</f>
        <v>0</v>
      </c>
      <c r="AP19" s="416">
        <f t="shared" si="18"/>
        <v>417.90480233186344</v>
      </c>
      <c r="AQ19" s="416">
        <f t="shared" si="19"/>
        <v>0</v>
      </c>
      <c r="AR19" s="416">
        <f t="shared" si="20"/>
        <v>330.81697519805056</v>
      </c>
      <c r="AS19" s="416">
        <f t="shared" si="21"/>
        <v>133608.83069037192</v>
      </c>
      <c r="AT19" s="416">
        <f t="shared" si="22"/>
        <v>0</v>
      </c>
      <c r="AU19" s="416">
        <f t="shared" si="23"/>
        <v>4239.4254943491205</v>
      </c>
      <c r="AV19" s="416">
        <f t="shared" si="24"/>
        <v>37536.592776621837</v>
      </c>
    </row>
    <row r="20" spans="1:48">
      <c r="A20" s="435">
        <v>44774</v>
      </c>
      <c r="C20">
        <v>167</v>
      </c>
      <c r="D20">
        <v>174</v>
      </c>
      <c r="E20">
        <v>341</v>
      </c>
      <c r="F20" s="431">
        <v>79172.333333333328</v>
      </c>
      <c r="G20" s="431">
        <v>32414.108</v>
      </c>
      <c r="H20" s="431">
        <v>17118</v>
      </c>
      <c r="I20" s="431">
        <f t="shared" si="31"/>
        <v>128704.44133333332</v>
      </c>
      <c r="J20">
        <v>0</v>
      </c>
      <c r="K20">
        <v>0</v>
      </c>
      <c r="M20" s="431">
        <v>5289.666666666667</v>
      </c>
      <c r="N20" s="440">
        <f t="shared" si="32"/>
        <v>5289.666666666667</v>
      </c>
      <c r="O20" s="431">
        <v>34610.583333333343</v>
      </c>
      <c r="P20" s="431">
        <v>328</v>
      </c>
      <c r="Q20" s="431">
        <f t="shared" si="33"/>
        <v>34938.583333333343</v>
      </c>
      <c r="R20" s="431">
        <v>2351</v>
      </c>
      <c r="S20" s="431">
        <v>4273.3999999999996</v>
      </c>
      <c r="T20" s="431">
        <v>28993</v>
      </c>
      <c r="U20" s="431">
        <v>7110</v>
      </c>
      <c r="V20" s="431">
        <v>881</v>
      </c>
      <c r="W20" s="431">
        <v>2439</v>
      </c>
      <c r="X20" s="431">
        <v>15144</v>
      </c>
      <c r="Y20" s="292">
        <f t="shared" si="25"/>
        <v>820.20213850000005</v>
      </c>
      <c r="Z20" s="292">
        <f t="shared" si="26"/>
        <v>877.49860795238874</v>
      </c>
      <c r="AA20" s="292">
        <f t="shared" si="27"/>
        <v>1032.7079930337932</v>
      </c>
      <c r="AB20" s="292">
        <f t="shared" si="28"/>
        <v>1015.2989063801895</v>
      </c>
      <c r="AC20" s="292">
        <f t="shared" si="29"/>
        <v>845.57386364253443</v>
      </c>
      <c r="AD20" s="292">
        <f t="shared" si="30"/>
        <v>1055.3151574036956</v>
      </c>
      <c r="AE20" s="416">
        <v>0</v>
      </c>
      <c r="AF20" s="416">
        <f t="shared" si="10"/>
        <v>146.54226752804891</v>
      </c>
      <c r="AG20" s="416">
        <f t="shared" si="11"/>
        <v>99439.796885221615</v>
      </c>
      <c r="AH20" s="416">
        <f>0</f>
        <v>0</v>
      </c>
      <c r="AI20" s="416">
        <f t="shared" si="12"/>
        <v>4472.8038807144603</v>
      </c>
      <c r="AJ20" s="416">
        <f t="shared" si="13"/>
        <v>36525.0731982504</v>
      </c>
      <c r="AK20" s="416">
        <f t="shared" si="14"/>
        <v>0</v>
      </c>
      <c r="AL20" s="416">
        <f t="shared" si="15"/>
        <v>152.68475778371564</v>
      </c>
      <c r="AM20" s="416">
        <f t="shared" si="16"/>
        <v>33474.308418660621</v>
      </c>
      <c r="AN20" s="416">
        <f t="shared" si="17"/>
        <v>0</v>
      </c>
      <c r="AO20" s="416">
        <f>0</f>
        <v>0</v>
      </c>
      <c r="AP20" s="416">
        <f t="shared" si="18"/>
        <v>346.14337162841218</v>
      </c>
      <c r="AQ20" s="416">
        <f t="shared" si="19"/>
        <v>0</v>
      </c>
      <c r="AR20" s="416">
        <f t="shared" si="20"/>
        <v>299.22702531176458</v>
      </c>
      <c r="AS20" s="416">
        <f t="shared" si="21"/>
        <v>132914.10530388224</v>
      </c>
      <c r="AT20" s="416">
        <f t="shared" si="22"/>
        <v>0</v>
      </c>
      <c r="AU20" s="416">
        <f t="shared" si="23"/>
        <v>4472.8038807144603</v>
      </c>
      <c r="AV20" s="416">
        <f t="shared" si="24"/>
        <v>36525.0731982504</v>
      </c>
    </row>
    <row r="21" spans="1:48">
      <c r="A21" s="435">
        <v>44805</v>
      </c>
      <c r="C21">
        <v>141</v>
      </c>
      <c r="D21">
        <v>108</v>
      </c>
      <c r="E21">
        <v>249</v>
      </c>
      <c r="F21" s="431">
        <v>78145.883333333331</v>
      </c>
      <c r="G21" s="431">
        <v>27406.198</v>
      </c>
      <c r="H21" s="431">
        <v>14218</v>
      </c>
      <c r="I21" s="431">
        <f t="shared" si="31"/>
        <v>119770.08133333334</v>
      </c>
      <c r="J21">
        <v>0</v>
      </c>
      <c r="K21">
        <v>0</v>
      </c>
      <c r="M21" s="431">
        <v>5891.0966666666673</v>
      </c>
      <c r="N21" s="440">
        <f t="shared" si="32"/>
        <v>5891.0966666666673</v>
      </c>
      <c r="O21" s="431">
        <v>33419.986333333334</v>
      </c>
      <c r="P21" s="431">
        <v>404</v>
      </c>
      <c r="Q21" s="431">
        <f t="shared" si="33"/>
        <v>33823.986333333334</v>
      </c>
      <c r="R21" s="431">
        <v>3443.0079999999998</v>
      </c>
      <c r="S21" s="431">
        <v>4038.3</v>
      </c>
      <c r="T21" s="431">
        <v>26307.368999999999</v>
      </c>
      <c r="U21" s="431">
        <v>8497</v>
      </c>
      <c r="V21" s="431">
        <v>764</v>
      </c>
      <c r="W21" s="431">
        <v>1863</v>
      </c>
      <c r="X21" s="431">
        <v>15158</v>
      </c>
      <c r="Y21" s="292">
        <f t="shared" si="25"/>
        <v>820.20213850000005</v>
      </c>
      <c r="Z21" s="292">
        <f t="shared" si="26"/>
        <v>877.49860795238874</v>
      </c>
      <c r="AA21" s="292">
        <f t="shared" si="27"/>
        <v>1032.7079930337932</v>
      </c>
      <c r="AB21" s="292">
        <f t="shared" si="28"/>
        <v>1015.2989063801895</v>
      </c>
      <c r="AC21" s="292">
        <f t="shared" si="29"/>
        <v>845.57386364253443</v>
      </c>
      <c r="AD21" s="292">
        <f t="shared" si="30"/>
        <v>1055.3151574036956</v>
      </c>
      <c r="AE21" s="416">
        <v>0</v>
      </c>
      <c r="AF21" s="416">
        <f t="shared" si="10"/>
        <v>123.7273037212868</v>
      </c>
      <c r="AG21" s="416">
        <f t="shared" si="11"/>
        <v>95384.920585974076</v>
      </c>
      <c r="AH21" s="416">
        <f>0</f>
        <v>0</v>
      </c>
      <c r="AI21" s="416">
        <f t="shared" si="12"/>
        <v>4981.3573695249888</v>
      </c>
      <c r="AJ21" s="416">
        <f t="shared" si="13"/>
        <v>35268.618137791025</v>
      </c>
      <c r="AK21" s="416">
        <f t="shared" si="14"/>
        <v>0</v>
      </c>
      <c r="AL21" s="416">
        <f t="shared" si="15"/>
        <v>94.769849658857993</v>
      </c>
      <c r="AM21" s="416">
        <f t="shared" si="16"/>
        <v>28302.599733266758</v>
      </c>
      <c r="AN21" s="416">
        <f t="shared" si="17"/>
        <v>0</v>
      </c>
      <c r="AO21" s="416">
        <f>0</f>
        <v>0</v>
      </c>
      <c r="AP21" s="416">
        <f t="shared" si="18"/>
        <v>426.34732359109302</v>
      </c>
      <c r="AQ21" s="416">
        <f t="shared" si="19"/>
        <v>0</v>
      </c>
      <c r="AR21" s="416">
        <f t="shared" si="20"/>
        <v>218.49715338014479</v>
      </c>
      <c r="AS21" s="416">
        <f t="shared" si="21"/>
        <v>123687.52031924084</v>
      </c>
      <c r="AT21" s="416">
        <f t="shared" si="22"/>
        <v>0</v>
      </c>
      <c r="AU21" s="416">
        <f t="shared" si="23"/>
        <v>4981.3573695249888</v>
      </c>
      <c r="AV21" s="416">
        <f t="shared" si="24"/>
        <v>35268.618137791025</v>
      </c>
    </row>
    <row r="22" spans="1:48">
      <c r="A22" s="435">
        <v>44835</v>
      </c>
      <c r="C22">
        <v>210</v>
      </c>
      <c r="D22">
        <v>271</v>
      </c>
      <c r="E22">
        <v>481</v>
      </c>
      <c r="F22" s="431">
        <v>78508.333333333328</v>
      </c>
      <c r="G22" s="431">
        <v>31138.321</v>
      </c>
      <c r="H22" s="431">
        <v>14471</v>
      </c>
      <c r="I22" s="431">
        <f t="shared" si="31"/>
        <v>124117.65433333332</v>
      </c>
      <c r="J22">
        <v>0</v>
      </c>
      <c r="K22">
        <v>0</v>
      </c>
      <c r="M22" s="431">
        <v>6461.666666666667</v>
      </c>
      <c r="N22" s="440">
        <f t="shared" si="32"/>
        <v>6461.666666666667</v>
      </c>
      <c r="O22" s="431">
        <v>34948.583333333343</v>
      </c>
      <c r="P22" s="431">
        <v>468</v>
      </c>
      <c r="Q22" s="431">
        <f t="shared" si="33"/>
        <v>35416.583333333343</v>
      </c>
      <c r="R22" s="431">
        <v>3640.05</v>
      </c>
      <c r="S22" s="431">
        <v>4371.34548</v>
      </c>
      <c r="T22" s="431">
        <v>30447.563999999998</v>
      </c>
      <c r="U22" s="431">
        <v>6989</v>
      </c>
      <c r="V22" s="431">
        <v>1035</v>
      </c>
      <c r="W22" s="431">
        <v>1679</v>
      </c>
      <c r="X22" s="431">
        <v>14598</v>
      </c>
      <c r="Y22" s="292">
        <f t="shared" si="25"/>
        <v>820.20213850000005</v>
      </c>
      <c r="Z22" s="292">
        <f t="shared" si="26"/>
        <v>877.49860795238874</v>
      </c>
      <c r="AA22" s="292">
        <f t="shared" si="27"/>
        <v>1032.7079930337932</v>
      </c>
      <c r="AB22" s="292">
        <f t="shared" si="28"/>
        <v>1015.2989063801895</v>
      </c>
      <c r="AC22" s="292">
        <f t="shared" si="29"/>
        <v>845.57386364253443</v>
      </c>
      <c r="AD22" s="292">
        <f t="shared" si="30"/>
        <v>1055.3151574036956</v>
      </c>
      <c r="AE22" s="416">
        <v>0</v>
      </c>
      <c r="AF22" s="416">
        <f t="shared" si="10"/>
        <v>184.27470767000165</v>
      </c>
      <c r="AG22" s="416">
        <f t="shared" si="11"/>
        <v>96020.500720286727</v>
      </c>
      <c r="AH22" s="416">
        <f>0</f>
        <v>0</v>
      </c>
      <c r="AI22" s="416">
        <f t="shared" si="12"/>
        <v>5463.8164489035107</v>
      </c>
      <c r="AJ22" s="416">
        <f t="shared" si="13"/>
        <v>36881.769721452845</v>
      </c>
      <c r="AK22" s="416">
        <f t="shared" si="14"/>
        <v>0</v>
      </c>
      <c r="AL22" s="416">
        <f t="shared" si="15"/>
        <v>237.80212275509734</v>
      </c>
      <c r="AM22" s="416">
        <f t="shared" si="16"/>
        <v>32156.792986352015</v>
      </c>
      <c r="AN22" s="416">
        <f t="shared" si="17"/>
        <v>0</v>
      </c>
      <c r="AO22" s="416">
        <f>0</f>
        <v>0</v>
      </c>
      <c r="AP22" s="416">
        <f t="shared" si="18"/>
        <v>493.88749366492954</v>
      </c>
      <c r="AQ22" s="416">
        <f t="shared" si="19"/>
        <v>0</v>
      </c>
      <c r="AR22" s="416">
        <f t="shared" si="20"/>
        <v>422.07683042509899</v>
      </c>
      <c r="AS22" s="416">
        <f t="shared" si="21"/>
        <v>128177.29370663874</v>
      </c>
      <c r="AT22" s="416">
        <f t="shared" si="22"/>
        <v>0</v>
      </c>
      <c r="AU22" s="416">
        <f t="shared" si="23"/>
        <v>5463.8164489035107</v>
      </c>
      <c r="AV22" s="416">
        <f t="shared" si="24"/>
        <v>36881.769721452845</v>
      </c>
    </row>
    <row r="23" spans="1:48">
      <c r="A23" s="435">
        <v>44866</v>
      </c>
      <c r="C23">
        <v>297</v>
      </c>
      <c r="D23">
        <v>270</v>
      </c>
      <c r="E23">
        <v>567</v>
      </c>
      <c r="F23" s="431">
        <v>76470.333333333328</v>
      </c>
      <c r="G23" s="431">
        <v>31629.421999999999</v>
      </c>
      <c r="H23" s="431">
        <v>19374</v>
      </c>
      <c r="I23" s="431">
        <f t="shared" si="31"/>
        <v>127473.75533333333</v>
      </c>
      <c r="J23">
        <v>0</v>
      </c>
      <c r="K23">
        <v>0</v>
      </c>
      <c r="M23" s="431">
        <v>7471.666666666667</v>
      </c>
      <c r="N23" s="440">
        <f t="shared" si="32"/>
        <v>7471.666666666667</v>
      </c>
      <c r="O23" s="431">
        <v>33127.583333333328</v>
      </c>
      <c r="P23" s="431">
        <v>489</v>
      </c>
      <c r="Q23" s="431">
        <f t="shared" si="33"/>
        <v>33616.583333333328</v>
      </c>
      <c r="R23" s="431">
        <v>3525.0340000000001</v>
      </c>
      <c r="S23" s="431">
        <v>3776.32</v>
      </c>
      <c r="T23" s="431">
        <v>17584</v>
      </c>
      <c r="U23" s="431">
        <v>7683</v>
      </c>
      <c r="V23" s="431">
        <v>624</v>
      </c>
      <c r="W23" s="431">
        <v>1658</v>
      </c>
      <c r="X23" s="431">
        <v>14652</v>
      </c>
      <c r="Y23" s="292">
        <f t="shared" si="25"/>
        <v>820.20213850000005</v>
      </c>
      <c r="Z23" s="292">
        <f t="shared" si="26"/>
        <v>877.49860795238874</v>
      </c>
      <c r="AA23" s="292">
        <f t="shared" si="27"/>
        <v>1032.7079930337932</v>
      </c>
      <c r="AB23" s="292">
        <f t="shared" si="28"/>
        <v>1015.2989063801895</v>
      </c>
      <c r="AC23" s="292">
        <f t="shared" si="29"/>
        <v>845.57386364253443</v>
      </c>
      <c r="AD23" s="292">
        <f t="shared" si="30"/>
        <v>1055.3151574036956</v>
      </c>
      <c r="AE23" s="416">
        <v>0</v>
      </c>
      <c r="AF23" s="416">
        <f t="shared" si="10"/>
        <v>260.61708656185948</v>
      </c>
      <c r="AG23" s="416">
        <f t="shared" si="11"/>
        <v>98979.209120328553</v>
      </c>
      <c r="AH23" s="416">
        <f>0</f>
        <v>0</v>
      </c>
      <c r="AI23" s="416">
        <f t="shared" si="12"/>
        <v>6317.8460511824705</v>
      </c>
      <c r="AJ23" s="416">
        <f t="shared" si="13"/>
        <v>34960.040819820701</v>
      </c>
      <c r="AK23" s="416">
        <f t="shared" si="14"/>
        <v>0</v>
      </c>
      <c r="AL23" s="416">
        <f t="shared" si="15"/>
        <v>236.92462414714495</v>
      </c>
      <c r="AM23" s="416">
        <f t="shared" si="16"/>
        <v>32663.956914438902</v>
      </c>
      <c r="AN23" s="416">
        <f t="shared" si="17"/>
        <v>0</v>
      </c>
      <c r="AO23" s="416">
        <f>0</f>
        <v>0</v>
      </c>
      <c r="AP23" s="416">
        <f t="shared" si="18"/>
        <v>516.04911197040713</v>
      </c>
      <c r="AQ23" s="416">
        <f t="shared" si="19"/>
        <v>0</v>
      </c>
      <c r="AR23" s="416">
        <f t="shared" si="20"/>
        <v>497.54171070900441</v>
      </c>
      <c r="AS23" s="416">
        <f t="shared" si="21"/>
        <v>131643.16603476746</v>
      </c>
      <c r="AT23" s="416">
        <f t="shared" si="22"/>
        <v>0</v>
      </c>
      <c r="AU23" s="416">
        <f t="shared" si="23"/>
        <v>6317.8460511824705</v>
      </c>
      <c r="AV23" s="416">
        <f t="shared" si="24"/>
        <v>34960.040819820701</v>
      </c>
    </row>
    <row r="24" spans="1:48">
      <c r="A24" s="435">
        <v>44896</v>
      </c>
      <c r="C24">
        <v>148</v>
      </c>
      <c r="D24">
        <v>108</v>
      </c>
      <c r="E24">
        <v>256</v>
      </c>
      <c r="F24" s="431">
        <v>81677.333333333328</v>
      </c>
      <c r="G24" s="431">
        <v>34328.421999999999</v>
      </c>
      <c r="H24" s="431">
        <v>16100</v>
      </c>
      <c r="I24" s="431">
        <f t="shared" si="31"/>
        <v>132105.75533333333</v>
      </c>
      <c r="J24">
        <v>0</v>
      </c>
      <c r="K24">
        <v>0</v>
      </c>
      <c r="M24" s="431">
        <v>6822.666666666667</v>
      </c>
      <c r="N24" s="440">
        <f t="shared" si="32"/>
        <v>6822.666666666667</v>
      </c>
      <c r="O24" s="431">
        <v>34991.583333333343</v>
      </c>
      <c r="P24" s="431">
        <v>507</v>
      </c>
      <c r="Q24" s="431">
        <f t="shared" si="33"/>
        <v>35498.583333333343</v>
      </c>
      <c r="R24" s="431">
        <v>4402.9279999999999</v>
      </c>
      <c r="S24" s="431">
        <v>4439.2800000000007</v>
      </c>
      <c r="T24" s="431">
        <v>17584</v>
      </c>
      <c r="U24" s="431">
        <v>9591</v>
      </c>
      <c r="V24" s="431">
        <v>624</v>
      </c>
      <c r="W24" s="431">
        <v>2892</v>
      </c>
      <c r="X24" s="431">
        <v>16657</v>
      </c>
      <c r="Y24" s="292">
        <f t="shared" si="25"/>
        <v>820.20213850000005</v>
      </c>
      <c r="Z24" s="292">
        <f t="shared" si="26"/>
        <v>877.49860795238874</v>
      </c>
      <c r="AA24" s="292">
        <f t="shared" si="27"/>
        <v>1032.7079930337932</v>
      </c>
      <c r="AB24" s="292">
        <f t="shared" si="28"/>
        <v>1015.2989063801895</v>
      </c>
      <c r="AC24" s="292">
        <f t="shared" si="29"/>
        <v>845.57386364253443</v>
      </c>
      <c r="AD24" s="292">
        <f t="shared" si="30"/>
        <v>1055.3151574036956</v>
      </c>
      <c r="AE24" s="416">
        <v>0</v>
      </c>
      <c r="AF24" s="416">
        <f t="shared" si="10"/>
        <v>129.86979397695353</v>
      </c>
      <c r="AG24" s="416">
        <f t="shared" si="11"/>
        <v>100975.43367086287</v>
      </c>
      <c r="AH24" s="416">
        <f>0</f>
        <v>0</v>
      </c>
      <c r="AI24" s="416">
        <f t="shared" si="12"/>
        <v>5769.0686136784652</v>
      </c>
      <c r="AJ24" s="416">
        <f t="shared" si="13"/>
        <v>36927.14827322121</v>
      </c>
      <c r="AK24" s="416">
        <f t="shared" si="14"/>
        <v>0</v>
      </c>
      <c r="AL24" s="416">
        <f t="shared" si="15"/>
        <v>94.769849658857993</v>
      </c>
      <c r="AM24" s="416">
        <f t="shared" si="16"/>
        <v>35451.235787637117</v>
      </c>
      <c r="AN24" s="416">
        <f t="shared" si="17"/>
        <v>0</v>
      </c>
      <c r="AO24" s="416">
        <f>0</f>
        <v>0</v>
      </c>
      <c r="AP24" s="416">
        <f t="shared" si="18"/>
        <v>535.04478480367368</v>
      </c>
      <c r="AQ24" s="416">
        <f t="shared" si="19"/>
        <v>0</v>
      </c>
      <c r="AR24" s="416">
        <f t="shared" si="20"/>
        <v>224.63964363581152</v>
      </c>
      <c r="AS24" s="416">
        <f t="shared" si="21"/>
        <v>136426.66945849999</v>
      </c>
      <c r="AT24" s="416">
        <f t="shared" si="22"/>
        <v>0</v>
      </c>
      <c r="AU24" s="416">
        <f t="shared" si="23"/>
        <v>5769.0686136784652</v>
      </c>
      <c r="AV24" s="416">
        <f t="shared" si="24"/>
        <v>36927.14827322121</v>
      </c>
    </row>
    <row r="25" spans="1:48">
      <c r="A25" s="432" t="s">
        <v>218</v>
      </c>
      <c r="B25" s="438">
        <f>B12*B12/B11</f>
        <v>217914.1114873488</v>
      </c>
      <c r="C25" s="434">
        <f>SUM(C13:C24)</f>
        <v>2021</v>
      </c>
      <c r="D25" s="434">
        <f t="shared" ref="D25:X25" si="34">SUM(D13:D24)</f>
        <v>2740</v>
      </c>
      <c r="E25" s="434">
        <f t="shared" si="34"/>
        <v>4761</v>
      </c>
      <c r="F25" s="434">
        <f t="shared" si="34"/>
        <v>917578.54999999993</v>
      </c>
      <c r="G25" s="434">
        <f t="shared" si="34"/>
        <v>382671.61500000005</v>
      </c>
      <c r="H25" s="434">
        <f t="shared" si="34"/>
        <v>180434.861</v>
      </c>
      <c r="I25" s="434">
        <f t="shared" si="34"/>
        <v>1480685.0259999996</v>
      </c>
      <c r="J25" s="434">
        <f t="shared" si="34"/>
        <v>0</v>
      </c>
      <c r="K25" s="434">
        <f t="shared" si="34"/>
        <v>0</v>
      </c>
      <c r="L25" s="438">
        <f>L12*L12/L11</f>
        <v>83360.029137995749</v>
      </c>
      <c r="M25" s="434">
        <f t="shared" si="34"/>
        <v>88745.430000000008</v>
      </c>
      <c r="N25" s="441">
        <f t="shared" si="34"/>
        <v>88745.430000000008</v>
      </c>
      <c r="O25" s="434">
        <f t="shared" si="34"/>
        <v>397839.90300000005</v>
      </c>
      <c r="P25" s="434">
        <f t="shared" si="34"/>
        <v>4565</v>
      </c>
      <c r="Q25" s="434">
        <f t="shared" si="34"/>
        <v>402404.90300000005</v>
      </c>
      <c r="R25" s="434">
        <f t="shared" si="34"/>
        <v>41443.368333333339</v>
      </c>
      <c r="S25" s="434">
        <f t="shared" si="34"/>
        <v>53123.955479999997</v>
      </c>
      <c r="T25" s="434">
        <f t="shared" si="34"/>
        <v>278822.52500000002</v>
      </c>
      <c r="U25" s="434">
        <f t="shared" si="34"/>
        <v>86095</v>
      </c>
      <c r="V25" s="434">
        <f t="shared" si="34"/>
        <v>23615</v>
      </c>
      <c r="W25" s="434">
        <f t="shared" si="34"/>
        <v>14144</v>
      </c>
      <c r="X25" s="434">
        <f t="shared" si="34"/>
        <v>189683</v>
      </c>
      <c r="Y25" s="456">
        <f t="shared" si="25"/>
        <v>820.20213850000005</v>
      </c>
      <c r="Z25" s="456">
        <f t="shared" si="26"/>
        <v>877.49860795238874</v>
      </c>
      <c r="AA25" s="456">
        <f t="shared" si="27"/>
        <v>1032.7079930337932</v>
      </c>
      <c r="AB25" s="456">
        <f t="shared" si="28"/>
        <v>1015.2989063801895</v>
      </c>
      <c r="AC25" s="456">
        <f t="shared" si="29"/>
        <v>845.57386364253443</v>
      </c>
      <c r="AD25" s="456">
        <f t="shared" si="30"/>
        <v>1055.3151574036956</v>
      </c>
      <c r="AE25" s="457">
        <v>0</v>
      </c>
      <c r="AF25" s="416">
        <f t="shared" si="10"/>
        <v>1773.4246866717776</v>
      </c>
      <c r="AG25" s="457">
        <f t="shared" si="11"/>
        <v>1133927.2259979995</v>
      </c>
      <c r="AH25" s="416">
        <f>0</f>
        <v>0</v>
      </c>
      <c r="AI25" s="416">
        <f t="shared" si="12"/>
        <v>75040.816125718091</v>
      </c>
      <c r="AJ25" s="457">
        <f t="shared" si="13"/>
        <v>419846.479855916</v>
      </c>
      <c r="AK25" s="457">
        <f t="shared" si="14"/>
        <v>178733.62025125092</v>
      </c>
      <c r="AL25" s="416">
        <f t="shared" si="15"/>
        <v>2404.346185789545</v>
      </c>
      <c r="AM25" s="416">
        <f t="shared" si="16"/>
        <v>395188.03551765042</v>
      </c>
      <c r="AN25" s="416">
        <f t="shared" si="17"/>
        <v>84635.346419627822</v>
      </c>
      <c r="AO25" s="416">
        <f>0</f>
        <v>0</v>
      </c>
      <c r="AP25" s="457">
        <f t="shared" si="18"/>
        <v>4817.5136935478704</v>
      </c>
      <c r="AQ25" s="457">
        <f t="shared" si="19"/>
        <v>178733.62025125092</v>
      </c>
      <c r="AR25" s="457">
        <f t="shared" si="20"/>
        <v>4177.7708724613221</v>
      </c>
      <c r="AS25" s="457">
        <f t="shared" si="21"/>
        <v>1529115.26151565</v>
      </c>
      <c r="AT25" s="457">
        <f t="shared" si="22"/>
        <v>84635.346419627822</v>
      </c>
      <c r="AU25" s="457">
        <f t="shared" si="23"/>
        <v>75040.816125718091</v>
      </c>
      <c r="AV25" s="457">
        <f t="shared" si="24"/>
        <v>419846.479855916</v>
      </c>
    </row>
    <row r="27" spans="1:48">
      <c r="A27" t="s">
        <v>219</v>
      </c>
      <c r="C27" s="430">
        <f>C25/E25</f>
        <v>0.42449065322411256</v>
      </c>
      <c r="D27">
        <f>D25/E25</f>
        <v>0.57550934677588739</v>
      </c>
      <c r="F27" s="430">
        <f>F25/I25</f>
        <v>0.61969867587490557</v>
      </c>
      <c r="G27" s="430">
        <f>G25/I25</f>
        <v>0.25844228062045665</v>
      </c>
      <c r="H27" s="430">
        <f>H25/I25</f>
        <v>0.121859043504638</v>
      </c>
      <c r="M27" s="430" cm="1">
        <f t="array" ref="M27">SUMPRODUCT(M13:M24,(N13:N24)^(-1))/12</f>
        <v>1</v>
      </c>
      <c r="O27" s="430">
        <f>O25/Q25</f>
        <v>0.98865570482375564</v>
      </c>
      <c r="P27" s="430">
        <f>P25/Q25</f>
        <v>1.1344295176244409E-2</v>
      </c>
      <c r="AF27" s="416"/>
      <c r="AG27" s="416"/>
      <c r="AI27" s="416"/>
      <c r="AJ27" s="466"/>
      <c r="AK27" s="467"/>
      <c r="AL27" s="416"/>
      <c r="AM27" s="416"/>
      <c r="AN27" s="416"/>
      <c r="AO27" s="416"/>
      <c r="AP27" s="416"/>
    </row>
    <row r="28" spans="1:48">
      <c r="Y28" s="445" t="s">
        <v>220</v>
      </c>
      <c r="AQ28" s="448" t="s">
        <v>214</v>
      </c>
      <c r="AR28" s="449" t="s">
        <v>215</v>
      </c>
      <c r="AS28" s="450" t="s">
        <v>166</v>
      </c>
      <c r="AT28" s="451" t="s">
        <v>216</v>
      </c>
      <c r="AU28" s="452" t="s">
        <v>164</v>
      </c>
      <c r="AV28" s="453" t="s">
        <v>217</v>
      </c>
    </row>
    <row r="29" spans="1:48">
      <c r="Y29" t="s">
        <v>221</v>
      </c>
      <c r="AP29" s="447" t="s">
        <v>203</v>
      </c>
      <c r="AQ29" s="292">
        <f>Fuel_prices_info!L61</f>
        <v>820.20213850000005</v>
      </c>
      <c r="AR29" s="292">
        <f>Fuel_prices_info!L65</f>
        <v>877.49860795238874</v>
      </c>
      <c r="AS29" s="292">
        <f>Fuel_prices_info!L66</f>
        <v>1032.7079930337932</v>
      </c>
      <c r="AT29" s="292">
        <f>Fuel_prices_info!L63</f>
        <v>1015.2989063801895</v>
      </c>
      <c r="AU29" s="292">
        <f>Fuel_prices_info!L64</f>
        <v>845.57386364253443</v>
      </c>
      <c r="AV29" s="292">
        <f>Fuel_prices_info!L62</f>
        <v>1055.3151574036956</v>
      </c>
    </row>
    <row r="30" spans="1:48" ht="16.2">
      <c r="I30" s="455"/>
      <c r="J30" s="455"/>
      <c r="K30" s="455"/>
      <c r="L30" s="455" t="s">
        <v>188</v>
      </c>
      <c r="M30" s="503">
        <f>O25</f>
        <v>397839.90300000005</v>
      </c>
      <c r="N30" s="455"/>
      <c r="O30" s="455"/>
      <c r="P30" s="455"/>
      <c r="Q30" s="455"/>
      <c r="Y30" s="436" t="s">
        <v>222</v>
      </c>
      <c r="AP30" s="447" t="s">
        <v>223</v>
      </c>
      <c r="AQ30" s="454">
        <f>Fuel_prices_info!L68</f>
        <v>476.06700000000001</v>
      </c>
      <c r="AR30" s="454">
        <f>Fuel_prices_info!L72</f>
        <v>409.99941999999999</v>
      </c>
      <c r="AS30" s="454">
        <f>Fuel_prices_info!L73</f>
        <v>655.00045999999998</v>
      </c>
      <c r="AT30" s="454">
        <f>Fuel_prices_info!L70</f>
        <v>664.9997800000001</v>
      </c>
      <c r="AU30" s="454">
        <f>Fuel_prices_info!L71</f>
        <v>496.99964</v>
      </c>
      <c r="AV30" s="454">
        <f>Fuel_prices_info!L69</f>
        <v>890.03994000000012</v>
      </c>
    </row>
    <row r="31" spans="1:48">
      <c r="I31" s="455"/>
      <c r="J31" s="455"/>
      <c r="K31" s="455"/>
      <c r="L31" s="455" t="s">
        <v>224</v>
      </c>
      <c r="M31" s="503">
        <f>M30*1000</f>
        <v>397839903.00000006</v>
      </c>
      <c r="N31" s="455"/>
      <c r="O31" s="455"/>
      <c r="P31" s="455"/>
      <c r="Q31" s="455"/>
      <c r="Y31" s="437" t="s">
        <v>225</v>
      </c>
      <c r="AP31" s="447" t="s">
        <v>226</v>
      </c>
      <c r="AQ31" s="292">
        <f>AQ30</f>
        <v>476.06700000000001</v>
      </c>
      <c r="AR31" s="292">
        <f>AR30</f>
        <v>409.99941999999999</v>
      </c>
      <c r="AS31" s="292">
        <v>755</v>
      </c>
      <c r="AT31" s="292">
        <f>AT30</f>
        <v>664.9997800000001</v>
      </c>
      <c r="AU31" s="292">
        <f>AU30</f>
        <v>496.99964</v>
      </c>
      <c r="AV31" s="292">
        <v>990</v>
      </c>
    </row>
    <row r="32" spans="1:48">
      <c r="I32" s="455"/>
      <c r="K32" s="455"/>
      <c r="L32" s="455" t="s">
        <v>227</v>
      </c>
      <c r="M32" s="503">
        <f>M31*AD25</f>
        <v>419846479855.91608</v>
      </c>
      <c r="N32" s="455"/>
      <c r="O32" s="455"/>
      <c r="P32" s="455"/>
      <c r="Q32" s="455"/>
      <c r="Y32" s="442" t="s">
        <v>228</v>
      </c>
      <c r="AP32" s="447"/>
    </row>
    <row r="33" spans="9:48">
      <c r="I33" s="455"/>
      <c r="K33" s="455"/>
      <c r="L33" s="505" t="s">
        <v>229</v>
      </c>
      <c r="M33" s="504">
        <f>M32/1000000</f>
        <v>419846.47985591606</v>
      </c>
      <c r="N33" s="455"/>
      <c r="O33" s="455"/>
      <c r="P33" s="455"/>
      <c r="Q33" s="455"/>
      <c r="Y33" s="442" t="s">
        <v>230</v>
      </c>
      <c r="AH33">
        <f t="shared" ref="AH33:AH38" si="35">AF5/(AL5+AF5)</f>
        <v>0.42449065322411256</v>
      </c>
      <c r="AP33" s="447"/>
    </row>
    <row r="34" spans="9:48">
      <c r="I34" s="455"/>
      <c r="K34" s="455"/>
      <c r="L34" s="455"/>
      <c r="M34" s="455"/>
      <c r="N34" s="455"/>
      <c r="O34" s="455"/>
      <c r="P34" s="455"/>
      <c r="Q34" s="455"/>
      <c r="Y34" s="442" t="s">
        <v>231</v>
      </c>
      <c r="AH34">
        <f t="shared" si="35"/>
        <v>0.42449065322411261</v>
      </c>
      <c r="AP34" s="447"/>
    </row>
    <row r="35" spans="9:48">
      <c r="I35" s="455"/>
      <c r="K35" s="455"/>
      <c r="L35" s="455"/>
      <c r="M35" s="455"/>
      <c r="N35" s="455"/>
      <c r="O35" s="455"/>
      <c r="P35" s="455"/>
      <c r="Q35" s="455"/>
      <c r="Y35" s="445" t="s">
        <v>232</v>
      </c>
      <c r="AH35">
        <f t="shared" si="35"/>
        <v>0.42449065322411256</v>
      </c>
      <c r="AP35" s="447"/>
      <c r="AQ35" s="443" t="s">
        <v>233</v>
      </c>
    </row>
    <row r="36" spans="9:48">
      <c r="I36" s="455"/>
      <c r="K36" s="455"/>
      <c r="L36" s="455"/>
      <c r="M36" s="455"/>
      <c r="N36" s="455"/>
      <c r="O36" s="455"/>
      <c r="P36" s="455"/>
      <c r="Q36" s="455"/>
      <c r="Y36" s="444" t="s">
        <v>234</v>
      </c>
      <c r="AH36">
        <f t="shared" si="35"/>
        <v>0.42449065322411261</v>
      </c>
      <c r="AP36" s="447"/>
      <c r="AQ36" s="431" t="s">
        <v>235</v>
      </c>
    </row>
    <row r="37" spans="9:48">
      <c r="I37" s="455"/>
      <c r="K37" s="455"/>
      <c r="L37" s="455"/>
      <c r="M37" s="455"/>
      <c r="N37" s="455"/>
      <c r="O37" s="455"/>
      <c r="P37" s="455"/>
      <c r="Q37" s="455"/>
      <c r="Y37" s="444" t="s">
        <v>236</v>
      </c>
      <c r="AH37">
        <f t="shared" si="35"/>
        <v>0.42449065322411256</v>
      </c>
      <c r="AP37" s="447"/>
      <c r="AQ37" s="450" t="s">
        <v>166</v>
      </c>
      <c r="AR37" s="451" t="s">
        <v>216</v>
      </c>
      <c r="AS37" s="452" t="s">
        <v>164</v>
      </c>
      <c r="AT37" s="453" t="s">
        <v>217</v>
      </c>
    </row>
    <row r="38" spans="9:48">
      <c r="I38" s="455"/>
      <c r="K38" s="455"/>
      <c r="L38" s="455"/>
      <c r="M38" s="455"/>
      <c r="N38" s="455"/>
      <c r="O38" s="455"/>
      <c r="P38" s="455"/>
      <c r="Q38" s="455"/>
      <c r="Y38" s="446" t="s">
        <v>237</v>
      </c>
      <c r="AH38">
        <f t="shared" si="35"/>
        <v>0.42449065322411256</v>
      </c>
      <c r="AP38" s="447"/>
      <c r="AQ38" s="455">
        <f>AM25/SUM($AM$25:$AP$25)</f>
        <v>0.81542444948493131</v>
      </c>
      <c r="AR38" s="455">
        <f>AN25/SUM($AM$25:$AP$25)</f>
        <v>0.17463517252183886</v>
      </c>
      <c r="AS38" s="455">
        <f>AO25/SUM($AM$25:$AP$25)</f>
        <v>0</v>
      </c>
      <c r="AT38" s="455">
        <f>AP25/SUM($AM$25:$AP$25)</f>
        <v>9.9403779932298545E-3</v>
      </c>
    </row>
    <row r="39" spans="9:48">
      <c r="Y39" s="446" t="s">
        <v>238</v>
      </c>
      <c r="AH39">
        <f>AF11/(AL11+AF11)</f>
        <v>0.42449065322411261</v>
      </c>
      <c r="AP39" s="447"/>
      <c r="AQ39" s="431"/>
    </row>
    <row r="40" spans="9:48">
      <c r="Y40" s="446" t="s">
        <v>239</v>
      </c>
      <c r="Z40" s="443"/>
      <c r="AA40" s="443"/>
      <c r="AB40" s="443"/>
      <c r="AC40" s="443"/>
      <c r="AD40" s="443"/>
      <c r="AH40">
        <f>AF12/(AL12+AF12)</f>
        <v>0.42449065322411261</v>
      </c>
      <c r="AP40" s="447"/>
      <c r="AQ40" s="473" t="s">
        <v>240</v>
      </c>
    </row>
    <row r="41" spans="9:48">
      <c r="Y41" s="446" t="s">
        <v>241</v>
      </c>
      <c r="AH41">
        <f>AF25/(AL25+AF25)</f>
        <v>0.42449065322411267</v>
      </c>
      <c r="AL41" s="443"/>
      <c r="AQ41" s="448" t="s">
        <v>214</v>
      </c>
      <c r="AR41" s="449" t="s">
        <v>215</v>
      </c>
      <c r="AS41" s="450" t="s">
        <v>166</v>
      </c>
      <c r="AT41" s="451" t="s">
        <v>216</v>
      </c>
      <c r="AU41" s="452" t="s">
        <v>164</v>
      </c>
      <c r="AV41" s="453" t="s">
        <v>217</v>
      </c>
    </row>
    <row r="42" spans="9:48">
      <c r="AL42" s="443"/>
      <c r="AQ42" s="474">
        <f t="shared" ref="AQ42:AV42" si="36">AE25/SUM($AE$25:$AJ$25)</f>
        <v>0</v>
      </c>
      <c r="AR42" s="474">
        <f t="shared" si="36"/>
        <v>1.087598304830781E-3</v>
      </c>
      <c r="AS42" s="474">
        <f t="shared" si="36"/>
        <v>0.69541003802725532</v>
      </c>
      <c r="AT42" s="474">
        <f t="shared" si="36"/>
        <v>0</v>
      </c>
      <c r="AU42" s="474">
        <f t="shared" si="36"/>
        <v>4.6020710676254586E-2</v>
      </c>
      <c r="AV42" s="502">
        <f t="shared" si="36"/>
        <v>0.25748165299165937</v>
      </c>
    </row>
    <row r="112" spans="27:27">
      <c r="AA112" t="s">
        <v>242</v>
      </c>
    </row>
    <row r="113" spans="26:33">
      <c r="AA113" t="s">
        <v>243</v>
      </c>
      <c r="AB113" t="s">
        <v>244</v>
      </c>
      <c r="AC113" t="s">
        <v>245</v>
      </c>
      <c r="AD113" t="s">
        <v>246</v>
      </c>
      <c r="AE113" t="s">
        <v>247</v>
      </c>
      <c r="AF113" t="s">
        <v>248</v>
      </c>
    </row>
    <row r="114" spans="26:33">
      <c r="Z114" t="s">
        <v>65</v>
      </c>
      <c r="AA114" t="s">
        <v>249</v>
      </c>
      <c r="AB114" s="397">
        <v>1791726</v>
      </c>
      <c r="AC114">
        <v>63.390999999999998</v>
      </c>
      <c r="AD114">
        <v>207.61369999999999</v>
      </c>
      <c r="AE114">
        <v>0</v>
      </c>
      <c r="AF114">
        <v>1983.7180000000001</v>
      </c>
      <c r="AG114">
        <f>(Z20)</f>
        <v>877.49860795238874</v>
      </c>
    </row>
    <row r="115" spans="26:33">
      <c r="Z115" t="s">
        <v>65</v>
      </c>
      <c r="AA115" t="s">
        <v>250</v>
      </c>
      <c r="AB115" s="397">
        <v>1791726</v>
      </c>
      <c r="AC115">
        <v>0.1938869</v>
      </c>
      <c r="AD115">
        <v>6.9742559999999996</v>
      </c>
      <c r="AE115">
        <v>0</v>
      </c>
      <c r="AF115">
        <v>445.12189999999998</v>
      </c>
      <c r="AG115">
        <f>D10*1000</f>
        <v>2558887.2085696282</v>
      </c>
    </row>
    <row r="116" spans="26:33">
      <c r="Z116" t="s">
        <v>251</v>
      </c>
      <c r="AA116" t="s">
        <v>252</v>
      </c>
      <c r="AB116" s="397">
        <v>1791726</v>
      </c>
      <c r="AC116">
        <v>74.30762</v>
      </c>
      <c r="AD116">
        <v>101.0463</v>
      </c>
      <c r="AE116">
        <v>0</v>
      </c>
      <c r="AF116">
        <v>982.96379999999999</v>
      </c>
      <c r="AG116">
        <f>B10*1000</f>
        <v>173123254.72853124</v>
      </c>
    </row>
    <row r="117" spans="26:33">
      <c r="AA117" t="s">
        <v>253</v>
      </c>
      <c r="AB117" s="397">
        <v>1791726</v>
      </c>
      <c r="AC117">
        <v>137.89250000000001</v>
      </c>
      <c r="AD117">
        <v>245.49719999999999</v>
      </c>
      <c r="AE117">
        <v>0</v>
      </c>
      <c r="AF117">
        <v>2235.7600000000002</v>
      </c>
    </row>
    <row r="127" spans="26:33">
      <c r="AA127" t="s">
        <v>254</v>
      </c>
    </row>
    <row r="128" spans="26:33">
      <c r="AA128" t="s">
        <v>243</v>
      </c>
      <c r="AB128" t="s">
        <v>244</v>
      </c>
      <c r="AC128" t="s">
        <v>245</v>
      </c>
      <c r="AD128" t="s">
        <v>246</v>
      </c>
      <c r="AE128" t="s">
        <v>247</v>
      </c>
      <c r="AF128" t="s">
        <v>248</v>
      </c>
    </row>
    <row r="129" spans="11:32">
      <c r="AA129" t="s">
        <v>249</v>
      </c>
      <c r="AB129" s="397">
        <v>136423</v>
      </c>
      <c r="AC129">
        <v>581.37199999999996</v>
      </c>
      <c r="AD129">
        <v>361.18709999999999</v>
      </c>
      <c r="AE129">
        <v>0</v>
      </c>
      <c r="AF129">
        <v>1983.7180000000001</v>
      </c>
    </row>
    <row r="130" spans="11:32">
      <c r="AA130" t="s">
        <v>250</v>
      </c>
      <c r="AB130" s="397">
        <v>136423</v>
      </c>
      <c r="AC130">
        <v>0.56344019999999995</v>
      </c>
      <c r="AD130">
        <v>6.1045879999999997</v>
      </c>
      <c r="AE130">
        <v>0</v>
      </c>
      <c r="AF130">
        <v>127.1777</v>
      </c>
    </row>
    <row r="131" spans="11:32">
      <c r="AA131" t="s">
        <v>252</v>
      </c>
      <c r="AB131" s="397">
        <v>136423</v>
      </c>
      <c r="AC131">
        <v>168.95089999999999</v>
      </c>
      <c r="AD131">
        <v>105.67829999999999</v>
      </c>
      <c r="AE131">
        <v>35.285879999999999</v>
      </c>
      <c r="AF131">
        <v>680.51340000000005</v>
      </c>
    </row>
    <row r="132" spans="11:32">
      <c r="AA132" t="s">
        <v>253</v>
      </c>
      <c r="AB132" s="397">
        <v>136423</v>
      </c>
      <c r="AC132">
        <v>750.88639999999998</v>
      </c>
      <c r="AD132">
        <v>399.38279999999997</v>
      </c>
      <c r="AE132">
        <v>88.188760000000002</v>
      </c>
      <c r="AF132">
        <v>2235.7600000000002</v>
      </c>
    </row>
    <row r="136" spans="11:32">
      <c r="K136" s="397"/>
    </row>
    <row r="137" spans="11:32">
      <c r="K137" s="397"/>
    </row>
    <row r="138" spans="11:32">
      <c r="K138" s="397"/>
    </row>
    <row r="139" spans="11:32">
      <c r="K139" s="397"/>
    </row>
  </sheetData>
  <mergeCells count="17">
    <mergeCell ref="AQ3:AV3"/>
    <mergeCell ref="AK3:AP3"/>
    <mergeCell ref="W3:W4"/>
    <mergeCell ref="X3:X4"/>
    <mergeCell ref="AE3:AJ3"/>
    <mergeCell ref="AE2:AP2"/>
    <mergeCell ref="Y3:AD3"/>
    <mergeCell ref="O3:Q3"/>
    <mergeCell ref="J3:N3"/>
    <mergeCell ref="C3:E3"/>
    <mergeCell ref="F3:I3"/>
    <mergeCell ref="R2:X2"/>
    <mergeCell ref="R3:R4"/>
    <mergeCell ref="S3:S4"/>
    <mergeCell ref="T3:T4"/>
    <mergeCell ref="U3:U4"/>
    <mergeCell ref="V3:V4"/>
  </mergeCells>
  <phoneticPr fontId="50" type="noConversion"/>
  <pageMargins left="0.7" right="0.7" top="0.75" bottom="0.75" header="0.3" footer="0.3"/>
  <pageSetup orientation="portrait" r:id="rId1"/>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7FAA9-2A8D-446F-A72E-BC9615FAC7AB}">
  <sheetPr codeName="Hoja6"/>
  <dimension ref="A1:N12"/>
  <sheetViews>
    <sheetView workbookViewId="0">
      <selection activeCell="E18" sqref="E18"/>
    </sheetView>
  </sheetViews>
  <sheetFormatPr baseColWidth="10" defaultColWidth="11.44140625" defaultRowHeight="14.4"/>
  <sheetData>
    <row r="1" spans="1:14">
      <c r="B1" t="str">
        <f>FuelBaskets!B2</f>
        <v>tonnes</v>
      </c>
      <c r="C1" t="str">
        <f>FuelBaskets!E2</f>
        <v>m3</v>
      </c>
      <c r="D1" t="str">
        <f>FuelBaskets!I2</f>
        <v>m3</v>
      </c>
      <c r="E1" t="str">
        <f>FuelBaskets!L2</f>
        <v>m3</v>
      </c>
      <c r="F1" t="str">
        <f>FuelBaskets!M2</f>
        <v>m3</v>
      </c>
      <c r="G1" t="str">
        <f>FuelBaskets!Q2</f>
        <v>m3</v>
      </c>
      <c r="H1" s="808" t="s">
        <v>255</v>
      </c>
      <c r="I1" s="808"/>
      <c r="J1" s="808"/>
      <c r="K1" s="808"/>
      <c r="L1" s="808"/>
      <c r="M1" s="808"/>
    </row>
    <row r="2" spans="1:14">
      <c r="B2" s="448" t="s">
        <v>214</v>
      </c>
      <c r="C2" s="449" t="s">
        <v>215</v>
      </c>
      <c r="D2" s="450" t="s">
        <v>166</v>
      </c>
      <c r="E2" s="451" t="s">
        <v>216</v>
      </c>
      <c r="F2" s="452" t="s">
        <v>164</v>
      </c>
      <c r="G2" s="453" t="s">
        <v>217</v>
      </c>
      <c r="H2" s="448" t="s">
        <v>214</v>
      </c>
      <c r="I2" s="449" t="s">
        <v>215</v>
      </c>
      <c r="J2" s="450" t="s">
        <v>166</v>
      </c>
      <c r="K2" s="451" t="s">
        <v>216</v>
      </c>
      <c r="L2" s="452" t="s">
        <v>164</v>
      </c>
      <c r="M2" s="453" t="s">
        <v>217</v>
      </c>
      <c r="N2" s="452" t="s">
        <v>164</v>
      </c>
    </row>
    <row r="3" spans="1:14">
      <c r="A3">
        <v>2014</v>
      </c>
      <c r="B3" s="437">
        <f>FuelBaskets!B5</f>
        <v>106021.45578547729</v>
      </c>
      <c r="C3" s="499">
        <f>FuelBaskets!E5</f>
        <v>3907</v>
      </c>
      <c r="D3" s="437">
        <f>FuelBaskets!I5</f>
        <v>699513.89116332424</v>
      </c>
      <c r="E3" s="437">
        <f>FuelBaskets!L5</f>
        <v>52751.544684958382</v>
      </c>
      <c r="F3" s="437">
        <f>FuelBaskets!M5</f>
        <v>56159.511514578218</v>
      </c>
      <c r="G3" s="437">
        <f>FuelBaskets!Q5</f>
        <v>122772.7692587643</v>
      </c>
      <c r="N3" s="501">
        <f>N4*E3/E4</f>
        <v>56159.511514578218</v>
      </c>
    </row>
    <row r="4" spans="1:14">
      <c r="A4">
        <v>2015</v>
      </c>
      <c r="B4" s="436">
        <f>FuelBaskets!B6</f>
        <v>120176.68712099698</v>
      </c>
      <c r="C4" s="437">
        <f>FuelBaskets!E6</f>
        <v>4110.5</v>
      </c>
      <c r="D4" s="436">
        <f>FuelBaskets!I6</f>
        <v>849667</v>
      </c>
      <c r="E4" s="436">
        <f>FuelBaskets!L6</f>
        <v>57739</v>
      </c>
      <c r="F4" s="499">
        <f>FuelBaskets!M6</f>
        <v>61469.176963548285</v>
      </c>
      <c r="G4" s="436">
        <f>FuelBaskets!Q6</f>
        <v>143451</v>
      </c>
      <c r="H4" s="455">
        <f t="shared" ref="H4:M4" si="0">B4/B3-1</f>
        <v>0.13351289350488882</v>
      </c>
      <c r="I4" s="455">
        <f t="shared" si="0"/>
        <v>5.2085999488098222E-2</v>
      </c>
      <c r="J4" s="455">
        <f t="shared" si="0"/>
        <v>0.21465350543212813</v>
      </c>
      <c r="K4" s="455">
        <f t="shared" si="0"/>
        <v>9.4546147318103957E-2</v>
      </c>
      <c r="L4" s="455">
        <f t="shared" si="0"/>
        <v>9.4546147318103957E-2</v>
      </c>
      <c r="M4" s="455">
        <f t="shared" si="0"/>
        <v>0.16842684958626974</v>
      </c>
      <c r="N4" s="501">
        <f t="shared" ref="N4:N9" si="1">N5*E4/E5</f>
        <v>61469.176963548285</v>
      </c>
    </row>
    <row r="5" spans="1:14">
      <c r="A5">
        <v>2016</v>
      </c>
      <c r="B5" s="436">
        <f>FuelBaskets!B7</f>
        <v>136221.82435035298</v>
      </c>
      <c r="C5" s="499">
        <f>FuelBaskets!E7</f>
        <v>4314</v>
      </c>
      <c r="D5" s="436">
        <f>FuelBaskets!I7</f>
        <v>1032051</v>
      </c>
      <c r="E5" s="436">
        <f>FuelBaskets!L7</f>
        <v>63198</v>
      </c>
      <c r="F5" s="499">
        <f>FuelBaskets!M7</f>
        <v>67280.850824266512</v>
      </c>
      <c r="G5" s="436">
        <f>FuelBaskets!Q7</f>
        <v>167612</v>
      </c>
      <c r="H5" s="455">
        <f t="shared" ref="H5:H11" si="2">B5/B4-1</f>
        <v>0.1335128935048886</v>
      </c>
      <c r="I5" s="455">
        <f t="shared" ref="I5:I11" si="3">C5/C4-1</f>
        <v>4.9507359202043633E-2</v>
      </c>
      <c r="J5" s="455">
        <f t="shared" ref="J5:J11" si="4">D5/D4-1</f>
        <v>0.21465350543212813</v>
      </c>
      <c r="K5" s="455">
        <f t="shared" ref="K5:K11" si="5">E5/E4-1</f>
        <v>9.4546147318103957E-2</v>
      </c>
      <c r="L5" s="455">
        <f t="shared" ref="L5:L11" si="6">F5/F4-1</f>
        <v>9.4546147318103735E-2</v>
      </c>
      <c r="M5" s="455">
        <f t="shared" ref="M5:M11" si="7">G5/G4-1</f>
        <v>0.16842684958626997</v>
      </c>
      <c r="N5" s="501">
        <f t="shared" si="1"/>
        <v>67280.850824266512</v>
      </c>
    </row>
    <row r="6" spans="1:14">
      <c r="A6">
        <v>2017</v>
      </c>
      <c r="B6" s="436">
        <f>FuelBaskets!B8</f>
        <v>149925.10341154327</v>
      </c>
      <c r="C6" s="499">
        <f>FuelBaskets!E8</f>
        <v>4236.5</v>
      </c>
      <c r="D6" s="436">
        <f>FuelBaskets!I8</f>
        <v>1122094</v>
      </c>
      <c r="E6" s="436">
        <f>FuelBaskets!L8</f>
        <v>71046</v>
      </c>
      <c r="F6" s="499">
        <f>FuelBaskets!M8</f>
        <v>75635.863914377638</v>
      </c>
      <c r="G6" s="436">
        <f>FuelBaskets!Q8</f>
        <v>198157</v>
      </c>
      <c r="H6" s="455">
        <f t="shared" si="2"/>
        <v>0.10059532770568702</v>
      </c>
      <c r="I6" s="455">
        <f t="shared" si="3"/>
        <v>-1.7964765878535016E-2</v>
      </c>
      <c r="J6" s="455">
        <f t="shared" si="4"/>
        <v>8.7246657384179693E-2</v>
      </c>
      <c r="K6" s="455">
        <f t="shared" si="5"/>
        <v>0.12418114497294219</v>
      </c>
      <c r="L6" s="455">
        <f t="shared" si="6"/>
        <v>0.12418114497294197</v>
      </c>
      <c r="M6" s="455">
        <f t="shared" si="7"/>
        <v>0.18223635539221528</v>
      </c>
      <c r="N6" s="501">
        <f t="shared" si="1"/>
        <v>75635.863914377638</v>
      </c>
    </row>
    <row r="7" spans="1:14">
      <c r="A7">
        <v>2018</v>
      </c>
      <c r="B7" s="436">
        <f>FuelBaskets!B9</f>
        <v>164000</v>
      </c>
      <c r="C7" s="437">
        <f>FuelBaskets!E9</f>
        <v>4341.4000000000005</v>
      </c>
      <c r="D7" s="436">
        <f>FuelBaskets!I9</f>
        <v>1206639</v>
      </c>
      <c r="E7" s="436">
        <f>FuelBaskets!L9</f>
        <v>68536</v>
      </c>
      <c r="F7" s="437">
        <f>FuelBaskets!M9</f>
        <v>72963.707587137702</v>
      </c>
      <c r="G7" s="436">
        <f>FuelBaskets!Q9</f>
        <v>236860</v>
      </c>
      <c r="H7" s="455">
        <f t="shared" si="2"/>
        <v>9.3879518961019093E-2</v>
      </c>
      <c r="I7" s="455">
        <f t="shared" si="3"/>
        <v>2.4761005547031978E-2</v>
      </c>
      <c r="J7" s="455">
        <f t="shared" si="4"/>
        <v>7.5345737522881429E-2</v>
      </c>
      <c r="K7" s="455">
        <f t="shared" si="5"/>
        <v>-3.5329223320102465E-2</v>
      </c>
      <c r="L7" s="455">
        <f t="shared" si="6"/>
        <v>-3.5329223320102576E-2</v>
      </c>
      <c r="M7" s="455">
        <f t="shared" si="7"/>
        <v>0.19531482612272089</v>
      </c>
      <c r="N7" s="501">
        <f t="shared" si="1"/>
        <v>72963.707587137702</v>
      </c>
    </row>
    <row r="8" spans="1:14">
      <c r="A8">
        <v>2019</v>
      </c>
      <c r="B8" s="436">
        <f>FuelBaskets!B10</f>
        <v>173123.25472853123</v>
      </c>
      <c r="C8" s="437">
        <f>FuelBaskets!E10</f>
        <v>4446.3</v>
      </c>
      <c r="D8" s="436">
        <f>FuelBaskets!I10</f>
        <v>1313142</v>
      </c>
      <c r="E8" s="436">
        <f>FuelBaskets!L10</f>
        <v>78668</v>
      </c>
      <c r="F8" s="437">
        <f>FuelBaskets!M10</f>
        <v>83750.276474625731</v>
      </c>
      <c r="G8" s="436">
        <f>FuelBaskets!Q10</f>
        <v>274307</v>
      </c>
      <c r="H8" s="455">
        <f t="shared" si="2"/>
        <v>5.5629602003239187E-2</v>
      </c>
      <c r="I8" s="455">
        <f t="shared" si="3"/>
        <v>2.4162712489058658E-2</v>
      </c>
      <c r="J8" s="455">
        <f t="shared" si="4"/>
        <v>8.8264178432820417E-2</v>
      </c>
      <c r="K8" s="455">
        <f t="shared" si="5"/>
        <v>0.14783471460254471</v>
      </c>
      <c r="L8" s="455">
        <f t="shared" si="6"/>
        <v>0.14783471460254471</v>
      </c>
      <c r="M8" s="455">
        <f t="shared" si="7"/>
        <v>0.15809761040276959</v>
      </c>
      <c r="N8" s="501">
        <f t="shared" si="1"/>
        <v>83750.276474625731</v>
      </c>
    </row>
    <row r="9" spans="1:14">
      <c r="A9">
        <v>2020</v>
      </c>
      <c r="B9" s="436">
        <f>FuelBaskets!B11</f>
        <v>180268.3076993475</v>
      </c>
      <c r="C9" s="437">
        <f>FuelBaskets!E11</f>
        <v>4551.2</v>
      </c>
      <c r="D9" s="436">
        <f>FuelBaskets!I11</f>
        <v>1267314</v>
      </c>
      <c r="E9" s="436">
        <f>FuelBaskets!L11</f>
        <v>79930</v>
      </c>
      <c r="F9" s="437">
        <f>FuelBaskets!M11</f>
        <v>85093.806867046762</v>
      </c>
      <c r="G9" s="436">
        <f>FuelBaskets!Q11</f>
        <v>275091</v>
      </c>
      <c r="H9" s="455">
        <f t="shared" si="2"/>
        <v>4.1271480148753925E-2</v>
      </c>
      <c r="I9" s="455">
        <f t="shared" si="3"/>
        <v>2.3592650068596344E-2</v>
      </c>
      <c r="J9" s="455">
        <f t="shared" si="4"/>
        <v>-3.4899500587141419E-2</v>
      </c>
      <c r="K9" s="455">
        <f t="shared" si="5"/>
        <v>1.6042100981339402E-2</v>
      </c>
      <c r="L9" s="455">
        <f t="shared" si="6"/>
        <v>1.6042100981339402E-2</v>
      </c>
      <c r="M9" s="455">
        <f t="shared" si="7"/>
        <v>2.858111531969687E-3</v>
      </c>
      <c r="N9" s="501">
        <f t="shared" si="1"/>
        <v>85093.806867046762</v>
      </c>
    </row>
    <row r="10" spans="1:14">
      <c r="A10">
        <v>2021</v>
      </c>
      <c r="B10" s="436">
        <f>FuelBaskets!B12</f>
        <v>198199.41498811572</v>
      </c>
      <c r="C10" s="437">
        <f>FuelBaskets!E12</f>
        <v>4656.1000000000004</v>
      </c>
      <c r="D10" s="436">
        <f>FuelBaskets!I12</f>
        <v>1313891</v>
      </c>
      <c r="E10" s="436">
        <f>FuelBaskets!L12</f>
        <v>81627</v>
      </c>
      <c r="F10" s="437">
        <f>FuelBaskets!M12</f>
        <v>86900.440049248413</v>
      </c>
      <c r="G10" s="436">
        <f>FuelBaskets!Q12</f>
        <v>344447</v>
      </c>
      <c r="H10" s="455">
        <f t="shared" si="2"/>
        <v>9.9468994398470789E-2</v>
      </c>
      <c r="I10" s="455">
        <f t="shared" si="3"/>
        <v>2.3048866233081444E-2</v>
      </c>
      <c r="J10" s="455">
        <f t="shared" si="4"/>
        <v>3.6752533310608015E-2</v>
      </c>
      <c r="K10" s="455">
        <f t="shared" si="5"/>
        <v>2.1231077192543468E-2</v>
      </c>
      <c r="L10" s="455">
        <f t="shared" si="6"/>
        <v>2.1231077192543468E-2</v>
      </c>
      <c r="M10" s="455">
        <f t="shared" si="7"/>
        <v>0.25212020749497444</v>
      </c>
      <c r="N10" s="501">
        <f>N11*E10/E11</f>
        <v>86900.440049248413</v>
      </c>
    </row>
    <row r="11" spans="1:14">
      <c r="A11">
        <v>2022</v>
      </c>
      <c r="B11" s="437">
        <f>FuelBaskets!B25</f>
        <v>217914.1114873488</v>
      </c>
      <c r="C11">
        <f>FuelBaskets!E25</f>
        <v>4761</v>
      </c>
      <c r="D11" s="468">
        <f>FuelBaskets!I25</f>
        <v>1480685.0259999996</v>
      </c>
      <c r="E11" s="437">
        <f>FuelBaskets!L25</f>
        <v>83360.029137995749</v>
      </c>
      <c r="F11">
        <f>FuelBaskets!M25</f>
        <v>88745.430000000008</v>
      </c>
      <c r="G11">
        <f>FuelBaskets!Q25</f>
        <v>402404.90300000005</v>
      </c>
      <c r="H11" s="455">
        <f t="shared" si="2"/>
        <v>9.9468994398470789E-2</v>
      </c>
      <c r="I11" s="455">
        <f t="shared" si="3"/>
        <v>2.2529584845686124E-2</v>
      </c>
      <c r="J11" s="455">
        <f t="shared" si="4"/>
        <v>0.12694662342614382</v>
      </c>
      <c r="K11" s="455">
        <f t="shared" si="5"/>
        <v>2.1231077192543468E-2</v>
      </c>
      <c r="L11" s="455">
        <f t="shared" si="6"/>
        <v>2.1231077192543468E-2</v>
      </c>
      <c r="M11" s="455">
        <f t="shared" si="7"/>
        <v>0.16826363126983268</v>
      </c>
      <c r="N11" s="501">
        <f>F11</f>
        <v>88745.430000000008</v>
      </c>
    </row>
    <row r="12" spans="1:14">
      <c r="N12" s="500" t="s">
        <v>256</v>
      </c>
    </row>
  </sheetData>
  <mergeCells count="1">
    <mergeCell ref="H1:M1"/>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7AC70-7F4F-4AC9-8708-7B02F7836CA9}">
  <sheetPr codeName="Hoja7"/>
  <dimension ref="A1:J26"/>
  <sheetViews>
    <sheetView workbookViewId="0">
      <selection activeCell="A2" sqref="A2"/>
    </sheetView>
  </sheetViews>
  <sheetFormatPr baseColWidth="10" defaultColWidth="11.5546875" defaultRowHeight="14.4"/>
  <cols>
    <col min="1" max="1" width="16.88671875" style="1" bestFit="1" customWidth="1"/>
    <col min="2" max="2" width="6.5546875" style="1" bestFit="1" customWidth="1"/>
    <col min="3" max="3" width="11.5546875" style="1"/>
    <col min="4" max="4" width="13.6640625" style="1" customWidth="1"/>
    <col min="5" max="5" width="11.109375" style="1" customWidth="1"/>
    <col min="6" max="9" width="11.5546875" style="1"/>
    <col min="10" max="10" width="10.6640625" style="1" customWidth="1"/>
    <col min="11" max="16384" width="11.5546875" style="1"/>
  </cols>
  <sheetData>
    <row r="1" spans="1:10">
      <c r="C1" s="809" t="s">
        <v>257</v>
      </c>
      <c r="D1" s="809"/>
      <c r="E1" s="810" t="s">
        <v>203</v>
      </c>
      <c r="F1" s="809" t="s">
        <v>258</v>
      </c>
      <c r="G1" s="809"/>
      <c r="H1" s="809" t="s">
        <v>259</v>
      </c>
      <c r="I1" s="809"/>
      <c r="J1" s="812" t="s">
        <v>260</v>
      </c>
    </row>
    <row r="2" spans="1:10">
      <c r="B2" s="577" t="s">
        <v>144</v>
      </c>
      <c r="C2" s="365" t="s">
        <v>261</v>
      </c>
      <c r="D2" s="365" t="s">
        <v>262</v>
      </c>
      <c r="E2" s="811"/>
      <c r="F2" s="365" t="s">
        <v>261</v>
      </c>
      <c r="G2" s="365" t="s">
        <v>262</v>
      </c>
      <c r="H2" s="365" t="s">
        <v>261</v>
      </c>
      <c r="I2" s="365" t="s">
        <v>262</v>
      </c>
      <c r="J2" s="813"/>
    </row>
    <row r="3" spans="1:10">
      <c r="A3" s="508" t="s">
        <v>214</v>
      </c>
      <c r="B3" s="296" t="s">
        <v>146</v>
      </c>
      <c r="C3" s="296">
        <v>0</v>
      </c>
      <c r="D3" s="484">
        <f>FuelBaskets!B25</f>
        <v>217914.1114873488</v>
      </c>
      <c r="E3" s="484">
        <f>Fuel_prices_info!L61</f>
        <v>820.20213850000005</v>
      </c>
      <c r="F3" s="513" cm="1">
        <f t="array" ref="F3">C3*E3/SUMPRODUCT($C$3:$C$8*$E$3:$E$8)</f>
        <v>0</v>
      </c>
      <c r="G3" s="514"/>
      <c r="H3" s="484">
        <v>0</v>
      </c>
      <c r="I3" s="484">
        <f>FuelBaskets!B10</f>
        <v>173123.25472853123</v>
      </c>
      <c r="J3" s="515">
        <f t="shared" ref="J3:J8" si="0">(C3+D3)/(H3+I3)</f>
        <v>1.2587223584090572</v>
      </c>
    </row>
    <row r="4" spans="1:10">
      <c r="A4" s="509" t="s">
        <v>215</v>
      </c>
      <c r="B4" s="296" t="s">
        <v>188</v>
      </c>
      <c r="C4" s="484">
        <f>FuelBaskets!C25</f>
        <v>2021</v>
      </c>
      <c r="D4" s="484">
        <f>FuelBaskets!D25</f>
        <v>2740</v>
      </c>
      <c r="E4" s="484">
        <f>Fuel_prices_info!L65</f>
        <v>877.49860795238874</v>
      </c>
      <c r="F4" s="513" cm="1">
        <f t="array" ref="F4">C4*E4/SUMPRODUCT($C$3:$C$8*$E$3:$E$8)</f>
        <v>1.087598304830781E-3</v>
      </c>
      <c r="G4" s="514"/>
      <c r="H4" s="484">
        <f>FuelBaskets!C10</f>
        <v>1887.4127914303717</v>
      </c>
      <c r="I4" s="484">
        <f>FuelBaskets!D10</f>
        <v>2558.887208569628</v>
      </c>
      <c r="J4" s="515">
        <f t="shared" si="0"/>
        <v>1.0707779502057893</v>
      </c>
    </row>
    <row r="5" spans="1:10">
      <c r="A5" s="510" t="s">
        <v>166</v>
      </c>
      <c r="B5" s="296" t="s">
        <v>188</v>
      </c>
      <c r="C5" s="484">
        <f>FuelBaskets!F25+FuelBaskets!H25</f>
        <v>1098013.4109999998</v>
      </c>
      <c r="D5" s="484">
        <f>FuelBaskets!G25</f>
        <v>382671.61500000005</v>
      </c>
      <c r="E5" s="484">
        <f>Fuel_prices_info!L66</f>
        <v>1032.7079930337932</v>
      </c>
      <c r="F5" s="513" cm="1">
        <f t="array" ref="F5">C5*E5/SUMPRODUCT($C$3:$C$8*$E$3:$E$8)</f>
        <v>0.69541003802725521</v>
      </c>
      <c r="G5" s="513" cm="1">
        <f t="array" ref="G5">D5*E5/SUMPRODUCT($D$5:$D$8*$E$5:$E$8)</f>
        <v>0.81542444948493131</v>
      </c>
      <c r="H5" s="484">
        <f>FuelBaskets!F10+FuelBaskets!H10</f>
        <v>973770.58674149262</v>
      </c>
      <c r="I5" s="484">
        <f>FuelBaskets!G10</f>
        <v>339371.41325850767</v>
      </c>
      <c r="J5" s="515">
        <f t="shared" si="0"/>
        <v>1.1275894198799516</v>
      </c>
    </row>
    <row r="6" spans="1:10">
      <c r="A6" s="511" t="s">
        <v>216</v>
      </c>
      <c r="B6" s="296" t="s">
        <v>188</v>
      </c>
      <c r="C6" s="296">
        <v>0</v>
      </c>
      <c r="D6" s="484">
        <f>FuelBaskets!L25</f>
        <v>83360.029137995749</v>
      </c>
      <c r="E6" s="484">
        <f>Fuel_prices_info!L63</f>
        <v>1015.2989063801895</v>
      </c>
      <c r="F6" s="513" cm="1">
        <f t="array" ref="F6">C6*E6/SUMPRODUCT($C$3:$C$8*$E$3:$E$8)</f>
        <v>0</v>
      </c>
      <c r="G6" s="513" cm="1">
        <f t="array" ref="G6">D6*E6/SUMPRODUCT($D$5:$D$8*$E$5:$E$8)</f>
        <v>0.17463517252183886</v>
      </c>
      <c r="H6" s="484">
        <v>0</v>
      </c>
      <c r="I6" s="484">
        <f>FuelBaskets!L10</f>
        <v>78668</v>
      </c>
      <c r="J6" s="515">
        <f t="shared" si="0"/>
        <v>1.059643427289314</v>
      </c>
    </row>
    <row r="7" spans="1:10">
      <c r="A7" s="512" t="s">
        <v>164</v>
      </c>
      <c r="B7" s="296" t="s">
        <v>188</v>
      </c>
      <c r="C7" s="484">
        <f>FuelBaskets!M25</f>
        <v>88745.430000000008</v>
      </c>
      <c r="D7" s="296">
        <v>0</v>
      </c>
      <c r="E7" s="484">
        <f>Fuel_prices_info!L64</f>
        <v>845.57386364253443</v>
      </c>
      <c r="F7" s="513" cm="1">
        <f t="array" ref="F7">C7*E7/SUMPRODUCT($C$3:$C$8*$E$3:$E$8)</f>
        <v>4.6020710676254593E-2</v>
      </c>
      <c r="G7" s="513" cm="1">
        <f t="array" ref="G7">D7*E7/SUMPRODUCT($D$5:$D$8*$E$5:$E$8)</f>
        <v>0</v>
      </c>
      <c r="H7" s="484">
        <f>Fuel_Simplified!N8</f>
        <v>83750.276474625731</v>
      </c>
      <c r="I7" s="484">
        <v>0</v>
      </c>
      <c r="J7" s="515">
        <f t="shared" si="0"/>
        <v>1.0596434272893138</v>
      </c>
    </row>
    <row r="8" spans="1:10">
      <c r="A8" s="657" t="s">
        <v>217</v>
      </c>
      <c r="B8" s="365" t="s">
        <v>188</v>
      </c>
      <c r="C8" s="658">
        <f>FuelBaskets!O25</f>
        <v>397839.90300000005</v>
      </c>
      <c r="D8" s="658">
        <f>FuelBaskets!P25</f>
        <v>4565</v>
      </c>
      <c r="E8" s="658">
        <f>Fuel_prices_info!L62</f>
        <v>1055.3151574036956</v>
      </c>
      <c r="F8" s="659" cm="1">
        <f t="array" ref="F8">C8*E8/SUMPRODUCT($C$3:$C$8*$E$3:$E$8)</f>
        <v>0.25748165299165937</v>
      </c>
      <c r="G8" s="659" cm="1">
        <f t="array" ref="G8">D8*E8/SUMPRODUCT($D$5:$D$8*$E$5:$E$8)</f>
        <v>9.9403779932298528E-3</v>
      </c>
      <c r="H8" s="658">
        <f>FuelBaskets!O10</f>
        <v>271195.18042308994</v>
      </c>
      <c r="I8" s="658">
        <f>FuelBaskets!P10</f>
        <v>3111.8195769100748</v>
      </c>
      <c r="J8" s="660">
        <f t="shared" si="0"/>
        <v>1.4669873645222327</v>
      </c>
    </row>
    <row r="9" spans="1:10">
      <c r="A9" s="1" t="s">
        <v>263</v>
      </c>
      <c r="J9" s="515">
        <f>SUMPRODUCT(J5:J8,G5:G8)</f>
        <v>1.1190974036015877</v>
      </c>
    </row>
    <row r="10" spans="1:10" ht="15" thickBot="1">
      <c r="A10" s="197" t="s">
        <v>264</v>
      </c>
      <c r="B10" s="197"/>
      <c r="C10" s="197"/>
      <c r="D10" s="197"/>
      <c r="E10" s="197"/>
      <c r="F10" s="197"/>
      <c r="G10" s="197"/>
      <c r="H10" s="197"/>
      <c r="I10" s="197"/>
      <c r="J10" s="519">
        <f>SUMPRODUCT(J3:J8,F3:F8)</f>
        <v>1.2117894527636806</v>
      </c>
    </row>
    <row r="11" spans="1:10" ht="15" thickTop="1"/>
    <row r="12" spans="1:10">
      <c r="A12" s="190"/>
    </row>
    <row r="13" spans="1:10">
      <c r="A13" s="191"/>
    </row>
    <row r="14" spans="1:10">
      <c r="A14" s="191"/>
    </row>
    <row r="15" spans="1:10">
      <c r="A15" s="191"/>
      <c r="G15" s="190"/>
    </row>
    <row r="16" spans="1:10">
      <c r="A16" s="191"/>
      <c r="G16" s="191"/>
    </row>
    <row r="17" spans="1:7">
      <c r="A17" s="191"/>
      <c r="G17" s="190"/>
    </row>
    <row r="18" spans="1:7">
      <c r="A18" s="191"/>
      <c r="G18" s="11"/>
    </row>
    <row r="19" spans="1:7">
      <c r="A19" s="191"/>
      <c r="G19" s="11"/>
    </row>
    <row r="20" spans="1:7">
      <c r="A20" s="191"/>
      <c r="G20" s="11"/>
    </row>
    <row r="21" spans="1:7">
      <c r="A21" s="191"/>
      <c r="G21" s="11"/>
    </row>
    <row r="22" spans="1:7">
      <c r="A22" s="191"/>
      <c r="G22" s="11"/>
    </row>
    <row r="23" spans="1:7">
      <c r="G23" s="11"/>
    </row>
    <row r="26" spans="1:7">
      <c r="E26" s="516"/>
    </row>
  </sheetData>
  <mergeCells count="5">
    <mergeCell ref="C1:D1"/>
    <mergeCell ref="E1:E2"/>
    <mergeCell ref="F1:G1"/>
    <mergeCell ref="H1:I1"/>
    <mergeCell ref="J1:J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CD23D-6AD3-4F95-B805-D374436E3406}">
  <sheetPr codeName="Hoja8"/>
  <dimension ref="B2:Z88"/>
  <sheetViews>
    <sheetView zoomScale="85" zoomScaleNormal="85" workbookViewId="0">
      <selection activeCell="D21" sqref="D21"/>
    </sheetView>
  </sheetViews>
  <sheetFormatPr baseColWidth="10" defaultColWidth="9.109375" defaultRowHeight="14.4"/>
  <cols>
    <col min="1" max="1" width="3.88671875" style="4" customWidth="1"/>
    <col min="2" max="2" width="20.44140625" style="4" customWidth="1"/>
    <col min="3" max="4" width="17.44140625" style="4" customWidth="1"/>
    <col min="5" max="12" width="13.33203125" style="4" customWidth="1"/>
    <col min="13" max="14" width="12" style="4" bestFit="1" customWidth="1"/>
    <col min="15" max="15" width="9.109375" style="4"/>
    <col min="16" max="16" width="11" style="4" bestFit="1" customWidth="1"/>
    <col min="17" max="16384" width="9.109375" style="4"/>
  </cols>
  <sheetData>
    <row r="2" spans="2:26" ht="16.2" thickBot="1">
      <c r="B2" s="93" t="s">
        <v>265</v>
      </c>
      <c r="F2" s="5"/>
      <c r="G2" s="5"/>
      <c r="H2" s="5"/>
      <c r="I2" s="5"/>
      <c r="J2" s="5"/>
      <c r="K2" s="5"/>
      <c r="L2" s="5"/>
    </row>
    <row r="3" spans="2:26" s="98" customFormat="1" ht="62.25" customHeight="1" thickTop="1">
      <c r="B3" s="94"/>
      <c r="C3" s="95" t="s">
        <v>266</v>
      </c>
      <c r="D3" s="96" t="s">
        <v>267</v>
      </c>
      <c r="E3" s="95" t="s">
        <v>268</v>
      </c>
      <c r="F3" s="97" t="s">
        <v>269</v>
      </c>
      <c r="G3" s="8" t="s">
        <v>270</v>
      </c>
      <c r="H3" s="8" t="s">
        <v>271</v>
      </c>
      <c r="I3" s="8" t="s">
        <v>272</v>
      </c>
      <c r="J3" s="8" t="s">
        <v>273</v>
      </c>
      <c r="K3" s="8" t="s">
        <v>274</v>
      </c>
      <c r="L3" s="8" t="s">
        <v>275</v>
      </c>
    </row>
    <row r="4" spans="2:26" ht="42" customHeight="1" thickBot="1">
      <c r="B4" s="814" t="s">
        <v>276</v>
      </c>
      <c r="C4" s="814"/>
      <c r="D4" s="814"/>
      <c r="E4" s="814"/>
      <c r="F4" s="814"/>
      <c r="G4" s="814"/>
      <c r="H4" s="814"/>
      <c r="I4" s="814"/>
      <c r="J4" s="814"/>
      <c r="K4" s="814"/>
      <c r="L4" s="814"/>
    </row>
    <row r="5" spans="2:26" ht="15" thickTop="1">
      <c r="B5" s="4" t="s">
        <v>214</v>
      </c>
      <c r="C5" s="99">
        <v>478744</v>
      </c>
      <c r="D5" s="100">
        <v>1</v>
      </c>
      <c r="E5" s="12">
        <f t="shared" ref="E5:E10" si="0">+C5/D5/1000</f>
        <v>478.74400000000003</v>
      </c>
      <c r="F5" s="393">
        <f>4664/1000</f>
        <v>4.6639999999999997</v>
      </c>
      <c r="G5" s="393"/>
      <c r="H5" s="393">
        <f>122630/1000</f>
        <v>122.63</v>
      </c>
      <c r="I5" s="393">
        <v>32.479999999999997</v>
      </c>
      <c r="J5" s="393">
        <f>+(E5+SUM(F5:H5))*0</f>
        <v>0</v>
      </c>
      <c r="K5" s="393">
        <f>(210+110)/9</f>
        <v>35.555555555555557</v>
      </c>
      <c r="L5" s="13">
        <f t="shared" ref="L5:L10" si="1">+SUM(E5:H5,J5,K5)</f>
        <v>641.59355555555555</v>
      </c>
    </row>
    <row r="6" spans="2:26">
      <c r="B6" s="4" t="s">
        <v>162</v>
      </c>
      <c r="C6" s="99">
        <v>671547</v>
      </c>
      <c r="D6" s="100">
        <v>1.353</v>
      </c>
      <c r="E6" s="12">
        <f t="shared" si="0"/>
        <v>496.33924611973396</v>
      </c>
      <c r="F6" s="393">
        <f>44006/1000</f>
        <v>44.006</v>
      </c>
      <c r="G6" s="393">
        <f>216650/1000</f>
        <v>216.65</v>
      </c>
      <c r="H6" s="393">
        <f>69700/1000</f>
        <v>69.7</v>
      </c>
      <c r="I6" s="393">
        <f>20000/1000</f>
        <v>20</v>
      </c>
      <c r="J6" s="393">
        <f>+(E6+SUM(F6:H6))*0.18</f>
        <v>148.8051443015521</v>
      </c>
      <c r="K6" s="393">
        <f>14500/1000</f>
        <v>14.5</v>
      </c>
      <c r="L6" s="13">
        <f t="shared" si="1"/>
        <v>990.00039042128606</v>
      </c>
      <c r="W6" s="4" t="s">
        <v>251</v>
      </c>
      <c r="X6" s="4" t="s">
        <v>277</v>
      </c>
      <c r="Y6" s="4" t="s">
        <v>278</v>
      </c>
    </row>
    <row r="7" spans="2:26">
      <c r="B7" s="4" t="s">
        <v>163</v>
      </c>
      <c r="C7" s="99">
        <v>571787</v>
      </c>
      <c r="D7" s="100">
        <v>1.373</v>
      </c>
      <c r="E7" s="12">
        <f t="shared" si="0"/>
        <v>416.45083758193738</v>
      </c>
      <c r="F7" s="393">
        <f>42620/1000</f>
        <v>42.62</v>
      </c>
      <c r="G7" s="393">
        <f>198470/1000</f>
        <v>198.47</v>
      </c>
      <c r="H7" s="393">
        <f>69700/1000</f>
        <v>69.7</v>
      </c>
      <c r="I7" s="393">
        <f>20000/1000</f>
        <v>20</v>
      </c>
      <c r="J7" s="393">
        <f>+(E7+SUM(F7:H7))*0.18</f>
        <v>130.90335076474872</v>
      </c>
      <c r="K7" s="393">
        <f>14500/1000</f>
        <v>14.5</v>
      </c>
      <c r="L7" s="13">
        <f t="shared" si="1"/>
        <v>872.64418834668618</v>
      </c>
      <c r="W7" s="4">
        <v>9</v>
      </c>
      <c r="X7" s="4">
        <v>4287</v>
      </c>
      <c r="Y7" s="4">
        <f>X7/W7</f>
        <v>476.33333333333331</v>
      </c>
    </row>
    <row r="8" spans="2:26">
      <c r="B8" s="4" t="s">
        <v>164</v>
      </c>
      <c r="C8" s="99">
        <v>571787</v>
      </c>
      <c r="D8" s="100">
        <v>1.373</v>
      </c>
      <c r="E8" s="12">
        <f t="shared" si="0"/>
        <v>416.45083758193738</v>
      </c>
      <c r="F8" s="393">
        <f>42620/1000</f>
        <v>42.62</v>
      </c>
      <c r="G8" s="393">
        <f>38560/1000</f>
        <v>38.56</v>
      </c>
      <c r="H8" s="393">
        <f>100775/1000</f>
        <v>100.77500000000001</v>
      </c>
      <c r="I8" s="393">
        <f>20000/1000</f>
        <v>20</v>
      </c>
      <c r="J8" s="393">
        <f>+(E8+SUM(F8:H8))*0.18</f>
        <v>107.71305076474871</v>
      </c>
      <c r="K8" s="393">
        <f>14500/1000</f>
        <v>14.5</v>
      </c>
      <c r="L8" s="13">
        <f t="shared" si="1"/>
        <v>720.61888834668605</v>
      </c>
      <c r="W8" s="4">
        <v>6</v>
      </c>
      <c r="X8" s="4">
        <v>2885</v>
      </c>
      <c r="Y8" s="4">
        <f>X8/W8</f>
        <v>480.83333333333331</v>
      </c>
    </row>
    <row r="9" spans="2:26">
      <c r="B9" s="4" t="s">
        <v>165</v>
      </c>
      <c r="C9" s="99">
        <v>668769</v>
      </c>
      <c r="D9" s="100">
        <v>1.2350000000000001</v>
      </c>
      <c r="E9" s="12">
        <f t="shared" si="0"/>
        <v>541.51336032388667</v>
      </c>
      <c r="F9" s="393">
        <f>30507/1000</f>
        <v>30.507000000000001</v>
      </c>
      <c r="G9" s="393">
        <v>0</v>
      </c>
      <c r="H9" s="393">
        <f>69700/1000</f>
        <v>69.7</v>
      </c>
      <c r="I9" s="393">
        <f>20000/1000</f>
        <v>20</v>
      </c>
      <c r="J9" s="393">
        <f>+(E9+SUM(F9:H9))*0.18</f>
        <v>115.5096648582996</v>
      </c>
      <c r="K9" s="393">
        <f>14500/1000</f>
        <v>14.5</v>
      </c>
      <c r="L9" s="13">
        <f t="shared" si="1"/>
        <v>771.7300251821863</v>
      </c>
      <c r="W9" s="4">
        <v>2.7</v>
      </c>
      <c r="X9" s="4">
        <v>1304</v>
      </c>
      <c r="Y9" s="4">
        <f>X9/W9</f>
        <v>482.96296296296293</v>
      </c>
    </row>
    <row r="10" spans="2:26">
      <c r="B10" s="4" t="s">
        <v>166</v>
      </c>
      <c r="C10" s="99">
        <v>628357</v>
      </c>
      <c r="D10" s="100">
        <v>1.1599999999999999</v>
      </c>
      <c r="E10" s="108">
        <f t="shared" si="0"/>
        <v>541.68706896551737</v>
      </c>
      <c r="F10" s="412">
        <f>54410/1000</f>
        <v>54.41</v>
      </c>
      <c r="G10" s="412">
        <f>103950/1000</f>
        <v>103.95</v>
      </c>
      <c r="H10" s="412">
        <f>69700/1000</f>
        <v>69.7</v>
      </c>
      <c r="I10" s="412">
        <f>20000/1000</f>
        <v>20</v>
      </c>
      <c r="J10" s="412">
        <f>+(E10+SUM(F10:H10))*0.18</f>
        <v>138.55447241379312</v>
      </c>
      <c r="K10" s="412">
        <f>14500/1000</f>
        <v>14.5</v>
      </c>
      <c r="L10" s="13">
        <f t="shared" si="1"/>
        <v>922.80154137931049</v>
      </c>
      <c r="V10" s="4" t="s">
        <v>279</v>
      </c>
      <c r="W10" s="4">
        <f>W11*1000</f>
        <v>440767</v>
      </c>
    </row>
    <row r="11" spans="2:26" ht="25.5" customHeight="1">
      <c r="B11" s="815" t="s">
        <v>280</v>
      </c>
      <c r="C11" s="815"/>
      <c r="D11" s="815"/>
      <c r="E11" s="816"/>
      <c r="F11" s="816"/>
      <c r="G11" s="816"/>
      <c r="H11" s="816"/>
      <c r="I11" s="816"/>
      <c r="J11" s="816"/>
      <c r="K11" s="816"/>
      <c r="L11" s="815"/>
      <c r="V11" s="4" t="s">
        <v>281</v>
      </c>
      <c r="W11" s="4">
        <v>440.767</v>
      </c>
      <c r="X11" s="4">
        <v>9</v>
      </c>
      <c r="Y11" s="4">
        <v>6</v>
      </c>
      <c r="Z11" s="4">
        <v>2.7</v>
      </c>
    </row>
    <row r="12" spans="2:26">
      <c r="B12" s="4" t="s">
        <v>214</v>
      </c>
      <c r="E12" s="10">
        <f>313473/1000</f>
        <v>313.47300000000001</v>
      </c>
      <c r="F12" s="393">
        <f>4664/1000</f>
        <v>4.6639999999999997</v>
      </c>
      <c r="G12" s="393"/>
      <c r="H12" s="393">
        <f>122630/1000</f>
        <v>122.63</v>
      </c>
      <c r="I12" s="393">
        <v>32.479999999999997</v>
      </c>
      <c r="J12" s="393">
        <f>+(E12+SUM(F12:H12))*0</f>
        <v>0</v>
      </c>
      <c r="K12" s="393">
        <f>(210+110)/9</f>
        <v>35.555555555555557</v>
      </c>
      <c r="L12" s="13">
        <f t="shared" ref="L12:L17" si="2">+SUM(E12:H12,J12,K12)</f>
        <v>476.32255555555554</v>
      </c>
      <c r="M12" s="13"/>
      <c r="W12" s="4" t="s">
        <v>282</v>
      </c>
      <c r="X12" s="4">
        <f>$W$11*X11</f>
        <v>3966.9029999999998</v>
      </c>
      <c r="Y12" s="4">
        <f>$W$11*Y11</f>
        <v>2644.6019999999999</v>
      </c>
      <c r="Z12" s="4">
        <f>$W$11*Z11</f>
        <v>1190.0709000000002</v>
      </c>
    </row>
    <row r="13" spans="2:26">
      <c r="B13" s="4" t="s">
        <v>162</v>
      </c>
      <c r="E13" s="10">
        <v>411.59315254237055</v>
      </c>
      <c r="F13" s="393">
        <f>44006/1000</f>
        <v>44.006</v>
      </c>
      <c r="G13" s="393">
        <f>216650/1000</f>
        <v>216.65</v>
      </c>
      <c r="H13" s="393">
        <f>69700/1000</f>
        <v>69.7</v>
      </c>
      <c r="I13" s="393">
        <f>20000/1000</f>
        <v>20</v>
      </c>
      <c r="J13" s="393">
        <f>+(E13+SUM(F13:H13))*0.18</f>
        <v>133.55084745762667</v>
      </c>
      <c r="K13" s="393">
        <f>14500/1000</f>
        <v>14.5</v>
      </c>
      <c r="L13" s="101">
        <f t="shared" si="2"/>
        <v>889.99999999999727</v>
      </c>
      <c r="M13" s="13"/>
      <c r="W13" s="4" t="s">
        <v>283</v>
      </c>
      <c r="X13" s="4">
        <v>210</v>
      </c>
      <c r="Y13" s="4">
        <v>155</v>
      </c>
      <c r="Z13" s="4">
        <v>80</v>
      </c>
    </row>
    <row r="14" spans="2:26">
      <c r="B14" s="4" t="s">
        <v>163</v>
      </c>
      <c r="E14" s="10">
        <f>240481/1000</f>
        <v>240.48099999999999</v>
      </c>
      <c r="F14" s="393">
        <f>42620/1000</f>
        <v>42.62</v>
      </c>
      <c r="G14" s="393">
        <f>198470/1000</f>
        <v>198.47</v>
      </c>
      <c r="H14" s="393">
        <f>69700/1000</f>
        <v>69.7</v>
      </c>
      <c r="I14" s="393">
        <f>20000/1000</f>
        <v>20</v>
      </c>
      <c r="J14" s="393">
        <f>+(E14+SUM(F14:H14))*0.18</f>
        <v>99.228779999999986</v>
      </c>
      <c r="K14" s="393">
        <f>14500/1000</f>
        <v>14.5</v>
      </c>
      <c r="L14" s="13">
        <f t="shared" si="2"/>
        <v>664.9997800000001</v>
      </c>
      <c r="M14" s="13"/>
      <c r="W14" s="4" t="s">
        <v>284</v>
      </c>
      <c r="X14" s="4">
        <v>110</v>
      </c>
      <c r="Y14" s="4">
        <v>85</v>
      </c>
      <c r="Z14" s="4">
        <v>35</v>
      </c>
    </row>
    <row r="15" spans="2:26">
      <c r="B15" s="4" t="s">
        <v>164</v>
      </c>
      <c r="E15" s="10">
        <f>226943/1000</f>
        <v>226.94300000000001</v>
      </c>
      <c r="F15" s="393">
        <f>42620/1000</f>
        <v>42.62</v>
      </c>
      <c r="G15" s="393">
        <f>38560/1000</f>
        <v>38.56</v>
      </c>
      <c r="H15" s="393">
        <f>100775/1000</f>
        <v>100.77500000000001</v>
      </c>
      <c r="I15" s="393">
        <f>20000/1000</f>
        <v>20</v>
      </c>
      <c r="J15" s="393">
        <f>+(E15+SUM(F15:H15))*0.18</f>
        <v>73.601640000000003</v>
      </c>
      <c r="K15" s="393">
        <f>14500/1000</f>
        <v>14.5</v>
      </c>
      <c r="L15" s="13">
        <f t="shared" si="2"/>
        <v>496.99964</v>
      </c>
      <c r="M15" s="13"/>
      <c r="W15" s="4" t="s">
        <v>285</v>
      </c>
      <c r="X15" s="4">
        <f>+X12+X13+X14</f>
        <v>4286.9030000000002</v>
      </c>
      <c r="Y15" s="4">
        <f>+Y12+Y13+Y14</f>
        <v>2884.6019999999999</v>
      </c>
      <c r="Z15" s="4">
        <f>+Z12+Z13+Z14</f>
        <v>1305.0709000000002</v>
      </c>
    </row>
    <row r="16" spans="2:26">
      <c r="B16" s="4" t="s">
        <v>165</v>
      </c>
      <c r="E16" s="10">
        <f>234962/1000</f>
        <v>234.96199999999999</v>
      </c>
      <c r="F16" s="393">
        <f>30507/1000</f>
        <v>30.507000000000001</v>
      </c>
      <c r="G16" s="393">
        <v>0</v>
      </c>
      <c r="H16" s="393">
        <f>69700/1000</f>
        <v>69.7</v>
      </c>
      <c r="I16" s="393">
        <f>20000/1000</f>
        <v>20</v>
      </c>
      <c r="J16" s="393">
        <f>+(E16+SUM(F16:H16))*0.18</f>
        <v>60.330419999999997</v>
      </c>
      <c r="K16" s="393">
        <f>14500/1000</f>
        <v>14.5</v>
      </c>
      <c r="L16" s="13">
        <f t="shared" si="2"/>
        <v>409.99941999999999</v>
      </c>
      <c r="M16" s="13"/>
    </row>
    <row r="17" spans="2:13">
      <c r="B17" s="4" t="s">
        <v>166</v>
      </c>
      <c r="E17" s="413">
        <v>314.73661016948972</v>
      </c>
      <c r="F17" s="412">
        <f>54410/1000</f>
        <v>54.41</v>
      </c>
      <c r="G17" s="412">
        <f>103950/1000</f>
        <v>103.95</v>
      </c>
      <c r="H17" s="412">
        <f>69700/1000</f>
        <v>69.7</v>
      </c>
      <c r="I17" s="412">
        <f>20000/1000</f>
        <v>20</v>
      </c>
      <c r="J17" s="412">
        <f>+(E17+SUM(F17:H17))*0.18</f>
        <v>97.703389830508144</v>
      </c>
      <c r="K17" s="412">
        <f>14500/1000</f>
        <v>14.5</v>
      </c>
      <c r="L17" s="101">
        <f t="shared" si="2"/>
        <v>654.99999999999784</v>
      </c>
      <c r="M17" s="13"/>
    </row>
    <row r="18" spans="2:13" ht="25.5" customHeight="1">
      <c r="B18" s="815" t="s">
        <v>286</v>
      </c>
      <c r="C18" s="815"/>
      <c r="D18" s="815"/>
      <c r="E18" s="816"/>
      <c r="F18" s="816"/>
      <c r="G18" s="816"/>
      <c r="H18" s="816"/>
      <c r="I18" s="816"/>
      <c r="J18" s="816"/>
      <c r="K18" s="816"/>
      <c r="L18" s="815"/>
    </row>
    <row r="19" spans="2:13">
      <c r="B19" s="4" t="s">
        <v>214</v>
      </c>
      <c r="E19" s="10">
        <f>313473/1000</f>
        <v>313.47300000000001</v>
      </c>
      <c r="F19" s="393">
        <f>4664/1000</f>
        <v>4.6639999999999997</v>
      </c>
      <c r="G19" s="393"/>
      <c r="H19" s="393">
        <f>122630/1000</f>
        <v>122.63</v>
      </c>
      <c r="I19" s="393">
        <v>32.479999999999997</v>
      </c>
      <c r="J19" s="393">
        <f>+(E19+SUM(F19:H19))*0</f>
        <v>0</v>
      </c>
      <c r="K19" s="393">
        <f>(210+110)/9</f>
        <v>35.555555555555557</v>
      </c>
      <c r="L19" s="393">
        <f t="shared" ref="L19:L24" si="3">+SUM(E19:H19,J19,K19)</f>
        <v>476.32255555555554</v>
      </c>
    </row>
    <row r="20" spans="2:13">
      <c r="B20" s="4" t="s">
        <v>162</v>
      </c>
      <c r="E20" s="10">
        <f>496339/1000</f>
        <v>496.339</v>
      </c>
      <c r="F20" s="393">
        <f>44006/1000</f>
        <v>44.006</v>
      </c>
      <c r="G20" s="393">
        <f>216650/1000</f>
        <v>216.65</v>
      </c>
      <c r="H20" s="393">
        <f>69700/1000</f>
        <v>69.7</v>
      </c>
      <c r="I20" s="393">
        <f>20000/1000</f>
        <v>20</v>
      </c>
      <c r="J20" s="393">
        <f>+(E20+SUM(F20:H20))*0.18</f>
        <v>148.80509999999998</v>
      </c>
      <c r="K20" s="393">
        <f>14500/1000</f>
        <v>14.5</v>
      </c>
      <c r="L20" s="394">
        <f t="shared" si="3"/>
        <v>990.00009999999997</v>
      </c>
    </row>
    <row r="21" spans="2:13">
      <c r="B21" s="4" t="s">
        <v>163</v>
      </c>
      <c r="E21" s="10">
        <f>240481/1000</f>
        <v>240.48099999999999</v>
      </c>
      <c r="F21" s="393">
        <f>42620/1000</f>
        <v>42.62</v>
      </c>
      <c r="G21" s="393">
        <f>198470/1000</f>
        <v>198.47</v>
      </c>
      <c r="H21" s="393">
        <f>69700/1000</f>
        <v>69.7</v>
      </c>
      <c r="I21" s="393">
        <f>20000/1000</f>
        <v>20</v>
      </c>
      <c r="J21" s="393">
        <f>+(E21+SUM(F21:H21))*0.18</f>
        <v>99.228779999999986</v>
      </c>
      <c r="K21" s="393">
        <f>14500/1000</f>
        <v>14.5</v>
      </c>
      <c r="L21" s="393">
        <f t="shared" si="3"/>
        <v>664.9997800000001</v>
      </c>
    </row>
    <row r="22" spans="2:13">
      <c r="B22" s="4" t="s">
        <v>164</v>
      </c>
      <c r="E22" s="10">
        <f>226943/1000</f>
        <v>226.94300000000001</v>
      </c>
      <c r="F22" s="393">
        <f>42620/1000</f>
        <v>42.62</v>
      </c>
      <c r="G22" s="393">
        <f>38560/1000</f>
        <v>38.56</v>
      </c>
      <c r="H22" s="393">
        <f>100775/1000</f>
        <v>100.77500000000001</v>
      </c>
      <c r="I22" s="393">
        <f>20000/1000</f>
        <v>20</v>
      </c>
      <c r="J22" s="393">
        <f>+(E22+SUM(F22:H22))*0.18</f>
        <v>73.601640000000003</v>
      </c>
      <c r="K22" s="393">
        <f>14500/1000</f>
        <v>14.5</v>
      </c>
      <c r="L22" s="393">
        <f t="shared" si="3"/>
        <v>496.99964</v>
      </c>
    </row>
    <row r="23" spans="2:13">
      <c r="B23" s="4" t="s">
        <v>165</v>
      </c>
      <c r="E23" s="10">
        <f>234962/1000</f>
        <v>234.96199999999999</v>
      </c>
      <c r="F23" s="393">
        <f>30507/1000</f>
        <v>30.507000000000001</v>
      </c>
      <c r="G23" s="393">
        <v>0</v>
      </c>
      <c r="H23" s="393">
        <f>69700/1000</f>
        <v>69.7</v>
      </c>
      <c r="I23" s="393">
        <f>20000/1000</f>
        <v>20</v>
      </c>
      <c r="J23" s="393">
        <f>+(E23+SUM(F23:H23))*0.18</f>
        <v>60.330419999999997</v>
      </c>
      <c r="K23" s="393">
        <f>14500/1000</f>
        <v>14.5</v>
      </c>
      <c r="L23" s="393">
        <f t="shared" si="3"/>
        <v>409.99941999999999</v>
      </c>
    </row>
    <row r="24" spans="2:13" ht="15" thickBot="1">
      <c r="B24" s="5" t="s">
        <v>166</v>
      </c>
      <c r="C24" s="5"/>
      <c r="D24" s="5"/>
      <c r="E24" s="16">
        <f>399482/1000</f>
        <v>399.48200000000003</v>
      </c>
      <c r="F24" s="395">
        <f>54410/1000</f>
        <v>54.41</v>
      </c>
      <c r="G24" s="395">
        <f>103950/1000</f>
        <v>103.95</v>
      </c>
      <c r="H24" s="395">
        <f>69700/1000</f>
        <v>69.7</v>
      </c>
      <c r="I24" s="395">
        <f>20000/1000</f>
        <v>20</v>
      </c>
      <c r="J24" s="395">
        <f>+(E24+SUM(F24:H24))*0.18</f>
        <v>112.95756</v>
      </c>
      <c r="K24" s="395">
        <f>14500/1000</f>
        <v>14.5</v>
      </c>
      <c r="L24" s="396">
        <f t="shared" si="3"/>
        <v>754.9995600000002</v>
      </c>
    </row>
    <row r="25" spans="2:13" ht="15" thickTop="1">
      <c r="E25" s="102"/>
    </row>
    <row r="26" spans="2:13">
      <c r="B26" s="4" t="s">
        <v>287</v>
      </c>
      <c r="G26" s="4" t="s">
        <v>288</v>
      </c>
    </row>
    <row r="27" spans="2:13">
      <c r="B27" s="107" t="s">
        <v>289</v>
      </c>
    </row>
    <row r="29" spans="2:13">
      <c r="B29" s="4" t="s">
        <v>290</v>
      </c>
    </row>
    <row r="30" spans="2:13">
      <c r="B30" s="4" t="s">
        <v>291</v>
      </c>
    </row>
    <row r="31" spans="2:13">
      <c r="B31" s="4" t="s">
        <v>292</v>
      </c>
    </row>
    <row r="32" spans="2:13">
      <c r="B32" s="4" t="s">
        <v>293</v>
      </c>
    </row>
    <row r="33" spans="2:18">
      <c r="B33" s="4" t="s">
        <v>294</v>
      </c>
    </row>
    <row r="37" spans="2:18" ht="16.2" thickBot="1">
      <c r="B37" s="93" t="s">
        <v>295</v>
      </c>
      <c r="D37" s="4" t="s">
        <v>296</v>
      </c>
      <c r="F37" s="5"/>
      <c r="G37" s="5"/>
      <c r="H37" s="5"/>
      <c r="I37" s="5"/>
      <c r="J37" s="5"/>
      <c r="K37" s="5"/>
      <c r="L37" s="5"/>
    </row>
    <row r="38" spans="2:18" ht="43.8" thickTop="1">
      <c r="B38" s="94"/>
      <c r="C38" s="95" t="s">
        <v>266</v>
      </c>
      <c r="D38" s="96" t="s">
        <v>267</v>
      </c>
      <c r="E38" s="95" t="s">
        <v>297</v>
      </c>
      <c r="F38" s="97" t="s">
        <v>269</v>
      </c>
      <c r="G38" s="8" t="s">
        <v>270</v>
      </c>
      <c r="H38" s="8" t="s">
        <v>271</v>
      </c>
      <c r="I38" s="8" t="s">
        <v>298</v>
      </c>
      <c r="J38" s="8" t="s">
        <v>273</v>
      </c>
      <c r="K38" s="8" t="s">
        <v>274</v>
      </c>
      <c r="L38" s="8" t="s">
        <v>275</v>
      </c>
    </row>
    <row r="39" spans="2:18" ht="15" thickBot="1">
      <c r="B39" s="814" t="s">
        <v>299</v>
      </c>
      <c r="C39" s="814"/>
      <c r="D39" s="814"/>
      <c r="E39" s="814"/>
      <c r="F39" s="814"/>
      <c r="G39" s="814"/>
      <c r="H39" s="814"/>
      <c r="I39" s="814"/>
      <c r="J39" s="814"/>
      <c r="K39" s="814"/>
      <c r="L39" s="814"/>
    </row>
    <row r="40" spans="2:18" ht="15" thickTop="1">
      <c r="B40" s="4" t="s">
        <v>214</v>
      </c>
      <c r="C40" s="99">
        <v>371064</v>
      </c>
      <c r="D40" s="100">
        <v>1</v>
      </c>
      <c r="E40" s="12">
        <f t="shared" ref="E40:E45" si="4">+C40/D40/1000</f>
        <v>371.06400000000002</v>
      </c>
      <c r="F40" s="13">
        <f>3611/1000</f>
        <v>3.6110000000000002</v>
      </c>
      <c r="G40" s="13"/>
      <c r="H40" s="13">
        <f>122630/1000</f>
        <v>122.63</v>
      </c>
      <c r="I40" s="13"/>
      <c r="J40" s="13">
        <f>+(E40+SUM(F40:H40))*0</f>
        <v>0</v>
      </c>
      <c r="K40" s="13">
        <f>(1000*0.21/9  + 1000*0.11/9)</f>
        <v>35.555555555555557</v>
      </c>
      <c r="L40" s="13">
        <f>+SUM(E40:H40,J40,K40)</f>
        <v>532.86055555555561</v>
      </c>
    </row>
    <row r="41" spans="2:18">
      <c r="B41" s="4" t="s">
        <v>162</v>
      </c>
      <c r="C41" s="99">
        <v>443185</v>
      </c>
      <c r="D41" s="100">
        <v>1.353</v>
      </c>
      <c r="E41" s="12">
        <f t="shared" si="4"/>
        <v>327.55728011825573</v>
      </c>
      <c r="F41" s="13">
        <f>30585/1000</f>
        <v>30.585000000000001</v>
      </c>
      <c r="G41" s="13">
        <f>216650/1000</f>
        <v>216.65</v>
      </c>
      <c r="H41" s="13">
        <f>69700/1000</f>
        <v>69.7</v>
      </c>
      <c r="I41" s="13">
        <f>20000/1000</f>
        <v>20</v>
      </c>
      <c r="J41" s="13">
        <f>+(E41+SUM(F41:H41))*0.18</f>
        <v>116.00861042128602</v>
      </c>
      <c r="K41" s="13">
        <f>14500/1000</f>
        <v>14.5</v>
      </c>
      <c r="L41" s="567">
        <f>+SUM(E41:H41,J41,K41)*715/775</f>
        <v>715.00082159454496</v>
      </c>
      <c r="M41" s="4" t="s">
        <v>300</v>
      </c>
      <c r="P41" s="4" t="s">
        <v>251</v>
      </c>
      <c r="Q41" s="4" t="s">
        <v>277</v>
      </c>
      <c r="R41" s="4" t="s">
        <v>278</v>
      </c>
    </row>
    <row r="42" spans="2:18">
      <c r="B42" s="4" t="s">
        <v>163</v>
      </c>
      <c r="C42" s="4">
        <v>415526</v>
      </c>
      <c r="D42" s="100">
        <v>1.373</v>
      </c>
      <c r="E42" s="12">
        <f t="shared" si="4"/>
        <v>302.64093226511289</v>
      </c>
      <c r="F42" s="13">
        <f>29425/1000</f>
        <v>29.425000000000001</v>
      </c>
      <c r="G42" s="13">
        <f>198470/1000</f>
        <v>198.47</v>
      </c>
      <c r="H42" s="13">
        <f>69700/1000</f>
        <v>69.7</v>
      </c>
      <c r="I42" s="13">
        <f>20000/1000</f>
        <v>20</v>
      </c>
      <c r="J42" s="13">
        <f>+(E42+SUM(F42:H42))*0.18</f>
        <v>108.04246780772033</v>
      </c>
      <c r="K42" s="13">
        <f>14500/1000</f>
        <v>14.5</v>
      </c>
      <c r="L42" s="13">
        <f>+SUM(E42:H42,J42,K42)</f>
        <v>722.77840007283328</v>
      </c>
      <c r="P42" s="4">
        <v>38</v>
      </c>
      <c r="Q42" s="4">
        <v>19000</v>
      </c>
      <c r="R42" s="4">
        <f>Q42/P42</f>
        <v>500</v>
      </c>
    </row>
    <row r="43" spans="2:18">
      <c r="B43" s="4" t="s">
        <v>164</v>
      </c>
      <c r="C43" s="99">
        <v>394931</v>
      </c>
      <c r="D43" s="100">
        <v>1.373</v>
      </c>
      <c r="E43" s="12">
        <f t="shared" si="4"/>
        <v>287.64093226511289</v>
      </c>
      <c r="F43" s="13">
        <f>29425/1000</f>
        <v>29.425000000000001</v>
      </c>
      <c r="G43" s="13">
        <f>38560/1000</f>
        <v>38.56</v>
      </c>
      <c r="H43" s="13">
        <f>100775/1000</f>
        <v>100.77500000000001</v>
      </c>
      <c r="I43" s="13">
        <f>20000/1000</f>
        <v>20</v>
      </c>
      <c r="J43" s="13">
        <f>+(E43+SUM(F43:H43))*0.18</f>
        <v>82.152167807720318</v>
      </c>
      <c r="K43" s="13">
        <f>14500/1000</f>
        <v>14.5</v>
      </c>
      <c r="L43" s="13">
        <f>+SUM(E43:H43,J43,K43)</f>
        <v>553.05310007283322</v>
      </c>
      <c r="P43" s="4">
        <v>12.5</v>
      </c>
      <c r="Q43" s="4">
        <v>6250</v>
      </c>
      <c r="R43" s="4">
        <f>Q43/P43</f>
        <v>500</v>
      </c>
    </row>
    <row r="44" spans="2:18">
      <c r="B44" s="4" t="s">
        <v>165</v>
      </c>
      <c r="C44" s="99">
        <v>412480</v>
      </c>
      <c r="D44" s="100">
        <v>1.2350000000000001</v>
      </c>
      <c r="E44" s="12">
        <f t="shared" si="4"/>
        <v>333.9919028340081</v>
      </c>
      <c r="F44" s="13">
        <f>18735/1000</f>
        <v>18.734999999999999</v>
      </c>
      <c r="G44" s="13">
        <v>0</v>
      </c>
      <c r="H44" s="13">
        <f>69700/1000</f>
        <v>69.7</v>
      </c>
      <c r="I44" s="13">
        <f>20000/1000</f>
        <v>20</v>
      </c>
      <c r="J44" s="13">
        <f>+(E44+SUM(F44:H44))*0.18</f>
        <v>76.03684251012146</v>
      </c>
      <c r="K44" s="13">
        <f>14500/1000</f>
        <v>14.5</v>
      </c>
      <c r="L44" s="13">
        <f>+SUM(E44:H44,J44,K44)</f>
        <v>512.96374534412962</v>
      </c>
      <c r="P44" s="4">
        <v>9</v>
      </c>
      <c r="Q44" s="4">
        <v>4285</v>
      </c>
      <c r="R44" s="4">
        <f>Q44/P44</f>
        <v>476.11111111111109</v>
      </c>
    </row>
    <row r="45" spans="2:18">
      <c r="B45" s="4" t="s">
        <v>166</v>
      </c>
      <c r="C45" s="99">
        <v>408255</v>
      </c>
      <c r="D45" s="100">
        <v>1.1599999999999999</v>
      </c>
      <c r="E45" s="12">
        <f t="shared" si="4"/>
        <v>351.94396551724139</v>
      </c>
      <c r="F45" s="13">
        <f>34188/1000</f>
        <v>34.188000000000002</v>
      </c>
      <c r="G45" s="13">
        <f>103950/1000</f>
        <v>103.95</v>
      </c>
      <c r="H45" s="13">
        <f>69700/1000</f>
        <v>69.7</v>
      </c>
      <c r="I45" s="13">
        <f>20000/1000</f>
        <v>20</v>
      </c>
      <c r="J45" s="13">
        <f>+(E45+SUM(F45:H45))*0.18</f>
        <v>100.76075379310345</v>
      </c>
      <c r="K45" s="13">
        <f>14500/1000</f>
        <v>14.5</v>
      </c>
      <c r="L45" s="567">
        <f>+SUM(E45:H45,J45,K45)*610/655</f>
        <v>628.66573859436699</v>
      </c>
      <c r="M45" s="4" t="s">
        <v>300</v>
      </c>
      <c r="P45" s="4">
        <v>6</v>
      </c>
      <c r="Q45" s="4">
        <v>2885</v>
      </c>
      <c r="R45" s="4">
        <f>Q45/P45</f>
        <v>480.83333333333331</v>
      </c>
    </row>
    <row r="46" spans="2:18">
      <c r="B46" s="815" t="s">
        <v>301</v>
      </c>
      <c r="C46" s="815"/>
      <c r="D46" s="815"/>
      <c r="E46" s="815"/>
      <c r="F46" s="815"/>
      <c r="G46" s="815"/>
      <c r="H46" s="815"/>
      <c r="I46" s="815"/>
      <c r="J46" s="815"/>
      <c r="K46" s="815"/>
      <c r="L46" s="815"/>
      <c r="P46" s="4">
        <v>2.7</v>
      </c>
      <c r="Q46" s="4">
        <v>1305</v>
      </c>
      <c r="R46" s="4">
        <f>Q46/P46</f>
        <v>483.33333333333331</v>
      </c>
    </row>
    <row r="47" spans="2:18">
      <c r="B47" s="4" t="s">
        <v>214</v>
      </c>
      <c r="E47" s="12">
        <f>314526/1000</f>
        <v>314.52600000000001</v>
      </c>
      <c r="F47" s="13">
        <v>3.6110000000000002</v>
      </c>
      <c r="G47" s="13"/>
      <c r="H47" s="13">
        <v>122.63</v>
      </c>
      <c r="I47" s="13"/>
      <c r="J47" s="13">
        <f>+(E47+SUM(F47:H47))*0</f>
        <v>0</v>
      </c>
      <c r="K47" s="13">
        <f>(1000*0.21/9  + 1000*0.11/9)</f>
        <v>35.555555555555557</v>
      </c>
      <c r="L47" s="13">
        <f>+SUM(E47:H47,J47,K47)</f>
        <v>476.32255555555554</v>
      </c>
    </row>
    <row r="48" spans="2:18">
      <c r="B48" s="4" t="s">
        <v>162</v>
      </c>
      <c r="E48" s="12">
        <f>327557/1000</f>
        <v>327.55700000000002</v>
      </c>
      <c r="F48" s="13">
        <v>30.585000000000001</v>
      </c>
      <c r="G48" s="13">
        <v>216.65</v>
      </c>
      <c r="H48" s="13">
        <v>69.7</v>
      </c>
      <c r="I48" s="13">
        <f>20000/1000</f>
        <v>20</v>
      </c>
      <c r="J48" s="13">
        <f>+(E48+SUM(F48:H48))*0.18</f>
        <v>116.00855999999999</v>
      </c>
      <c r="K48" s="13">
        <v>14.5</v>
      </c>
      <c r="L48" s="567">
        <f>0.75*695+0.25*SUM(E48:H48,J48,K48)</f>
        <v>715.00013999999999</v>
      </c>
      <c r="M48" s="4" t="s">
        <v>302</v>
      </c>
    </row>
    <row r="49" spans="2:13">
      <c r="B49" s="4" t="s">
        <v>163</v>
      </c>
      <c r="E49" s="12">
        <f>253676/1000</f>
        <v>253.67599999999999</v>
      </c>
      <c r="F49" s="13">
        <v>29.425000000000001</v>
      </c>
      <c r="G49" s="13">
        <v>198.47</v>
      </c>
      <c r="H49" s="13">
        <v>69.7</v>
      </c>
      <c r="I49" s="13">
        <f>20000/1000</f>
        <v>20</v>
      </c>
      <c r="J49" s="13">
        <f>+(E49+SUM(F49:H49))*0.18</f>
        <v>99.228779999999986</v>
      </c>
      <c r="K49" s="13">
        <v>14.5</v>
      </c>
      <c r="L49" s="13">
        <f>+SUM(E49:H49,J49,K49)</f>
        <v>664.9997800000001</v>
      </c>
    </row>
    <row r="50" spans="2:13">
      <c r="B50" s="4" t="s">
        <v>164</v>
      </c>
      <c r="E50" s="12">
        <f>240138/1000</f>
        <v>240.13800000000001</v>
      </c>
      <c r="F50" s="13">
        <v>29.425000000000001</v>
      </c>
      <c r="G50" s="13">
        <v>38.56</v>
      </c>
      <c r="H50" s="13">
        <v>100.77500000000001</v>
      </c>
      <c r="I50" s="13">
        <f>20000/1000</f>
        <v>20</v>
      </c>
      <c r="J50" s="13">
        <f>+(E50+SUM(F50:H50))*0.18</f>
        <v>73.601640000000003</v>
      </c>
      <c r="K50" s="13">
        <v>14.5</v>
      </c>
      <c r="L50" s="13">
        <f>+SUM(E50:H50,J50,K50)</f>
        <v>496.99964</v>
      </c>
    </row>
    <row r="51" spans="2:13">
      <c r="B51" s="4" t="s">
        <v>303</v>
      </c>
      <c r="E51" s="12">
        <f>246734/1000</f>
        <v>246.73400000000001</v>
      </c>
      <c r="F51" s="13">
        <v>18.734999999999999</v>
      </c>
      <c r="G51" s="13">
        <v>0</v>
      </c>
      <c r="H51" s="13">
        <v>69.7</v>
      </c>
      <c r="I51" s="13">
        <f>20000/1000</f>
        <v>20</v>
      </c>
      <c r="J51" s="13">
        <f>+(E51+SUM(F51:H51))*0.18</f>
        <v>60.330419999999997</v>
      </c>
      <c r="K51" s="13">
        <v>14.5</v>
      </c>
      <c r="L51" s="13">
        <f>+SUM(E51:H51,J51,K51)</f>
        <v>409.99941999999999</v>
      </c>
    </row>
    <row r="52" spans="2:13">
      <c r="B52" s="7" t="s">
        <v>166</v>
      </c>
      <c r="C52" s="7"/>
      <c r="D52" s="7"/>
      <c r="E52" s="108">
        <f>334959/1000</f>
        <v>334.959</v>
      </c>
      <c r="F52" s="109">
        <v>34.188000000000002</v>
      </c>
      <c r="G52" s="109">
        <v>103.95</v>
      </c>
      <c r="H52" s="109">
        <v>69.7</v>
      </c>
      <c r="I52" s="109">
        <f>20000/1000</f>
        <v>20</v>
      </c>
      <c r="J52" s="109">
        <f>+(E52+SUM(F52:H52))*0.18</f>
        <v>97.703460000000007</v>
      </c>
      <c r="K52" s="109">
        <v>14.5</v>
      </c>
      <c r="L52" s="566">
        <f>0.75*595+0.25*SUM(E52:H52,J52,K52)</f>
        <v>610.00011500000005</v>
      </c>
      <c r="M52" s="4" t="s">
        <v>302</v>
      </c>
    </row>
    <row r="53" spans="2:13">
      <c r="E53" s="102"/>
    </row>
    <row r="54" spans="2:13">
      <c r="B54" s="4" t="s">
        <v>304</v>
      </c>
    </row>
    <row r="55" spans="2:13">
      <c r="B55" s="107" t="s">
        <v>305</v>
      </c>
    </row>
    <row r="58" spans="2:13" ht="16.2" thickBot="1">
      <c r="B58" s="93" t="s">
        <v>306</v>
      </c>
      <c r="F58" s="5"/>
      <c r="G58" s="5"/>
      <c r="H58" s="5"/>
      <c r="I58" s="5"/>
      <c r="J58" s="5"/>
      <c r="K58" s="5"/>
      <c r="L58" s="5"/>
    </row>
    <row r="59" spans="2:13" ht="43.8" thickTop="1">
      <c r="B59" s="94"/>
      <c r="C59" s="95" t="s">
        <v>266</v>
      </c>
      <c r="D59" s="96" t="s">
        <v>267</v>
      </c>
      <c r="E59" s="95" t="s">
        <v>297</v>
      </c>
      <c r="F59" s="97" t="s">
        <v>269</v>
      </c>
      <c r="G59" s="8" t="s">
        <v>270</v>
      </c>
      <c r="H59" s="8" t="s">
        <v>271</v>
      </c>
      <c r="I59" s="8" t="s">
        <v>298</v>
      </c>
      <c r="J59" s="8" t="s">
        <v>273</v>
      </c>
      <c r="K59" s="8" t="s">
        <v>274</v>
      </c>
      <c r="L59" s="8" t="s">
        <v>275</v>
      </c>
    </row>
    <row r="60" spans="2:13" ht="15" customHeight="1" thickBot="1">
      <c r="B60" s="814" t="s">
        <v>307</v>
      </c>
      <c r="C60" s="814"/>
      <c r="D60" s="814"/>
      <c r="E60" s="814"/>
      <c r="F60" s="814"/>
      <c r="G60" s="814"/>
      <c r="H60" s="814"/>
      <c r="I60" s="814"/>
      <c r="J60" s="814"/>
      <c r="K60" s="814"/>
      <c r="L60" s="814"/>
      <c r="M60" s="4" t="s">
        <v>308</v>
      </c>
    </row>
    <row r="61" spans="2:13" ht="15" thickTop="1">
      <c r="B61" s="4" t="s">
        <v>214</v>
      </c>
      <c r="C61" s="99">
        <v>655877.13850000012</v>
      </c>
      <c r="D61" s="100">
        <v>1</v>
      </c>
      <c r="E61" s="12">
        <f t="shared" ref="E61:E66" si="5">+C61/D61/1000</f>
        <v>655.87713850000011</v>
      </c>
      <c r="F61" s="13">
        <f>6395/1000</f>
        <v>6.3949999999999996</v>
      </c>
      <c r="G61" s="13"/>
      <c r="H61" s="13">
        <f>122630/1000</f>
        <v>122.63</v>
      </c>
      <c r="I61" s="13"/>
      <c r="J61" s="13">
        <f>+(E61+SUM(F61:H61))*0</f>
        <v>0</v>
      </c>
      <c r="K61" s="13">
        <f>23.3+12</f>
        <v>35.299999999999997</v>
      </c>
      <c r="L61" s="13">
        <f t="shared" ref="L61:L66" si="6">+SUM(E61:H61,J61,K61)</f>
        <v>820.20213850000005</v>
      </c>
    </row>
    <row r="62" spans="2:13">
      <c r="B62" s="4" t="s">
        <v>162</v>
      </c>
      <c r="C62" s="99">
        <v>732465.14504000009</v>
      </c>
      <c r="D62" s="100">
        <v>1.353</v>
      </c>
      <c r="E62" s="12">
        <f t="shared" si="5"/>
        <v>541.36374356245392</v>
      </c>
      <c r="F62" s="13">
        <f>54333/1000</f>
        <v>54.332999999999998</v>
      </c>
      <c r="G62" s="13">
        <f>216650/1000</f>
        <v>216.65</v>
      </c>
      <c r="H62" s="13">
        <f>69700/1000</f>
        <v>69.7</v>
      </c>
      <c r="I62" s="13">
        <f>20000/1000</f>
        <v>20</v>
      </c>
      <c r="J62" s="13">
        <f>+(E62+SUM(F62:H62))*0.18</f>
        <v>158.76841384124171</v>
      </c>
      <c r="K62" s="13">
        <f>14500/1000</f>
        <v>14.5</v>
      </c>
      <c r="L62" s="13">
        <f t="shared" si="6"/>
        <v>1055.3151574036956</v>
      </c>
      <c r="M62" s="4">
        <v>1063</v>
      </c>
    </row>
    <row r="63" spans="2:13">
      <c r="B63" s="4" t="s">
        <v>163</v>
      </c>
      <c r="C63" s="99">
        <v>723771</v>
      </c>
      <c r="D63" s="100">
        <v>1.373</v>
      </c>
      <c r="E63" s="12">
        <f t="shared" si="5"/>
        <v>527.14566642388934</v>
      </c>
      <c r="F63" s="13">
        <f>52819/1000</f>
        <v>52.819000000000003</v>
      </c>
      <c r="G63" s="13">
        <f>198470/1000</f>
        <v>198.47</v>
      </c>
      <c r="H63" s="13">
        <f>69700/1000</f>
        <v>69.7</v>
      </c>
      <c r="I63" s="13">
        <f>20000/1000</f>
        <v>20</v>
      </c>
      <c r="J63" s="13">
        <f>+(E63+SUM(F63:H63))*0.18</f>
        <v>152.66423995630007</v>
      </c>
      <c r="K63" s="13">
        <f>14500/1000</f>
        <v>14.5</v>
      </c>
      <c r="L63" s="13">
        <f t="shared" si="6"/>
        <v>1015.2989063801895</v>
      </c>
    </row>
    <row r="64" spans="2:13">
      <c r="B64" s="4" t="s">
        <v>164</v>
      </c>
      <c r="C64" s="99">
        <v>703176.29934000003</v>
      </c>
      <c r="D64" s="100">
        <v>1.373</v>
      </c>
      <c r="E64" s="12">
        <f t="shared" si="5"/>
        <v>512.14588444282595</v>
      </c>
      <c r="F64" s="13">
        <f>52819/1000</f>
        <v>52.819000000000003</v>
      </c>
      <c r="G64" s="13">
        <f>38560/1000</f>
        <v>38.56</v>
      </c>
      <c r="H64" s="13">
        <f>100775/1000</f>
        <v>100.77500000000001</v>
      </c>
      <c r="I64" s="13">
        <f>20000/1000</f>
        <v>20</v>
      </c>
      <c r="J64" s="13">
        <f>+(E64+SUM(F64:H64))*0.18</f>
        <v>126.77397919970866</v>
      </c>
      <c r="K64" s="13">
        <f>14500/1000</f>
        <v>14.5</v>
      </c>
      <c r="L64" s="13">
        <f t="shared" si="6"/>
        <v>845.57386364253443</v>
      </c>
    </row>
    <row r="65" spans="2:13">
      <c r="B65" s="4" t="s">
        <v>165</v>
      </c>
      <c r="C65" s="99">
        <v>773385.09934000007</v>
      </c>
      <c r="D65" s="100">
        <v>1.2350000000000001</v>
      </c>
      <c r="E65" s="12">
        <f t="shared" si="5"/>
        <v>626.22275250202426</v>
      </c>
      <c r="F65" s="13">
        <f>35432/1000</f>
        <v>35.432000000000002</v>
      </c>
      <c r="G65" s="13">
        <v>0</v>
      </c>
      <c r="H65" s="13">
        <f>69700/1000</f>
        <v>69.7</v>
      </c>
      <c r="I65" s="13">
        <f>20000/1000</f>
        <v>20</v>
      </c>
      <c r="J65" s="13">
        <f>+(E65+SUM(F65:H65))*0.18</f>
        <v>131.64385545036436</v>
      </c>
      <c r="K65" s="13">
        <f>14500/1000</f>
        <v>14.5</v>
      </c>
      <c r="L65" s="13">
        <f t="shared" si="6"/>
        <v>877.49860795238874</v>
      </c>
    </row>
    <row r="66" spans="2:13">
      <c r="B66" s="4" t="s">
        <v>166</v>
      </c>
      <c r="C66" s="99">
        <v>726552.23043999996</v>
      </c>
      <c r="D66" s="100">
        <v>1.1599999999999999</v>
      </c>
      <c r="E66" s="12">
        <f t="shared" si="5"/>
        <v>626.33812968965515</v>
      </c>
      <c r="F66" s="13">
        <f>62900/1000</f>
        <v>62.9</v>
      </c>
      <c r="G66" s="13">
        <f>103950/1000</f>
        <v>103.95</v>
      </c>
      <c r="H66" s="13">
        <f>69700/1000</f>
        <v>69.7</v>
      </c>
      <c r="I66" s="13">
        <f>20000/1000</f>
        <v>20</v>
      </c>
      <c r="J66" s="13">
        <f>+(E66+SUM(F66:H66))*0.18</f>
        <v>155.31986334413793</v>
      </c>
      <c r="K66" s="13">
        <f>14500/1000</f>
        <v>14.5</v>
      </c>
      <c r="L66" s="13">
        <f t="shared" si="6"/>
        <v>1032.7079930337932</v>
      </c>
      <c r="M66" s="4">
        <v>1019</v>
      </c>
    </row>
    <row r="67" spans="2:13" ht="14.4" customHeight="1">
      <c r="B67" s="815" t="s">
        <v>280</v>
      </c>
      <c r="C67" s="815"/>
      <c r="D67" s="815"/>
      <c r="E67" s="815"/>
      <c r="F67" s="815"/>
      <c r="G67" s="815"/>
      <c r="H67" s="815"/>
      <c r="I67" s="815"/>
      <c r="J67" s="815"/>
      <c r="K67" s="815"/>
      <c r="L67" s="815"/>
    </row>
    <row r="68" spans="2:13">
      <c r="B68" s="4" t="s">
        <v>214</v>
      </c>
      <c r="E68" s="12">
        <f>311742/1000</f>
        <v>311.74200000000002</v>
      </c>
      <c r="F68" s="13">
        <f>6395/1000</f>
        <v>6.3949999999999996</v>
      </c>
      <c r="G68" s="13"/>
      <c r="H68" s="13">
        <f>122630/1000</f>
        <v>122.63</v>
      </c>
      <c r="I68" s="13"/>
      <c r="J68" s="13">
        <f>+(E68+SUM(F68:H68))*0</f>
        <v>0</v>
      </c>
      <c r="K68" s="13">
        <f>23.3+12</f>
        <v>35.299999999999997</v>
      </c>
      <c r="L68" s="13">
        <f t="shared" ref="L68:L73" si="7">+SUM(E68:H68,J68,K68)</f>
        <v>476.06700000000001</v>
      </c>
    </row>
    <row r="69" spans="2:13">
      <c r="B69" s="4" t="s">
        <v>162</v>
      </c>
      <c r="E69" s="12">
        <f>401300/1000</f>
        <v>401.3</v>
      </c>
      <c r="F69" s="13">
        <f>54333/1000</f>
        <v>54.332999999999998</v>
      </c>
      <c r="G69" s="13">
        <f>216650/1000</f>
        <v>216.65</v>
      </c>
      <c r="H69" s="13">
        <f>69700/1000</f>
        <v>69.7</v>
      </c>
      <c r="I69" s="13">
        <f>20000/1000</f>
        <v>20</v>
      </c>
      <c r="J69" s="13">
        <f>+(E69+SUM(F69:H69))*0.18</f>
        <v>133.55694</v>
      </c>
      <c r="K69" s="13">
        <f>14500/1000</f>
        <v>14.5</v>
      </c>
      <c r="L69" s="101">
        <f t="shared" si="7"/>
        <v>890.03994000000012</v>
      </c>
    </row>
    <row r="70" spans="2:13">
      <c r="B70" s="4" t="s">
        <v>163</v>
      </c>
      <c r="E70" s="12">
        <f>230282/1000</f>
        <v>230.28200000000001</v>
      </c>
      <c r="F70" s="13">
        <f>52819/1000</f>
        <v>52.819000000000003</v>
      </c>
      <c r="G70" s="13">
        <f>198470/1000</f>
        <v>198.47</v>
      </c>
      <c r="H70" s="13">
        <f>69700/1000</f>
        <v>69.7</v>
      </c>
      <c r="I70" s="13">
        <f>20000/1000</f>
        <v>20</v>
      </c>
      <c r="J70" s="13">
        <f>+(E70+SUM(F70:H70))*0.18</f>
        <v>99.228779999999986</v>
      </c>
      <c r="K70" s="13">
        <f>14500/1000</f>
        <v>14.5</v>
      </c>
      <c r="L70" s="13">
        <f t="shared" si="7"/>
        <v>664.9997800000001</v>
      </c>
    </row>
    <row r="71" spans="2:13">
      <c r="B71" s="4" t="s">
        <v>164</v>
      </c>
      <c r="E71" s="12">
        <f>216744/1000</f>
        <v>216.744</v>
      </c>
      <c r="F71" s="13">
        <f>52819/1000</f>
        <v>52.819000000000003</v>
      </c>
      <c r="G71" s="13">
        <f>38560/1000</f>
        <v>38.56</v>
      </c>
      <c r="H71" s="13">
        <f>100775/1000</f>
        <v>100.77500000000001</v>
      </c>
      <c r="I71" s="13">
        <f>20000/1000</f>
        <v>20</v>
      </c>
      <c r="J71" s="13">
        <f>+(E71+SUM(F71:H71))*0.18</f>
        <v>73.601640000000003</v>
      </c>
      <c r="K71" s="13">
        <f>14500/1000</f>
        <v>14.5</v>
      </c>
      <c r="L71" s="13">
        <f t="shared" si="7"/>
        <v>496.99964</v>
      </c>
    </row>
    <row r="72" spans="2:13">
      <c r="B72" s="4" t="s">
        <v>303</v>
      </c>
      <c r="E72" s="12">
        <f>230037/1000</f>
        <v>230.03700000000001</v>
      </c>
      <c r="F72" s="13">
        <f>35432/1000</f>
        <v>35.432000000000002</v>
      </c>
      <c r="G72" s="13">
        <v>0</v>
      </c>
      <c r="H72" s="13">
        <f>69700/1000</f>
        <v>69.7</v>
      </c>
      <c r="I72" s="13">
        <f>20000/1000</f>
        <v>20</v>
      </c>
      <c r="J72" s="13">
        <f>+(E72+SUM(F72:H72))*0.18</f>
        <v>60.330419999999997</v>
      </c>
      <c r="K72" s="13">
        <f>14500/1000</f>
        <v>14.5</v>
      </c>
      <c r="L72" s="13">
        <f t="shared" si="7"/>
        <v>409.99941999999999</v>
      </c>
    </row>
    <row r="73" spans="2:13">
      <c r="B73" s="4" t="s">
        <v>166</v>
      </c>
      <c r="E73" s="12">
        <f>306247/1000</f>
        <v>306.24700000000001</v>
      </c>
      <c r="F73" s="13">
        <f>62900/1000</f>
        <v>62.9</v>
      </c>
      <c r="G73" s="13">
        <f>103950/1000</f>
        <v>103.95</v>
      </c>
      <c r="H73" s="13">
        <f>69700/1000</f>
        <v>69.7</v>
      </c>
      <c r="I73" s="13">
        <f>20000/1000</f>
        <v>20</v>
      </c>
      <c r="J73" s="13">
        <f>+(E73+SUM(F73:H73))*0.18</f>
        <v>97.703460000000007</v>
      </c>
      <c r="K73" s="13">
        <f>14500/1000</f>
        <v>14.5</v>
      </c>
      <c r="L73" s="101">
        <f t="shared" si="7"/>
        <v>655.00045999999998</v>
      </c>
    </row>
    <row r="74" spans="2:13" ht="14.4" customHeight="1">
      <c r="B74" s="815" t="s">
        <v>286</v>
      </c>
      <c r="C74" s="815"/>
      <c r="D74" s="815"/>
      <c r="E74" s="815"/>
      <c r="F74" s="815"/>
      <c r="G74" s="815"/>
      <c r="H74" s="815"/>
      <c r="I74" s="815"/>
      <c r="J74" s="815"/>
      <c r="K74" s="815"/>
      <c r="L74" s="815"/>
    </row>
    <row r="75" spans="2:13">
      <c r="B75" s="4" t="s">
        <v>214</v>
      </c>
      <c r="E75" s="102">
        <f>311742/1000</f>
        <v>311.74200000000002</v>
      </c>
      <c r="F75" s="13">
        <f>6395/1000</f>
        <v>6.3949999999999996</v>
      </c>
      <c r="H75" s="4">
        <f>122630/1000</f>
        <v>122.63</v>
      </c>
      <c r="J75" s="4">
        <f>+(E75+SUM(F75:H75))*0</f>
        <v>0</v>
      </c>
      <c r="K75" s="4">
        <f>23.3+12</f>
        <v>35.299999999999997</v>
      </c>
      <c r="L75" s="13">
        <f t="shared" ref="L75:L80" si="8">+SUM(E75:H75,J75,K75)</f>
        <v>476.06700000000001</v>
      </c>
    </row>
    <row r="76" spans="2:13">
      <c r="B76" s="4" t="s">
        <v>162</v>
      </c>
      <c r="E76" s="102">
        <f>486000/1000</f>
        <v>486</v>
      </c>
      <c r="F76" s="103">
        <f>54333/1000</f>
        <v>54.332999999999998</v>
      </c>
      <c r="G76" s="103">
        <f>216650/1000</f>
        <v>216.65</v>
      </c>
      <c r="H76" s="103">
        <f>69700/1000</f>
        <v>69.7</v>
      </c>
      <c r="I76" s="103">
        <f>20000/1000</f>
        <v>20</v>
      </c>
      <c r="J76" s="4">
        <f>+(E76+SUM(F76:H76))*0.18</f>
        <v>148.80294000000001</v>
      </c>
      <c r="K76" s="4">
        <f>14500/1000</f>
        <v>14.5</v>
      </c>
      <c r="L76" s="101">
        <f t="shared" si="8"/>
        <v>989.98594000000003</v>
      </c>
    </row>
    <row r="77" spans="2:13">
      <c r="B77" s="4" t="s">
        <v>163</v>
      </c>
      <c r="E77" s="102">
        <f>230282/1000</f>
        <v>230.28200000000001</v>
      </c>
      <c r="F77" s="103">
        <f>52819/1000</f>
        <v>52.819000000000003</v>
      </c>
      <c r="G77" s="103">
        <f>198470/1000</f>
        <v>198.47</v>
      </c>
      <c r="H77" s="103">
        <f>69700/1000</f>
        <v>69.7</v>
      </c>
      <c r="I77" s="103">
        <f>20000/1000</f>
        <v>20</v>
      </c>
      <c r="J77" s="4">
        <f>+(E77+SUM(F77:H77))*0.18</f>
        <v>99.228779999999986</v>
      </c>
      <c r="K77" s="4">
        <f>14500/1000</f>
        <v>14.5</v>
      </c>
      <c r="L77" s="13">
        <f t="shared" si="8"/>
        <v>664.9997800000001</v>
      </c>
    </row>
    <row r="78" spans="2:13">
      <c r="B78" s="4" t="s">
        <v>164</v>
      </c>
      <c r="E78" s="102">
        <f>216744/1000</f>
        <v>216.744</v>
      </c>
      <c r="F78" s="103">
        <f>52819/1000</f>
        <v>52.819000000000003</v>
      </c>
      <c r="G78" s="103">
        <f>38560/1000</f>
        <v>38.56</v>
      </c>
      <c r="H78" s="103">
        <f>100775/1000</f>
        <v>100.77500000000001</v>
      </c>
      <c r="I78" s="103">
        <f>20000/1000</f>
        <v>20</v>
      </c>
      <c r="J78" s="4">
        <f>+(E78+SUM(F78:H78))*0.18</f>
        <v>73.601640000000003</v>
      </c>
      <c r="K78" s="4">
        <f>14500/1000</f>
        <v>14.5</v>
      </c>
      <c r="L78" s="13">
        <f t="shared" si="8"/>
        <v>496.99964</v>
      </c>
    </row>
    <row r="79" spans="2:13">
      <c r="B79" s="4" t="s">
        <v>303</v>
      </c>
      <c r="E79" s="102">
        <f>230037/1000</f>
        <v>230.03700000000001</v>
      </c>
      <c r="F79" s="103">
        <f>35432/1000</f>
        <v>35.432000000000002</v>
      </c>
      <c r="G79" s="103">
        <v>0</v>
      </c>
      <c r="H79" s="103">
        <f>69700/1000</f>
        <v>69.7</v>
      </c>
      <c r="I79" s="103">
        <f>20000/1000</f>
        <v>20</v>
      </c>
      <c r="J79" s="4">
        <f>+(E79+SUM(F79:H79))*0.18</f>
        <v>60.330419999999997</v>
      </c>
      <c r="K79" s="4">
        <f>14500/1000</f>
        <v>14.5</v>
      </c>
      <c r="L79" s="13">
        <f t="shared" si="8"/>
        <v>409.99941999999999</v>
      </c>
    </row>
    <row r="80" spans="2:13" ht="15" thickBot="1">
      <c r="B80" s="5" t="s">
        <v>166</v>
      </c>
      <c r="C80" s="5"/>
      <c r="D80" s="5"/>
      <c r="E80" s="104">
        <f>391000/1000</f>
        <v>391</v>
      </c>
      <c r="F80" s="105">
        <f>62900/1000</f>
        <v>62.9</v>
      </c>
      <c r="G80" s="105">
        <f>103950/1000</f>
        <v>103.95</v>
      </c>
      <c r="H80" s="105">
        <f>69700/1000</f>
        <v>69.7</v>
      </c>
      <c r="I80" s="105">
        <f>20000/1000</f>
        <v>20</v>
      </c>
      <c r="J80" s="5">
        <f>+(E80+SUM(F80:H80))*0.18</f>
        <v>112.95899999999999</v>
      </c>
      <c r="K80" s="5">
        <f>14500/1000</f>
        <v>14.5</v>
      </c>
      <c r="L80" s="106">
        <f t="shared" si="8"/>
        <v>755.00900000000001</v>
      </c>
    </row>
    <row r="81" spans="2:5" ht="15" thickTop="1">
      <c r="E81" s="102"/>
    </row>
    <row r="82" spans="2:5">
      <c r="B82" s="4" t="s">
        <v>287</v>
      </c>
    </row>
    <row r="83" spans="2:5">
      <c r="B83" s="107" t="s">
        <v>289</v>
      </c>
    </row>
    <row r="85" spans="2:5">
      <c r="B85" s="4" t="s">
        <v>290</v>
      </c>
    </row>
    <row r="86" spans="2:5">
      <c r="B86" s="4" t="s">
        <v>291</v>
      </c>
    </row>
    <row r="87" spans="2:5">
      <c r="B87" s="4" t="s">
        <v>292</v>
      </c>
    </row>
    <row r="88" spans="2:5">
      <c r="B88" s="4" t="s">
        <v>293</v>
      </c>
    </row>
  </sheetData>
  <mergeCells count="8">
    <mergeCell ref="B60:L60"/>
    <mergeCell ref="B67:L67"/>
    <mergeCell ref="B74:L74"/>
    <mergeCell ref="B4:L4"/>
    <mergeCell ref="B11:L11"/>
    <mergeCell ref="B18:L18"/>
    <mergeCell ref="B39:L39"/>
    <mergeCell ref="B46:L46"/>
  </mergeCell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BBCB2-E71B-4F46-AE1D-67F86BB16356}">
  <sheetPr codeName="Hoja9"/>
  <dimension ref="B1:DU46"/>
  <sheetViews>
    <sheetView topLeftCell="A4" zoomScale="102" zoomScaleNormal="85" workbookViewId="0">
      <selection activeCell="O6" sqref="O6"/>
    </sheetView>
  </sheetViews>
  <sheetFormatPr baseColWidth="10" defaultColWidth="9.109375" defaultRowHeight="14.4"/>
  <cols>
    <col min="1" max="1" width="9.109375" style="86"/>
    <col min="2" max="2" width="20.88671875" style="86" customWidth="1"/>
    <col min="3" max="3" width="10.5546875" style="86" customWidth="1"/>
    <col min="4" max="4" width="10.6640625" style="86" customWidth="1"/>
    <col min="5" max="5" width="11.6640625" style="86" customWidth="1"/>
    <col min="6" max="6" width="2.109375" style="86" customWidth="1"/>
    <col min="7" max="7" width="11" style="86" customWidth="1"/>
    <col min="8" max="9" width="12.33203125" style="86" customWidth="1"/>
    <col min="10" max="10" width="2.44140625" style="86" customWidth="1"/>
    <col min="11" max="30" width="7.6640625" style="86" customWidth="1"/>
    <col min="31" max="31" width="9.6640625" style="86" bestFit="1" customWidth="1"/>
    <col min="32" max="32" width="8.33203125" style="86" customWidth="1"/>
    <col min="33" max="33" width="7.6640625" style="86" customWidth="1"/>
    <col min="34" max="34" width="14.109375" style="86" bestFit="1" customWidth="1"/>
    <col min="35" max="35" width="22.88671875" style="86" bestFit="1" customWidth="1"/>
    <col min="36" max="49" width="9.109375" style="86"/>
    <col min="50" max="50" width="9.109375" style="86" customWidth="1"/>
    <col min="51" max="54" width="7.6640625" style="86" customWidth="1"/>
    <col min="55" max="55" width="10.6640625" style="86" customWidth="1"/>
    <col min="56" max="57" width="7.6640625" style="86" customWidth="1"/>
    <col min="58" max="58" width="15.6640625" style="86" customWidth="1"/>
    <col min="59" max="59" width="10.88671875" style="86" customWidth="1"/>
    <col min="60" max="70" width="7.6640625" style="86" customWidth="1"/>
    <col min="71" max="71" width="15" style="86" customWidth="1"/>
    <col min="72" max="72" width="11.6640625" style="86" customWidth="1"/>
    <col min="73" max="74" width="7.6640625" style="86" customWidth="1"/>
    <col min="75" max="103" width="9.109375" style="86"/>
    <col min="104" max="107" width="7.6640625" style="86" customWidth="1"/>
    <col min="108" max="108" width="10.6640625" style="86" customWidth="1"/>
    <col min="109" max="110" width="7.6640625" style="86" customWidth="1"/>
    <col min="111" max="111" width="15.6640625" style="86" customWidth="1"/>
    <col min="112" max="112" width="10.88671875" style="86" customWidth="1"/>
    <col min="113" max="123" width="7.6640625" style="86" customWidth="1"/>
    <col min="124" max="124" width="15" style="86" customWidth="1"/>
    <col min="125" max="125" width="11.6640625" style="86" customWidth="1"/>
    <col min="126" max="127" width="7.6640625" style="86" customWidth="1"/>
    <col min="128" max="16384" width="9.109375" style="86"/>
  </cols>
  <sheetData>
    <row r="1" spans="2:125">
      <c r="BF1" s="86" t="s">
        <v>309</v>
      </c>
      <c r="DG1" s="86" t="s">
        <v>309</v>
      </c>
    </row>
    <row r="2" spans="2:125">
      <c r="B2" s="86" t="s">
        <v>310</v>
      </c>
      <c r="E2" s="80"/>
      <c r="F2" s="80"/>
      <c r="G2" s="80"/>
      <c r="H2" s="80"/>
      <c r="I2" s="80"/>
      <c r="J2" s="110"/>
      <c r="K2" s="80"/>
      <c r="L2" s="80"/>
      <c r="M2" s="80"/>
      <c r="N2" s="80"/>
      <c r="O2" s="80"/>
      <c r="P2" s="80"/>
      <c r="Q2" s="80"/>
      <c r="R2" s="80"/>
      <c r="S2" s="80"/>
      <c r="T2" s="80"/>
      <c r="U2" s="80"/>
      <c r="V2" s="80"/>
      <c r="W2" s="80"/>
      <c r="X2" s="80"/>
      <c r="Y2" s="80"/>
      <c r="Z2" s="80"/>
      <c r="AA2" s="80"/>
      <c r="AB2" s="80"/>
      <c r="AC2" s="80"/>
      <c r="AD2" s="80"/>
      <c r="AE2" s="80"/>
      <c r="AF2" s="80"/>
      <c r="AG2" s="80"/>
      <c r="AH2" s="80"/>
      <c r="AI2" s="80"/>
      <c r="AY2" s="80"/>
      <c r="BA2" s="80" t="s">
        <v>311</v>
      </c>
      <c r="BB2" s="111"/>
      <c r="BJ2" s="80"/>
      <c r="CZ2" s="80"/>
      <c r="DB2" s="80" t="s">
        <v>311</v>
      </c>
      <c r="DC2" s="111"/>
      <c r="DK2" s="80"/>
    </row>
    <row r="3" spans="2:125">
      <c r="E3" s="80"/>
      <c r="F3" s="80"/>
      <c r="G3" s="80"/>
      <c r="H3" s="80"/>
      <c r="I3" s="80"/>
      <c r="J3" s="110"/>
      <c r="K3" s="80"/>
      <c r="L3" s="80"/>
      <c r="M3" s="80"/>
      <c r="N3" s="80"/>
      <c r="O3" s="80"/>
      <c r="P3" s="80"/>
      <c r="Q3" s="80"/>
      <c r="R3" s="80"/>
      <c r="S3" s="80"/>
      <c r="T3" s="80"/>
      <c r="U3" s="80"/>
      <c r="V3" s="80"/>
      <c r="W3" s="80"/>
      <c r="X3" s="80"/>
      <c r="Y3" s="80"/>
      <c r="Z3" s="80"/>
      <c r="AA3" s="80"/>
      <c r="AB3" s="80"/>
      <c r="AC3" s="80"/>
      <c r="AD3" s="80"/>
      <c r="AE3" s="80"/>
      <c r="AF3" s="80"/>
      <c r="AG3" s="80"/>
      <c r="AH3" s="80"/>
      <c r="AI3" s="80"/>
      <c r="AY3" s="80"/>
      <c r="BA3" s="80"/>
      <c r="BB3" s="111"/>
      <c r="BJ3" s="80"/>
      <c r="CZ3" s="80"/>
      <c r="DB3" s="80"/>
      <c r="DC3" s="111"/>
      <c r="DK3" s="80"/>
    </row>
    <row r="4" spans="2:125">
      <c r="B4" s="112"/>
      <c r="C4" s="112"/>
      <c r="D4" s="817" t="s">
        <v>312</v>
      </c>
      <c r="E4" s="817"/>
      <c r="F4" s="113"/>
      <c r="G4" s="817" t="s">
        <v>313</v>
      </c>
      <c r="H4" s="817"/>
      <c r="I4" s="817"/>
      <c r="J4" s="110"/>
      <c r="K4" s="114" t="s">
        <v>314</v>
      </c>
      <c r="L4" s="114"/>
      <c r="M4" s="80"/>
      <c r="N4" s="80"/>
      <c r="O4" s="80"/>
      <c r="P4" s="543"/>
      <c r="Q4" s="544" t="s">
        <v>315</v>
      </c>
      <c r="R4" s="544"/>
      <c r="S4" s="544"/>
      <c r="T4" s="545" t="s">
        <v>13</v>
      </c>
      <c r="U4" s="80"/>
      <c r="V4" s="80"/>
      <c r="W4" s="1" t="s">
        <v>316</v>
      </c>
      <c r="X4" s="1" t="s">
        <v>317</v>
      </c>
      <c r="Y4" s="1" t="s">
        <v>318</v>
      </c>
      <c r="Z4" s="1" t="s">
        <v>319</v>
      </c>
      <c r="AA4" s="295" t="s">
        <v>320</v>
      </c>
      <c r="AB4" s="1" t="s">
        <v>321</v>
      </c>
      <c r="AC4" s="1" t="s">
        <v>322</v>
      </c>
      <c r="AD4" s="1"/>
      <c r="AE4" s="295" t="s">
        <v>323</v>
      </c>
      <c r="AF4" s="1" t="s">
        <v>324</v>
      </c>
      <c r="AG4" s="1" t="s">
        <v>325</v>
      </c>
      <c r="AH4" s="371" t="s">
        <v>326</v>
      </c>
      <c r="AI4" s="1" t="s">
        <v>327</v>
      </c>
      <c r="AY4" s="80"/>
      <c r="BA4" s="80"/>
      <c r="BB4" s="111"/>
      <c r="BJ4" s="80"/>
      <c r="CZ4" s="80"/>
      <c r="DB4" s="80"/>
      <c r="DC4" s="111"/>
      <c r="DK4" s="80"/>
    </row>
    <row r="5" spans="2:125" ht="19.2" customHeight="1">
      <c r="B5" s="115"/>
      <c r="C5" s="116" t="s">
        <v>328</v>
      </c>
      <c r="D5" s="117">
        <v>2019</v>
      </c>
      <c r="E5" s="117">
        <v>2022</v>
      </c>
      <c r="F5" s="118"/>
      <c r="G5" s="117">
        <v>2019</v>
      </c>
      <c r="H5" s="117" t="s">
        <v>329</v>
      </c>
      <c r="I5" s="117" t="s">
        <v>330</v>
      </c>
      <c r="J5" s="119" t="s">
        <v>311</v>
      </c>
      <c r="K5" s="91">
        <v>2019</v>
      </c>
      <c r="L5" s="120">
        <v>2022</v>
      </c>
      <c r="M5" s="121"/>
      <c r="N5" s="121"/>
      <c r="O5" s="121"/>
      <c r="P5" s="546"/>
      <c r="Q5" s="547" t="s">
        <v>14</v>
      </c>
      <c r="R5" s="547" t="s">
        <v>331</v>
      </c>
      <c r="S5" s="547" t="s">
        <v>332</v>
      </c>
      <c r="T5" s="548"/>
      <c r="U5" s="121"/>
      <c r="V5" s="121"/>
      <c r="W5" s="1" t="s">
        <v>333</v>
      </c>
      <c r="X5" s="1" t="s">
        <v>334</v>
      </c>
      <c r="Y5" s="1">
        <v>158</v>
      </c>
      <c r="Z5" s="1">
        <v>139</v>
      </c>
      <c r="AA5" s="538">
        <v>150.6244515786473</v>
      </c>
      <c r="AB5" s="506">
        <v>1.2315805866370819</v>
      </c>
      <c r="AC5" s="506">
        <v>185.50615043711917</v>
      </c>
      <c r="AD5" s="506">
        <v>169.59445157864729</v>
      </c>
      <c r="AE5" s="538">
        <v>152267.0472</v>
      </c>
      <c r="AF5" s="506">
        <v>6.9060354089956602E-2</v>
      </c>
      <c r="AG5" s="506">
        <v>0.19614720188071588</v>
      </c>
      <c r="AH5" s="539">
        <v>152037</v>
      </c>
      <c r="AI5" s="506">
        <v>6.5922044473543287E-2</v>
      </c>
      <c r="AZ5" s="122"/>
      <c r="BA5" s="123" t="s">
        <v>335</v>
      </c>
      <c r="BB5" s="123" t="s">
        <v>336</v>
      </c>
      <c r="BC5" s="123" t="s">
        <v>337</v>
      </c>
      <c r="BD5" s="123" t="s">
        <v>338</v>
      </c>
      <c r="BE5" s="123" t="s">
        <v>339</v>
      </c>
      <c r="BF5" s="124" t="s">
        <v>340</v>
      </c>
      <c r="BG5" s="124" t="s">
        <v>341</v>
      </c>
      <c r="BH5" s="125" t="s">
        <v>342</v>
      </c>
      <c r="BI5" s="125" t="s">
        <v>343</v>
      </c>
      <c r="BJ5" s="125" t="s">
        <v>344</v>
      </c>
      <c r="BK5" s="125" t="s">
        <v>345</v>
      </c>
      <c r="BL5" s="125" t="s">
        <v>346</v>
      </c>
      <c r="BM5" s="86" t="s">
        <v>347</v>
      </c>
      <c r="DA5" s="122"/>
      <c r="DB5" s="123" t="s">
        <v>335</v>
      </c>
      <c r="DC5" s="123" t="s">
        <v>336</v>
      </c>
      <c r="DD5" s="123" t="s">
        <v>337</v>
      </c>
      <c r="DE5" s="123" t="s">
        <v>338</v>
      </c>
      <c r="DF5" s="123" t="s">
        <v>339</v>
      </c>
      <c r="DG5" s="124" t="s">
        <v>340</v>
      </c>
      <c r="DH5" s="124" t="s">
        <v>341</v>
      </c>
      <c r="DI5" s="125" t="s">
        <v>342</v>
      </c>
      <c r="DJ5" s="125" t="s">
        <v>343</v>
      </c>
      <c r="DK5" s="125" t="s">
        <v>344</v>
      </c>
      <c r="DL5" s="125" t="s">
        <v>345</v>
      </c>
      <c r="DM5" s="125" t="s">
        <v>346</v>
      </c>
      <c r="DN5" s="86" t="s">
        <v>347</v>
      </c>
    </row>
    <row r="6" spans="2:125">
      <c r="B6" s="86" t="s">
        <v>348</v>
      </c>
      <c r="C6" s="126">
        <v>738.726</v>
      </c>
      <c r="D6" s="127">
        <f>+BH6</f>
        <v>139.5</v>
      </c>
      <c r="E6" s="127">
        <f>+BI6</f>
        <v>158.4</v>
      </c>
      <c r="F6" s="128"/>
      <c r="G6" s="127">
        <v>137.24653370861282</v>
      </c>
      <c r="H6" s="129">
        <v>143.09020000000001</v>
      </c>
      <c r="I6" s="130">
        <f>+H6+18.97</f>
        <v>162.06020000000001</v>
      </c>
      <c r="K6" s="131"/>
      <c r="L6" s="86">
        <v>0.36229869999999997</v>
      </c>
      <c r="M6" s="132">
        <v>0.28551838488935438</v>
      </c>
      <c r="N6" s="133"/>
      <c r="O6" s="133"/>
      <c r="P6" s="549" t="s">
        <v>348</v>
      </c>
      <c r="Q6" s="550">
        <f>+SUMPRODUCT(AA5:AA10,AG5:AG10)</f>
        <v>148.99728315331177</v>
      </c>
      <c r="R6" s="550">
        <f>+SUMPRODUCT(AD5:AD10,AG5:AG10)</f>
        <v>167.96728315331174</v>
      </c>
      <c r="S6" s="550">
        <f>+SUMPRODUCT(AC5:AC10,AG5:AG10)</f>
        <v>186.54028184791611</v>
      </c>
      <c r="T6" s="550">
        <f>+SUMPRODUCT(Y5:Y10,AG5:AG10)</f>
        <v>158</v>
      </c>
      <c r="U6" s="133"/>
      <c r="V6" s="133"/>
      <c r="W6" s="1" t="s">
        <v>333</v>
      </c>
      <c r="X6" s="1" t="s">
        <v>349</v>
      </c>
      <c r="Y6" s="1">
        <v>158</v>
      </c>
      <c r="Z6" s="1">
        <v>139</v>
      </c>
      <c r="AA6" s="538">
        <v>162.39816116131519</v>
      </c>
      <c r="AB6" s="506">
        <v>1.2315334049164885</v>
      </c>
      <c r="AC6" s="506">
        <v>199.99876036717114</v>
      </c>
      <c r="AD6" s="506">
        <v>181.36816116131519</v>
      </c>
      <c r="AE6" s="538">
        <v>149902.872</v>
      </c>
      <c r="AF6" s="506">
        <v>6.7988088097773527E-2</v>
      </c>
      <c r="AG6" s="506">
        <v>0.19310172120211122</v>
      </c>
      <c r="AH6" s="539">
        <v>151260</v>
      </c>
      <c r="AI6" s="506">
        <v>6.5585143399752424E-2</v>
      </c>
      <c r="AY6" s="131"/>
      <c r="AZ6" s="112" t="s">
        <v>350</v>
      </c>
      <c r="BA6" s="134">
        <f>+SUM(BA7:BA11)</f>
        <v>738.726</v>
      </c>
      <c r="BB6" s="135">
        <f>SUM(BB7:BB11)</f>
        <v>71576.173799999873</v>
      </c>
      <c r="BC6" s="136">
        <f>SUM(BC7:BC11)</f>
        <v>10715705.726817988</v>
      </c>
      <c r="BD6" s="134">
        <f>+SUM(BD7:BD10)</f>
        <v>399.16700000000003</v>
      </c>
      <c r="BE6" s="86">
        <f>+SUM(BE7:BE11)</f>
        <v>111088.79</v>
      </c>
      <c r="BF6" s="137">
        <v>2270.1</v>
      </c>
      <c r="BG6" s="137">
        <v>2957.3</v>
      </c>
      <c r="BH6" s="138">
        <v>139.5</v>
      </c>
      <c r="BI6" s="139">
        <v>158.4</v>
      </c>
      <c r="BJ6" s="140">
        <f t="shared" ref="BJ6:BJ13" si="0">+BC6/BB6</f>
        <v>149.71051340017294</v>
      </c>
      <c r="BK6" s="141">
        <f t="shared" ref="BK6:BK13" si="1">+BE6/BA6</f>
        <v>150.37888202120948</v>
      </c>
      <c r="BL6" s="142">
        <f>BA6/SUM($BA$6,$BA$12,$BA$13)</f>
        <v>0.28551838488935438</v>
      </c>
      <c r="BM6" s="86">
        <f>+SUM(BO7:BO11)</f>
        <v>137.24653370861282</v>
      </c>
      <c r="CZ6" s="131"/>
      <c r="DA6" s="112" t="s">
        <v>350</v>
      </c>
      <c r="DB6" s="134">
        <f>+SUM(DB7:DB11)</f>
        <v>738.726</v>
      </c>
      <c r="DC6" s="135">
        <f>SUM(DC7:DC11)</f>
        <v>71576.173799999873</v>
      </c>
      <c r="DD6" s="136">
        <f>SUM(DD7:DD11)</f>
        <v>10715705.726817988</v>
      </c>
      <c r="DE6" s="134">
        <f>+SUM(DE7:DE10)</f>
        <v>399.16700000000003</v>
      </c>
      <c r="DF6" s="86">
        <f>+SUM(DF7:DF11)</f>
        <v>111088.79</v>
      </c>
      <c r="DG6" s="137">
        <v>2270.1</v>
      </c>
      <c r="DH6" s="137">
        <v>2957.3</v>
      </c>
      <c r="DI6" s="138">
        <v>139.5</v>
      </c>
      <c r="DJ6" s="139">
        <v>158.4</v>
      </c>
      <c r="DK6" s="140">
        <f t="shared" ref="DK6:DK13" si="2">+DD6/DC6</f>
        <v>149.71051340017294</v>
      </c>
      <c r="DL6" s="141">
        <f t="shared" ref="DL6:DL13" si="3">+DF6/DB6</f>
        <v>150.37888202120948</v>
      </c>
      <c r="DM6" s="142">
        <f>DB6/SUM($BA$6,$BA$12,$BA$13)</f>
        <v>0.28551838488935438</v>
      </c>
      <c r="DN6" s="86">
        <f>+SUM(DP7:DP11)</f>
        <v>137.24653370861282</v>
      </c>
    </row>
    <row r="7" spans="2:125" ht="17.399999999999999">
      <c r="B7" s="86" t="s">
        <v>351</v>
      </c>
      <c r="C7" s="126">
        <v>1460.806</v>
      </c>
      <c r="D7" s="128">
        <f>+BH12</f>
        <v>120.8</v>
      </c>
      <c r="E7" s="128">
        <f>+BI12</f>
        <v>137.19999999999999</v>
      </c>
      <c r="F7" s="128"/>
      <c r="G7" s="128">
        <v>109.48878631229468</v>
      </c>
      <c r="H7" s="129">
        <v>114.2822</v>
      </c>
      <c r="I7" s="130">
        <f>+H7+22.79</f>
        <v>137.07220000000001</v>
      </c>
      <c r="K7" s="131"/>
      <c r="L7" s="86">
        <v>0.48610120000000001</v>
      </c>
      <c r="M7" s="132">
        <v>0.56460307306995861</v>
      </c>
      <c r="N7" s="133"/>
      <c r="O7" s="133"/>
      <c r="P7" s="549" t="s">
        <v>352</v>
      </c>
      <c r="Q7" s="550">
        <f>+SUMPRODUCT(AA11:AA14,AG11:AG14)</f>
        <v>114.2821636932038</v>
      </c>
      <c r="R7" s="550">
        <f>+SUMPRODUCT(AD11:AD14,AG11:AG14)</f>
        <v>137.07216369320383</v>
      </c>
      <c r="S7" s="550">
        <f>+SUMPRODUCT(AC11:AC14,AG11:AG14)</f>
        <v>143.60601310987673</v>
      </c>
      <c r="T7" s="550">
        <f>+SUMPRODUCT(Y11:Y14,AG11:AG14)</f>
        <v>136.99999999999997</v>
      </c>
      <c r="U7" s="133"/>
      <c r="V7" s="133"/>
      <c r="W7" s="1" t="s">
        <v>333</v>
      </c>
      <c r="X7" s="1" t="s">
        <v>353</v>
      </c>
      <c r="Y7" s="1">
        <v>158</v>
      </c>
      <c r="Z7" s="1">
        <v>139</v>
      </c>
      <c r="AA7" s="540">
        <v>145.38911868526469</v>
      </c>
      <c r="AB7" s="506">
        <v>1.257184476693052</v>
      </c>
      <c r="AC7" s="506">
        <v>182.78094309119851</v>
      </c>
      <c r="AD7" s="506">
        <v>164.35911868526469</v>
      </c>
      <c r="AE7" s="538">
        <v>267752.40960000001</v>
      </c>
      <c r="AF7" s="506">
        <v>0.12143846324889589</v>
      </c>
      <c r="AG7" s="506">
        <v>0.34491301240561084</v>
      </c>
      <c r="AH7" s="506">
        <v>281687</v>
      </c>
      <c r="AI7" s="506">
        <v>0.12213726225602313</v>
      </c>
      <c r="AY7" s="131"/>
      <c r="AZ7" s="84" t="s">
        <v>354</v>
      </c>
      <c r="BA7" s="143">
        <v>152.03700000000001</v>
      </c>
      <c r="BB7" s="144">
        <v>11813.911</v>
      </c>
      <c r="BC7" s="144">
        <v>1791262.4580000001</v>
      </c>
      <c r="BD7" s="143">
        <f>127457/1000</f>
        <v>127.45699999999999</v>
      </c>
      <c r="BE7" s="145">
        <v>23105.069</v>
      </c>
      <c r="BF7" s="141"/>
      <c r="BG7" s="141"/>
      <c r="BI7" s="146"/>
      <c r="BJ7" s="141">
        <f t="shared" si="0"/>
        <v>151.62315493996866</v>
      </c>
      <c r="BK7" s="86">
        <f t="shared" si="1"/>
        <v>151.97004018758591</v>
      </c>
      <c r="BL7" s="141"/>
      <c r="BM7" s="86">
        <v>135.70554119937211</v>
      </c>
      <c r="BN7" s="84" t="s">
        <v>354</v>
      </c>
      <c r="BO7" s="86">
        <f>+BM7*BO40</f>
        <v>27.929521050198499</v>
      </c>
      <c r="CZ7" s="131"/>
      <c r="DA7" s="84" t="s">
        <v>354</v>
      </c>
      <c r="DB7" s="143">
        <v>152.03700000000001</v>
      </c>
      <c r="DC7" s="144">
        <v>11813.911</v>
      </c>
      <c r="DD7" s="144">
        <v>1791262.4580000001</v>
      </c>
      <c r="DE7" s="143">
        <f>127457/1000</f>
        <v>127.45699999999999</v>
      </c>
      <c r="DF7" s="145">
        <v>23105.069</v>
      </c>
      <c r="DG7" s="141"/>
      <c r="DH7" s="141"/>
      <c r="DJ7" s="146"/>
      <c r="DK7" s="141">
        <f t="shared" si="2"/>
        <v>151.62315493996866</v>
      </c>
      <c r="DL7" s="86">
        <f t="shared" si="3"/>
        <v>151.97004018758591</v>
      </c>
      <c r="DM7" s="141"/>
      <c r="DN7" s="86">
        <v>135.70554119937211</v>
      </c>
      <c r="DO7" s="84" t="s">
        <v>354</v>
      </c>
      <c r="DP7" s="86">
        <f>+DN7*DP40</f>
        <v>27.929521050198499</v>
      </c>
    </row>
    <row r="8" spans="2:125" ht="17.399999999999999">
      <c r="B8" s="91" t="s">
        <v>355</v>
      </c>
      <c r="C8" s="147">
        <v>387.78300000000002</v>
      </c>
      <c r="D8" s="387">
        <f>+BH13</f>
        <v>109.5</v>
      </c>
      <c r="E8" s="387">
        <f>+BI13</f>
        <v>124.1</v>
      </c>
      <c r="F8" s="128"/>
      <c r="G8" s="387">
        <v>80.851657481807621</v>
      </c>
      <c r="H8" s="161">
        <v>85.270979999999994</v>
      </c>
      <c r="I8" s="388">
        <f>+H8+14.31</f>
        <v>99.580979999999997</v>
      </c>
      <c r="K8" s="131"/>
      <c r="L8" s="91">
        <v>0.15160009999999999</v>
      </c>
      <c r="M8" s="389">
        <v>0.14987854204068696</v>
      </c>
      <c r="N8" s="133"/>
      <c r="O8" s="133"/>
      <c r="P8" s="549" t="s">
        <v>356</v>
      </c>
      <c r="Q8" s="550">
        <f>+AA15</f>
        <v>85.270977168535367</v>
      </c>
      <c r="R8" s="550">
        <f>+AD15</f>
        <v>99.58097716853537</v>
      </c>
      <c r="S8" s="550">
        <f>+AC15</f>
        <v>106.01673960983115</v>
      </c>
      <c r="T8" s="550">
        <f>+Y15</f>
        <v>124</v>
      </c>
      <c r="U8" s="133"/>
      <c r="V8" s="133"/>
      <c r="W8" s="1" t="s">
        <v>333</v>
      </c>
      <c r="X8" s="1" t="s">
        <v>357</v>
      </c>
      <c r="Y8" s="1">
        <v>158</v>
      </c>
      <c r="Z8" s="1">
        <v>139</v>
      </c>
      <c r="AA8" s="540">
        <v>145.5866258007689</v>
      </c>
      <c r="AB8" s="506">
        <v>1.2470083603330349</v>
      </c>
      <c r="AC8" s="506">
        <v>181.54773952623594</v>
      </c>
      <c r="AD8" s="506">
        <v>164.5566258007689</v>
      </c>
      <c r="AE8" s="538">
        <v>109096.3616399999</v>
      </c>
      <c r="AF8" s="506">
        <v>4.9480393186375198E-2</v>
      </c>
      <c r="AG8" s="506">
        <v>0.14053563436444341</v>
      </c>
      <c r="AH8" s="539">
        <v>117630</v>
      </c>
      <c r="AI8" s="506">
        <v>5.1003440553436974E-2</v>
      </c>
      <c r="AY8" s="131"/>
      <c r="AZ8" s="84" t="s">
        <v>358</v>
      </c>
      <c r="BA8" s="143">
        <v>151.26</v>
      </c>
      <c r="BB8" s="144">
        <v>13382.198</v>
      </c>
      <c r="BC8" s="144">
        <v>2157741.1660000002</v>
      </c>
      <c r="BD8" s="143">
        <f>15340/1000</f>
        <v>15.34</v>
      </c>
      <c r="BE8" s="145">
        <v>24445.4</v>
      </c>
      <c r="BF8" s="141"/>
      <c r="BG8" s="141"/>
      <c r="BI8" s="146"/>
      <c r="BJ8" s="141">
        <f t="shared" si="0"/>
        <v>161.23966825180739</v>
      </c>
      <c r="BK8" s="86">
        <f t="shared" si="1"/>
        <v>161.61179426153646</v>
      </c>
      <c r="BL8" s="141"/>
      <c r="BM8" s="86">
        <v>146.11416016867634</v>
      </c>
      <c r="BN8" s="84" t="s">
        <v>358</v>
      </c>
      <c r="BO8" s="86">
        <f>+BM8*BO41</f>
        <v>29.918031674956588</v>
      </c>
      <c r="CZ8" s="131"/>
      <c r="DA8" s="84" t="s">
        <v>358</v>
      </c>
      <c r="DB8" s="143">
        <v>151.26</v>
      </c>
      <c r="DC8" s="144">
        <v>13382.198</v>
      </c>
      <c r="DD8" s="144">
        <v>2157741.1660000002</v>
      </c>
      <c r="DE8" s="143">
        <f>15340/1000</f>
        <v>15.34</v>
      </c>
      <c r="DF8" s="145">
        <v>24445.4</v>
      </c>
      <c r="DG8" s="141"/>
      <c r="DH8" s="141"/>
      <c r="DJ8" s="146"/>
      <c r="DK8" s="141">
        <f t="shared" si="2"/>
        <v>161.23966825180739</v>
      </c>
      <c r="DL8" s="86">
        <f t="shared" si="3"/>
        <v>161.61179426153646</v>
      </c>
      <c r="DM8" s="141"/>
      <c r="DN8" s="86">
        <v>146.11416016867634</v>
      </c>
      <c r="DO8" s="84" t="s">
        <v>358</v>
      </c>
      <c r="DP8" s="86">
        <f>+DN8*DP41</f>
        <v>29.918031674956588</v>
      </c>
    </row>
    <row r="9" spans="2:125" ht="18" thickBot="1">
      <c r="B9" s="80" t="s">
        <v>359</v>
      </c>
      <c r="C9" s="126">
        <f>+SUM(C6:C8)</f>
        <v>2587.3150000000001</v>
      </c>
      <c r="D9" s="386">
        <f>+D6*$M6+D7*$M7+D8*$M8</f>
        <v>124.44556627237114</v>
      </c>
      <c r="E9" s="386">
        <f>+E6*$M6+E7*$M7+E8*$M8</f>
        <v>141.28958085892128</v>
      </c>
      <c r="F9" s="149"/>
      <c r="G9" s="386">
        <f>+G6*$M6+G7*$M7+G8*$M8</f>
        <v>113.12204239971339</v>
      </c>
      <c r="H9" s="386">
        <f>+H6*$M6+H7*$M7+H8*$M8</f>
        <v>118.1592542754709</v>
      </c>
      <c r="I9" s="386">
        <f>+I6*$M6+I7*$M7+I8*$M8</f>
        <v>138.58760400868854</v>
      </c>
      <c r="K9" s="131"/>
      <c r="M9" s="132"/>
      <c r="N9" s="133"/>
      <c r="O9" s="133"/>
      <c r="P9" s="546" t="s">
        <v>360</v>
      </c>
      <c r="Q9" s="551">
        <f>+SUMPRODUCT(AA5:AA15,AF5:AF15)</f>
        <v>122.0362669208306</v>
      </c>
      <c r="R9" s="551">
        <f>+SUMPRODUCT(AD5:AD15,AF5:AF15)</f>
        <v>142.175144181295</v>
      </c>
      <c r="S9" s="551">
        <f>+SUMPRODUCT(AC5:AC15,AF5:AF15)</f>
        <v>152.93268110082869</v>
      </c>
      <c r="T9" s="551">
        <f>+SUMPRODUCT(Y5:Y15,AF5:AF15)</f>
        <v>142.39140180447515</v>
      </c>
      <c r="U9" s="133"/>
      <c r="V9" s="133"/>
      <c r="W9" s="1" t="s">
        <v>333</v>
      </c>
      <c r="X9" s="1" t="s">
        <v>361</v>
      </c>
      <c r="Y9" s="1">
        <v>158</v>
      </c>
      <c r="Z9" s="1">
        <v>139</v>
      </c>
      <c r="AA9" s="540">
        <v>148.25053718588421</v>
      </c>
      <c r="AB9" s="506">
        <v>1.2469916926112057</v>
      </c>
      <c r="AC9" s="506">
        <v>184.86718829594625</v>
      </c>
      <c r="AD9" s="506">
        <v>167.22053718588421</v>
      </c>
      <c r="AE9" s="538">
        <v>32272.282920000041</v>
      </c>
      <c r="AF9" s="506">
        <v>1.463701652281375E-2</v>
      </c>
      <c r="AG9" s="506">
        <v>4.1572474868750368E-2</v>
      </c>
      <c r="AH9" s="539">
        <v>36799</v>
      </c>
      <c r="AI9" s="506">
        <v>1.595575626052816E-2</v>
      </c>
      <c r="AY9" s="131"/>
      <c r="AZ9" s="84" t="s">
        <v>357</v>
      </c>
      <c r="BA9" s="143">
        <v>117.63</v>
      </c>
      <c r="BB9" s="144">
        <v>14231.7491999999</v>
      </c>
      <c r="BC9" s="144">
        <v>2081506.93061619</v>
      </c>
      <c r="BD9" s="143">
        <f>238640/1000</f>
        <v>238.64</v>
      </c>
      <c r="BE9" s="151">
        <v>17033.075000000001</v>
      </c>
      <c r="BF9" s="141"/>
      <c r="BG9" s="141"/>
      <c r="BI9" s="146"/>
      <c r="BJ9" s="141">
        <f t="shared" si="0"/>
        <v>146.25798286384955</v>
      </c>
      <c r="BK9" s="86">
        <f t="shared" si="1"/>
        <v>144.80213380940236</v>
      </c>
      <c r="BL9" s="141"/>
      <c r="BM9" s="86">
        <v>135.98052701850114</v>
      </c>
      <c r="BN9" s="84" t="s">
        <v>357</v>
      </c>
      <c r="BO9" s="86">
        <f>+BM9*BO43</f>
        <v>21.65266877460153</v>
      </c>
      <c r="CZ9" s="131"/>
      <c r="DA9" s="84" t="s">
        <v>357</v>
      </c>
      <c r="DB9" s="143">
        <v>117.63</v>
      </c>
      <c r="DC9" s="144">
        <v>14231.7491999999</v>
      </c>
      <c r="DD9" s="144">
        <v>2081506.93061619</v>
      </c>
      <c r="DE9" s="143">
        <f>238640/1000</f>
        <v>238.64</v>
      </c>
      <c r="DF9" s="151">
        <v>17033.075000000001</v>
      </c>
      <c r="DG9" s="141"/>
      <c r="DH9" s="141"/>
      <c r="DJ9" s="146"/>
      <c r="DK9" s="141">
        <f t="shared" si="2"/>
        <v>146.25798286384955</v>
      </c>
      <c r="DL9" s="86">
        <f t="shared" si="3"/>
        <v>144.80213380940236</v>
      </c>
      <c r="DM9" s="141"/>
      <c r="DN9" s="86">
        <v>135.98052701850114</v>
      </c>
      <c r="DO9" s="84" t="s">
        <v>357</v>
      </c>
      <c r="DP9" s="86">
        <f>+DN9*DP43</f>
        <v>21.65266877460153</v>
      </c>
    </row>
    <row r="10" spans="2:125" ht="18" thickBot="1">
      <c r="B10" s="115" t="s">
        <v>362</v>
      </c>
      <c r="C10" s="147">
        <f>+SUM(C6:C8)</f>
        <v>2587.3150000000001</v>
      </c>
      <c r="D10" s="148">
        <f>+D6*$L6+D7*$L7+D8*$L8</f>
        <v>125.86190456</v>
      </c>
      <c r="E10" s="148">
        <f>+E6*$L6+E7*$L7+E8*$L8</f>
        <v>142.89477113000001</v>
      </c>
      <c r="F10" s="149"/>
      <c r="G10" s="148">
        <f>+G6*$L6+G7*$L7+G8*$L8</f>
        <v>115.20399051449441</v>
      </c>
      <c r="H10" s="148">
        <f>+H6*$L6+H7*$L7+H8*$L8</f>
        <v>120.321197096478</v>
      </c>
      <c r="I10" s="148">
        <f>+I6*$L6+I7*$L7+I8*$L8</f>
        <v>140.44164721447802</v>
      </c>
      <c r="J10" s="150"/>
      <c r="K10" s="131"/>
      <c r="L10" s="133"/>
      <c r="M10" s="133"/>
      <c r="N10" s="133"/>
      <c r="O10" s="121"/>
      <c r="U10" s="121"/>
      <c r="V10" s="121"/>
      <c r="W10" s="1" t="s">
        <v>333</v>
      </c>
      <c r="X10" s="1" t="s">
        <v>363</v>
      </c>
      <c r="Y10" s="1">
        <v>158</v>
      </c>
      <c r="Z10" s="1">
        <v>139</v>
      </c>
      <c r="AA10" s="538">
        <v>135.2383925600875</v>
      </c>
      <c r="AB10" s="506">
        <v>1.3503615940913989</v>
      </c>
      <c r="AC10" s="506">
        <v>182.62073135979813</v>
      </c>
      <c r="AD10" s="506">
        <v>154.2083925600875</v>
      </c>
      <c r="AE10" s="538">
        <v>64998.699599999993</v>
      </c>
      <c r="AF10" s="506">
        <v>2.9480004323369578E-2</v>
      </c>
      <c r="AG10" s="506">
        <v>8.3729955278368365E-2</v>
      </c>
      <c r="AH10" s="506">
        <v>65739</v>
      </c>
      <c r="AI10" s="506">
        <v>2.8503912084862647E-2</v>
      </c>
      <c r="AZ10" s="84" t="s">
        <v>361</v>
      </c>
      <c r="BA10" s="143">
        <v>36.798999999999999</v>
      </c>
      <c r="BB10" s="144">
        <v>4556.9385999999795</v>
      </c>
      <c r="BC10" s="144">
        <v>679437.99620179599</v>
      </c>
      <c r="BD10" s="143">
        <f>17730/1000</f>
        <v>17.73</v>
      </c>
      <c r="BE10" s="151">
        <v>5395.3339999999998</v>
      </c>
      <c r="BF10" s="141"/>
      <c r="BG10" s="141"/>
      <c r="BI10" s="146"/>
      <c r="BJ10" s="141">
        <f t="shared" si="0"/>
        <v>149.09966006603622</v>
      </c>
      <c r="BK10" s="86">
        <f t="shared" si="1"/>
        <v>146.61632109568194</v>
      </c>
      <c r="BL10" s="141"/>
      <c r="BM10" s="86">
        <v>137.32155428686528</v>
      </c>
      <c r="BN10" s="84" t="s">
        <v>361</v>
      </c>
      <c r="BO10" s="86">
        <f>+BM10*BO44</f>
        <v>6.840555058577003</v>
      </c>
      <c r="BT10" s="152"/>
      <c r="DA10" s="84" t="s">
        <v>361</v>
      </c>
      <c r="DB10" s="143">
        <v>36.798999999999999</v>
      </c>
      <c r="DC10" s="144">
        <v>4556.9385999999795</v>
      </c>
      <c r="DD10" s="144">
        <v>679437.99620179599</v>
      </c>
      <c r="DE10" s="143">
        <f>17730/1000</f>
        <v>17.73</v>
      </c>
      <c r="DF10" s="151">
        <v>5395.3339999999998</v>
      </c>
      <c r="DG10" s="141"/>
      <c r="DH10" s="141"/>
      <c r="DJ10" s="146"/>
      <c r="DK10" s="141">
        <f t="shared" si="2"/>
        <v>149.09966006603622</v>
      </c>
      <c r="DL10" s="86">
        <f t="shared" si="3"/>
        <v>146.61632109568194</v>
      </c>
      <c r="DM10" s="141"/>
      <c r="DN10" s="86">
        <v>137.32155428686528</v>
      </c>
      <c r="DO10" s="84" t="s">
        <v>361</v>
      </c>
      <c r="DP10" s="86">
        <f>+DN10*DP44</f>
        <v>6.840555058577003</v>
      </c>
      <c r="DU10" s="152"/>
    </row>
    <row r="11" spans="2:125" ht="15.6">
      <c r="B11" s="86" t="s">
        <v>364</v>
      </c>
      <c r="L11" s="121"/>
      <c r="M11" s="121"/>
      <c r="N11" s="121"/>
      <c r="W11" s="1" t="s">
        <v>352</v>
      </c>
      <c r="X11" s="1" t="s">
        <v>365</v>
      </c>
      <c r="Y11" s="1">
        <v>137</v>
      </c>
      <c r="Z11" s="128">
        <v>120.8</v>
      </c>
      <c r="AA11" s="540">
        <v>154.64124027180921</v>
      </c>
      <c r="AB11" s="506">
        <v>1.2572148513878643</v>
      </c>
      <c r="AC11" s="506">
        <v>194.41726390675763</v>
      </c>
      <c r="AD11" s="506">
        <v>177.4312402718092</v>
      </c>
      <c r="AE11" s="538">
        <v>13641.745199999999</v>
      </c>
      <c r="AF11" s="506">
        <v>6.1871808197576034E-3</v>
      </c>
      <c r="AG11" s="506">
        <v>1.2527515444880243E-2</v>
      </c>
      <c r="AH11" s="539">
        <v>13895</v>
      </c>
      <c r="AI11" s="506">
        <v>6.0247624457196872E-3</v>
      </c>
      <c r="AZ11" s="84" t="s">
        <v>366</v>
      </c>
      <c r="BA11" s="143">
        <v>281</v>
      </c>
      <c r="BB11" s="144">
        <v>27591.377</v>
      </c>
      <c r="BC11" s="144">
        <v>4005757.176</v>
      </c>
      <c r="BD11" s="143"/>
      <c r="BE11" s="153">
        <v>41109.911999999997</v>
      </c>
      <c r="BF11" s="141"/>
      <c r="BG11" s="141"/>
      <c r="BI11" s="146"/>
      <c r="BJ11" s="141">
        <f t="shared" si="0"/>
        <v>145.1814882599009</v>
      </c>
      <c r="BK11" s="86">
        <f t="shared" si="1"/>
        <v>146.29861921708184</v>
      </c>
      <c r="BL11" s="141"/>
      <c r="BM11" s="86">
        <v>133.82706888468741</v>
      </c>
      <c r="BN11" s="84" t="s">
        <v>366</v>
      </c>
      <c r="BO11" s="86">
        <f>+BM11*BO42</f>
        <v>50.905757150279214</v>
      </c>
      <c r="DA11" s="84" t="s">
        <v>366</v>
      </c>
      <c r="DB11" s="143">
        <v>281</v>
      </c>
      <c r="DC11" s="144">
        <v>27591.377</v>
      </c>
      <c r="DD11" s="144">
        <v>4005757.176</v>
      </c>
      <c r="DE11" s="143"/>
      <c r="DF11" s="153">
        <v>41109.911999999997</v>
      </c>
      <c r="DG11" s="141"/>
      <c r="DH11" s="141"/>
      <c r="DJ11" s="146"/>
      <c r="DK11" s="141">
        <f t="shared" si="2"/>
        <v>145.1814882599009</v>
      </c>
      <c r="DL11" s="86">
        <f t="shared" si="3"/>
        <v>146.29861921708184</v>
      </c>
      <c r="DM11" s="141"/>
      <c r="DN11" s="86">
        <v>133.82706888468741</v>
      </c>
      <c r="DO11" s="84" t="s">
        <v>366</v>
      </c>
      <c r="DP11" s="86">
        <f>+DN11*DP42</f>
        <v>50.905757150279214</v>
      </c>
    </row>
    <row r="12" spans="2:125" ht="15.6">
      <c r="E12" s="86" t="s">
        <v>367</v>
      </c>
      <c r="I12" s="131"/>
      <c r="W12" s="1" t="s">
        <v>352</v>
      </c>
      <c r="X12" s="1" t="s">
        <v>368</v>
      </c>
      <c r="Y12" s="1">
        <v>137</v>
      </c>
      <c r="Z12" s="128">
        <v>120.8</v>
      </c>
      <c r="AA12" s="540">
        <v>120.59469431676099</v>
      </c>
      <c r="AB12" s="506">
        <v>1.2571675532896132</v>
      </c>
      <c r="AC12" s="506">
        <v>151.60773679391124</v>
      </c>
      <c r="AD12" s="506">
        <v>143.384694316761</v>
      </c>
      <c r="AE12" s="538">
        <v>669016.91639999987</v>
      </c>
      <c r="AF12" s="506">
        <v>0.30343101799346434</v>
      </c>
      <c r="AG12" s="506">
        <v>0.61437298748895808</v>
      </c>
      <c r="AH12" s="541">
        <v>699392</v>
      </c>
      <c r="AI12" s="506">
        <v>0.3032508568864184</v>
      </c>
      <c r="AZ12" s="86" t="s">
        <v>369</v>
      </c>
      <c r="BA12" s="143">
        <v>1460.806</v>
      </c>
      <c r="BB12" s="144">
        <v>98509.494000000006</v>
      </c>
      <c r="BC12" s="144">
        <v>11514444.720999999</v>
      </c>
      <c r="BD12" s="143">
        <f>12484/1000</f>
        <v>12.484</v>
      </c>
      <c r="BE12" s="154">
        <v>180179.68</v>
      </c>
      <c r="BF12" s="137">
        <v>1090.7</v>
      </c>
      <c r="BG12" s="137">
        <v>1270.7</v>
      </c>
      <c r="BH12" s="138">
        <v>120.8</v>
      </c>
      <c r="BI12" s="155">
        <v>137.19999999999999</v>
      </c>
      <c r="BJ12" s="141">
        <f t="shared" si="0"/>
        <v>116.88664973753696</v>
      </c>
      <c r="BK12" s="86">
        <f t="shared" si="1"/>
        <v>123.34264782592622</v>
      </c>
      <c r="BL12" s="129">
        <f>BA12/SUM($BA$6,$BA$12,$BA$13)</f>
        <v>0.56460307306995861</v>
      </c>
      <c r="BM12" s="156">
        <v>109.48878631229468</v>
      </c>
      <c r="DA12" s="86" t="s">
        <v>369</v>
      </c>
      <c r="DB12" s="143">
        <v>1460.806</v>
      </c>
      <c r="DC12" s="144">
        <v>98509.494000000006</v>
      </c>
      <c r="DD12" s="144">
        <v>11514444.720999999</v>
      </c>
      <c r="DE12" s="143">
        <f>12484/1000</f>
        <v>12.484</v>
      </c>
      <c r="DF12" s="154">
        <v>180179.68</v>
      </c>
      <c r="DG12" s="137">
        <v>1090.7</v>
      </c>
      <c r="DH12" s="137">
        <v>1270.7</v>
      </c>
      <c r="DI12" s="138">
        <v>120.8</v>
      </c>
      <c r="DJ12" s="155">
        <v>137.19999999999999</v>
      </c>
      <c r="DK12" s="141">
        <f t="shared" si="2"/>
        <v>116.88664973753696</v>
      </c>
      <c r="DL12" s="86">
        <f t="shared" si="3"/>
        <v>123.34264782592622</v>
      </c>
      <c r="DM12" s="129">
        <f>DB12/SUM($BA$6,$BA$12,$BA$13)</f>
        <v>0.56460307306995861</v>
      </c>
      <c r="DN12" s="156">
        <v>109.48878631229468</v>
      </c>
    </row>
    <row r="13" spans="2:125" ht="15.6">
      <c r="D13" s="385">
        <f>+D6*$M6+D7*$M7+D8*$M8</f>
        <v>124.44556627237114</v>
      </c>
      <c r="G13" s="385">
        <f>+G6*$M6+G7*$M7+G8*$M8</f>
        <v>113.12204239971339</v>
      </c>
      <c r="H13" s="86" t="s">
        <v>370</v>
      </c>
      <c r="W13" s="1" t="s">
        <v>352</v>
      </c>
      <c r="X13" s="1" t="s">
        <v>371</v>
      </c>
      <c r="Y13" s="1">
        <v>137</v>
      </c>
      <c r="Z13" s="128">
        <v>120.8</v>
      </c>
      <c r="AA13" s="540">
        <v>102.21623975201651</v>
      </c>
      <c r="AB13" s="506">
        <v>1.2571740852303042</v>
      </c>
      <c r="AC13" s="506">
        <v>128.5036077059228</v>
      </c>
      <c r="AD13" s="506">
        <v>125.00623975201651</v>
      </c>
      <c r="AE13" s="538">
        <v>371088.27240000002</v>
      </c>
      <c r="AF13" s="506">
        <v>0.16830619600124661</v>
      </c>
      <c r="AG13" s="506">
        <v>0.3407785437822814</v>
      </c>
      <c r="AH13" s="541">
        <v>358807</v>
      </c>
      <c r="AI13" s="506">
        <v>0.15557588620808518</v>
      </c>
      <c r="AZ13" s="91" t="s">
        <v>372</v>
      </c>
      <c r="BA13" s="157">
        <v>387.78300000000002</v>
      </c>
      <c r="BB13" s="158">
        <v>44810.209000000003</v>
      </c>
      <c r="BC13" s="158">
        <v>3704192.0073000002</v>
      </c>
      <c r="BD13" s="157">
        <f>9/1000</f>
        <v>8.9999999999999993E-3</v>
      </c>
      <c r="BE13" s="153">
        <v>53941.286</v>
      </c>
      <c r="BF13" s="138">
        <v>237.5</v>
      </c>
      <c r="BG13" s="138">
        <v>435</v>
      </c>
      <c r="BH13" s="138">
        <v>109.5</v>
      </c>
      <c r="BI13" s="159">
        <v>124.1</v>
      </c>
      <c r="BJ13" s="160">
        <f t="shared" si="0"/>
        <v>82.664019873239155</v>
      </c>
      <c r="BK13" s="86">
        <f t="shared" si="1"/>
        <v>139.10172957556159</v>
      </c>
      <c r="BL13" s="161">
        <f>BA13/SUM($BA$6,$BA$12,$BA$13)</f>
        <v>0.14987854204068696</v>
      </c>
      <c r="BM13" s="156">
        <v>80.851657481807621</v>
      </c>
      <c r="DA13" s="91" t="s">
        <v>372</v>
      </c>
      <c r="DB13" s="157">
        <v>387.78300000000002</v>
      </c>
      <c r="DC13" s="158">
        <v>44810.209000000003</v>
      </c>
      <c r="DD13" s="158">
        <v>3704192.0073000002</v>
      </c>
      <c r="DE13" s="157">
        <f>9/1000</f>
        <v>8.9999999999999993E-3</v>
      </c>
      <c r="DF13" s="153">
        <v>53941.286</v>
      </c>
      <c r="DG13" s="138">
        <v>237.5</v>
      </c>
      <c r="DH13" s="138">
        <v>435</v>
      </c>
      <c r="DI13" s="138">
        <v>109.5</v>
      </c>
      <c r="DJ13" s="159">
        <v>124.1</v>
      </c>
      <c r="DK13" s="160">
        <f t="shared" si="2"/>
        <v>82.664019873239155</v>
      </c>
      <c r="DL13" s="86">
        <f t="shared" si="3"/>
        <v>139.10172957556159</v>
      </c>
      <c r="DM13" s="161">
        <f>DB13/SUM($BA$6,$BA$12,$BA$13)</f>
        <v>0.14987854204068696</v>
      </c>
      <c r="DN13" s="156">
        <v>80.851657481807621</v>
      </c>
    </row>
    <row r="14" spans="2:125">
      <c r="W14" s="1" t="s">
        <v>352</v>
      </c>
      <c r="X14" s="1" t="s">
        <v>373</v>
      </c>
      <c r="Y14" s="1">
        <v>137</v>
      </c>
      <c r="Z14" s="128">
        <v>120.8</v>
      </c>
      <c r="AA14" s="540">
        <v>105.8653555460249</v>
      </c>
      <c r="AB14" s="506">
        <v>1.2378395125477641</v>
      </c>
      <c r="AC14" s="506">
        <v>131.0443201047872</v>
      </c>
      <c r="AD14" s="506">
        <v>128.65535554602491</v>
      </c>
      <c r="AE14" s="538">
        <v>35195.662799999998</v>
      </c>
      <c r="AF14" s="506">
        <v>1.5962908456523303E-2</v>
      </c>
      <c r="AG14" s="506">
        <v>3.2320953283880204E-2</v>
      </c>
      <c r="AH14" s="539">
        <v>41286</v>
      </c>
      <c r="AI14" s="506">
        <v>1.7901284083050233E-2</v>
      </c>
      <c r="BB14" s="162">
        <f>+SUM(BB7:BB13)</f>
        <v>214895.87679999988</v>
      </c>
      <c r="BC14" s="162">
        <f>SUM(BC12:BC13,BC6)</f>
        <v>25934342.455117986</v>
      </c>
      <c r="BF14" s="156">
        <f>+SUM(BF6:BF13)</f>
        <v>3598.3</v>
      </c>
      <c r="BG14" s="156">
        <f>+SUM(BG6:BG13)</f>
        <v>4663</v>
      </c>
      <c r="DC14" s="162">
        <f>+SUM(DC7:DC13)</f>
        <v>214895.87679999988</v>
      </c>
      <c r="DD14" s="162">
        <f>SUM(DD12:DD13,DD6)</f>
        <v>25934342.455117986</v>
      </c>
      <c r="DG14" s="156">
        <f>+SUM(DG6:DG13)</f>
        <v>3598.3</v>
      </c>
      <c r="DH14" s="156">
        <f>+SUM(DH6:DH13)</f>
        <v>4663</v>
      </c>
    </row>
    <row r="15" spans="2:125">
      <c r="W15" s="1" t="s">
        <v>356</v>
      </c>
      <c r="X15" s="1" t="s">
        <v>374</v>
      </c>
      <c r="Y15" s="1">
        <v>124</v>
      </c>
      <c r="Z15" s="1">
        <v>109.5</v>
      </c>
      <c r="AA15" s="540">
        <v>85.270977168535367</v>
      </c>
      <c r="AB15" s="506">
        <v>1.2432921860422972</v>
      </c>
      <c r="AC15" s="506">
        <v>106.01673960983115</v>
      </c>
      <c r="AD15" s="506">
        <v>99.58097716853537</v>
      </c>
      <c r="AE15" s="538">
        <v>339607.9632</v>
      </c>
      <c r="AF15" s="506">
        <v>0.15402837725982349</v>
      </c>
      <c r="AG15" s="506">
        <v>1</v>
      </c>
      <c r="AH15" s="506">
        <v>387783</v>
      </c>
      <c r="AI15" s="506">
        <v>0.16813965134857989</v>
      </c>
    </row>
    <row r="16" spans="2:125">
      <c r="W16" s="1"/>
      <c r="X16" s="1"/>
      <c r="Y16" s="1"/>
      <c r="Z16" s="1"/>
      <c r="AA16" s="542"/>
      <c r="AB16" s="299"/>
      <c r="AC16" s="299"/>
      <c r="AD16" s="299"/>
      <c r="AE16" s="506">
        <v>2204840.2329600002</v>
      </c>
      <c r="AF16" s="299"/>
      <c r="AG16" s="299"/>
      <c r="AH16" s="299">
        <v>2306315</v>
      </c>
      <c r="AI16" s="299"/>
    </row>
    <row r="17" spans="2:124">
      <c r="S17" s="86" t="s">
        <v>375</v>
      </c>
    </row>
    <row r="18" spans="2:124">
      <c r="S18" s="86">
        <v>85.270979999999994</v>
      </c>
    </row>
    <row r="19" spans="2:124">
      <c r="S19" s="86">
        <v>114.2822</v>
      </c>
    </row>
    <row r="20" spans="2:124">
      <c r="L20" s="163"/>
      <c r="S20" s="86">
        <v>143.09020000000001</v>
      </c>
      <c r="BR20" s="84"/>
      <c r="BS20" s="81"/>
      <c r="DS20" s="84"/>
      <c r="DT20" s="81"/>
    </row>
    <row r="21" spans="2:124">
      <c r="BR21" s="84"/>
      <c r="BS21" s="81"/>
      <c r="DS21" s="84"/>
      <c r="DT21" s="81"/>
    </row>
    <row r="22" spans="2:124">
      <c r="BF22" s="86">
        <f>+BF23/1000</f>
        <v>1460.806</v>
      </c>
      <c r="BG22" s="86">
        <f>+BG23/1000</f>
        <v>180179.68</v>
      </c>
      <c r="BR22" s="84"/>
      <c r="BS22" s="165"/>
      <c r="DG22" s="86">
        <f>+DG23/1000</f>
        <v>1460.806</v>
      </c>
      <c r="DH22" s="86">
        <f>+DH23/1000</f>
        <v>180179.68</v>
      </c>
      <c r="DS22" s="84"/>
      <c r="DT22" s="165"/>
    </row>
    <row r="23" spans="2:124">
      <c r="E23" s="81"/>
      <c r="F23" s="81"/>
      <c r="G23" s="164"/>
      <c r="BF23" s="86">
        <f>+SUM(BF25:BF30)</f>
        <v>1460806</v>
      </c>
      <c r="BG23" s="86">
        <f>+SUM(BG25:BG30)</f>
        <v>180179680</v>
      </c>
      <c r="BR23" s="164"/>
      <c r="BS23" s="126"/>
      <c r="DG23" s="86">
        <f>+SUM(DG25:DG30)</f>
        <v>1460806</v>
      </c>
      <c r="DH23" s="86">
        <f>+SUM(DH25:DH30)</f>
        <v>180179680</v>
      </c>
      <c r="DS23" s="164"/>
      <c r="DT23" s="126"/>
    </row>
    <row r="24" spans="2:124" ht="16.2" thickBot="1">
      <c r="E24" s="81"/>
      <c r="F24" s="81"/>
      <c r="G24" s="164"/>
      <c r="BB24" s="166" t="s">
        <v>376</v>
      </c>
      <c r="BC24" s="167"/>
      <c r="BD24" s="167"/>
      <c r="BE24" s="167"/>
      <c r="BF24" s="168">
        <v>1867776</v>
      </c>
      <c r="BG24" s="168">
        <v>236324392</v>
      </c>
      <c r="BH24" s="168">
        <v>12493</v>
      </c>
      <c r="BI24" s="169">
        <v>0.46</v>
      </c>
      <c r="BJ24" s="169">
        <v>0.49</v>
      </c>
      <c r="DC24" s="166" t="s">
        <v>376</v>
      </c>
      <c r="DD24" s="167"/>
      <c r="DE24" s="167"/>
      <c r="DF24" s="167"/>
      <c r="DG24" s="168">
        <v>1867776</v>
      </c>
      <c r="DH24" s="168">
        <v>236324392</v>
      </c>
      <c r="DI24" s="168">
        <v>12493</v>
      </c>
      <c r="DJ24" s="169">
        <v>0.46</v>
      </c>
      <c r="DK24" s="169">
        <v>0.49</v>
      </c>
    </row>
    <row r="25" spans="2:124" ht="16.2" thickBot="1">
      <c r="E25" s="165"/>
      <c r="F25" s="165"/>
      <c r="G25" s="164"/>
      <c r="BB25" s="170" t="s">
        <v>377</v>
      </c>
      <c r="BC25" s="171"/>
      <c r="BD25" s="171"/>
      <c r="BE25" s="171"/>
      <c r="BF25" s="171">
        <v>13895</v>
      </c>
      <c r="BG25" s="171">
        <v>2134887</v>
      </c>
      <c r="BH25" s="171">
        <v>135</v>
      </c>
      <c r="BI25" s="172">
        <v>0</v>
      </c>
      <c r="BJ25" s="172">
        <v>0</v>
      </c>
      <c r="DC25" s="170" t="s">
        <v>377</v>
      </c>
      <c r="DD25" s="171"/>
      <c r="DE25" s="171"/>
      <c r="DF25" s="171"/>
      <c r="DG25" s="171">
        <v>13895</v>
      </c>
      <c r="DH25" s="171">
        <v>2134887</v>
      </c>
      <c r="DI25" s="171">
        <v>135</v>
      </c>
      <c r="DJ25" s="172">
        <v>0</v>
      </c>
      <c r="DK25" s="172">
        <v>0</v>
      </c>
    </row>
    <row r="26" spans="2:124" ht="16.2" thickBot="1">
      <c r="B26" s="86" t="s">
        <v>378</v>
      </c>
      <c r="E26" s="126"/>
      <c r="F26" s="126"/>
      <c r="G26" s="164"/>
      <c r="BB26" s="173" t="s">
        <v>379</v>
      </c>
      <c r="BC26" s="174"/>
      <c r="BD26" s="174"/>
      <c r="BE26" s="174"/>
      <c r="BF26" s="174">
        <v>699392</v>
      </c>
      <c r="BG26" s="174">
        <v>85862380</v>
      </c>
      <c r="BH26" s="174">
        <v>2077</v>
      </c>
      <c r="BI26" s="175">
        <v>0.17</v>
      </c>
      <c r="BJ26" s="175">
        <v>0.18</v>
      </c>
      <c r="DC26" s="173" t="s">
        <v>379</v>
      </c>
      <c r="DD26" s="174"/>
      <c r="DE26" s="174"/>
      <c r="DF26" s="174"/>
      <c r="DG26" s="174">
        <v>699392</v>
      </c>
      <c r="DH26" s="174">
        <v>85862380</v>
      </c>
      <c r="DI26" s="174">
        <v>2077</v>
      </c>
      <c r="DJ26" s="175">
        <v>0.17</v>
      </c>
      <c r="DK26" s="175">
        <v>0.18</v>
      </c>
    </row>
    <row r="27" spans="2:124" ht="16.2" thickBot="1">
      <c r="BB27" s="173" t="s">
        <v>380</v>
      </c>
      <c r="BC27" s="174"/>
      <c r="BD27" s="174"/>
      <c r="BE27" s="174"/>
      <c r="BF27" s="174">
        <v>358807</v>
      </c>
      <c r="BG27" s="174">
        <v>37320981</v>
      </c>
      <c r="BH27" s="174">
        <v>215</v>
      </c>
      <c r="BI27" s="175">
        <v>0.09</v>
      </c>
      <c r="BJ27" s="175">
        <v>0.08</v>
      </c>
      <c r="DC27" s="173" t="s">
        <v>380</v>
      </c>
      <c r="DD27" s="174"/>
      <c r="DE27" s="174"/>
      <c r="DF27" s="174"/>
      <c r="DG27" s="174">
        <v>358807</v>
      </c>
      <c r="DH27" s="174">
        <v>37320981</v>
      </c>
      <c r="DI27" s="174">
        <v>215</v>
      </c>
      <c r="DJ27" s="175">
        <v>0.09</v>
      </c>
      <c r="DK27" s="175">
        <v>0.08</v>
      </c>
    </row>
    <row r="28" spans="2:124" ht="16.2" thickBot="1">
      <c r="BB28" s="176" t="s">
        <v>381</v>
      </c>
      <c r="BC28" s="177"/>
      <c r="BD28" s="177"/>
      <c r="BE28" s="177"/>
      <c r="BF28" s="177">
        <v>41286</v>
      </c>
      <c r="BG28" s="177">
        <v>4741928</v>
      </c>
      <c r="BH28" s="177">
        <v>737</v>
      </c>
      <c r="BI28" s="178">
        <v>0.01</v>
      </c>
      <c r="BJ28" s="178">
        <v>0.01</v>
      </c>
      <c r="DC28" s="176" t="s">
        <v>381</v>
      </c>
      <c r="DD28" s="177"/>
      <c r="DE28" s="177"/>
      <c r="DF28" s="177"/>
      <c r="DG28" s="177">
        <v>41286</v>
      </c>
      <c r="DH28" s="177">
        <v>4741928</v>
      </c>
      <c r="DI28" s="177">
        <v>737</v>
      </c>
      <c r="DJ28" s="178">
        <v>0.01</v>
      </c>
      <c r="DK28" s="178">
        <v>0.01</v>
      </c>
    </row>
    <row r="29" spans="2:124" ht="16.2" thickBot="1">
      <c r="B29" s="86" t="s">
        <v>382</v>
      </c>
      <c r="BB29" s="176" t="s">
        <v>383</v>
      </c>
      <c r="BC29" s="177"/>
      <c r="BD29" s="177"/>
      <c r="BE29" s="177"/>
      <c r="BF29" s="177">
        <v>65739</v>
      </c>
      <c r="BG29" s="177">
        <v>9009592</v>
      </c>
      <c r="BH29" s="177">
        <v>1393</v>
      </c>
      <c r="BI29" s="178">
        <v>0.02</v>
      </c>
      <c r="BJ29" s="178">
        <v>0.02</v>
      </c>
      <c r="DC29" s="176" t="s">
        <v>383</v>
      </c>
      <c r="DD29" s="177"/>
      <c r="DE29" s="177"/>
      <c r="DF29" s="177"/>
      <c r="DG29" s="177">
        <v>65739</v>
      </c>
      <c r="DH29" s="177">
        <v>9009592</v>
      </c>
      <c r="DI29" s="177">
        <v>1393</v>
      </c>
      <c r="DJ29" s="178">
        <v>0.02</v>
      </c>
      <c r="DK29" s="178">
        <v>0.02</v>
      </c>
    </row>
    <row r="30" spans="2:124" ht="16.2" thickBot="1">
      <c r="BB30" s="176" t="s">
        <v>384</v>
      </c>
      <c r="BC30" s="177"/>
      <c r="BD30" s="177"/>
      <c r="BE30" s="177"/>
      <c r="BF30" s="177">
        <v>281687</v>
      </c>
      <c r="BG30" s="177">
        <v>41109912</v>
      </c>
      <c r="BH30" s="177">
        <v>6900</v>
      </c>
      <c r="BI30" s="178">
        <v>7.0000000000000007E-2</v>
      </c>
      <c r="BJ30" s="178">
        <v>0.08</v>
      </c>
      <c r="DC30" s="176" t="s">
        <v>384</v>
      </c>
      <c r="DD30" s="177"/>
      <c r="DE30" s="177"/>
      <c r="DF30" s="177"/>
      <c r="DG30" s="177">
        <v>281687</v>
      </c>
      <c r="DH30" s="177">
        <v>41109912</v>
      </c>
      <c r="DI30" s="177">
        <v>6900</v>
      </c>
      <c r="DJ30" s="178">
        <v>7.0000000000000007E-2</v>
      </c>
      <c r="DK30" s="178">
        <v>0.08</v>
      </c>
    </row>
    <row r="31" spans="2:124" ht="16.2" thickBot="1">
      <c r="BB31" s="176" t="s">
        <v>385</v>
      </c>
      <c r="BC31" s="177"/>
      <c r="BD31" s="177"/>
      <c r="BE31" s="177"/>
      <c r="BF31" s="177">
        <v>19187</v>
      </c>
      <c r="BG31" s="177">
        <v>2203426</v>
      </c>
      <c r="BH31" s="177">
        <v>1027</v>
      </c>
      <c r="BI31" s="178">
        <v>0</v>
      </c>
      <c r="BJ31" s="178">
        <v>0</v>
      </c>
      <c r="DC31" s="176" t="s">
        <v>385</v>
      </c>
      <c r="DD31" s="177"/>
      <c r="DE31" s="177"/>
      <c r="DF31" s="177"/>
      <c r="DG31" s="177">
        <v>19187</v>
      </c>
      <c r="DH31" s="177">
        <v>2203426</v>
      </c>
      <c r="DI31" s="177">
        <v>1027</v>
      </c>
      <c r="DJ31" s="178">
        <v>0</v>
      </c>
      <c r="DK31" s="178">
        <v>0</v>
      </c>
    </row>
    <row r="32" spans="2:124" ht="16.2" thickBot="1">
      <c r="BF32" s="179">
        <v>387783</v>
      </c>
      <c r="BG32" s="180">
        <v>53941286</v>
      </c>
      <c r="DG32" s="179">
        <v>387783</v>
      </c>
      <c r="DH32" s="180">
        <v>53941286</v>
      </c>
    </row>
    <row r="33" spans="52:121">
      <c r="BF33" s="144">
        <f>+SUM(BF25:BF31)</f>
        <v>1479993</v>
      </c>
      <c r="BG33" s="144">
        <f>+SUM(BG25:BG31)</f>
        <v>182383106</v>
      </c>
      <c r="DG33" s="144">
        <f>+SUM(DG25:DG31)</f>
        <v>1479993</v>
      </c>
      <c r="DH33" s="144">
        <f>+SUM(DH25:DH31)</f>
        <v>182383106</v>
      </c>
    </row>
    <row r="36" spans="52:121">
      <c r="BC36" s="86" t="s">
        <v>386</v>
      </c>
      <c r="DD36" s="86" t="s">
        <v>386</v>
      </c>
    </row>
    <row r="38" spans="52:121">
      <c r="BB38" s="86" t="s">
        <v>387</v>
      </c>
      <c r="DC38" s="86" t="s">
        <v>387</v>
      </c>
    </row>
    <row r="39" spans="52:121">
      <c r="BA39" s="86" t="s">
        <v>388</v>
      </c>
      <c r="BP39" s="86" t="s">
        <v>389</v>
      </c>
      <c r="DB39" s="86" t="s">
        <v>388</v>
      </c>
      <c r="DQ39" s="86" t="s">
        <v>389</v>
      </c>
    </row>
    <row r="40" spans="52:121" ht="15.6">
      <c r="AZ40" s="84" t="s">
        <v>354</v>
      </c>
      <c r="BA40" s="143">
        <v>152.03700000000001</v>
      </c>
      <c r="BB40" s="181" t="s">
        <v>334</v>
      </c>
      <c r="BC40" s="182">
        <v>144.60249695344072</v>
      </c>
      <c r="BE40" s="182">
        <v>151.34126773213174</v>
      </c>
      <c r="BF40" s="182">
        <v>151.21164822920173</v>
      </c>
      <c r="BG40" s="182">
        <v>153.96316204558372</v>
      </c>
      <c r="BH40" s="182">
        <v>152.4161204193758</v>
      </c>
      <c r="BI40" s="182">
        <v>152.60261571798111</v>
      </c>
      <c r="BJ40" s="182">
        <v>152.16402189824737</v>
      </c>
      <c r="BK40" s="182">
        <v>152.34217202191516</v>
      </c>
      <c r="BL40" s="183">
        <v>153.16265540975979</v>
      </c>
      <c r="BM40" s="156">
        <f t="shared" ref="BM40:BM46" si="4">+AVERAGE(BC40:BL40)</f>
        <v>151.53401782529301</v>
      </c>
      <c r="BO40" s="86">
        <f>+BA40/BA$45</f>
        <v>0.20580973188976698</v>
      </c>
      <c r="BP40" s="86">
        <f>+BM40*BO40</f>
        <v>31.187175580802723</v>
      </c>
      <c r="DA40" s="84" t="s">
        <v>354</v>
      </c>
      <c r="DB40" s="143">
        <v>152.03700000000001</v>
      </c>
      <c r="DC40" s="181" t="s">
        <v>334</v>
      </c>
      <c r="DD40" s="182">
        <v>144.60249695344072</v>
      </c>
      <c r="DF40" s="182">
        <v>151.34126773213174</v>
      </c>
      <c r="DG40" s="182">
        <v>151.21164822920173</v>
      </c>
      <c r="DH40" s="182">
        <v>153.96316204558372</v>
      </c>
      <c r="DI40" s="182">
        <v>152.4161204193758</v>
      </c>
      <c r="DJ40" s="182">
        <v>152.60261571798111</v>
      </c>
      <c r="DK40" s="182">
        <v>152.16402189824737</v>
      </c>
      <c r="DL40" s="182">
        <v>152.34217202191516</v>
      </c>
      <c r="DM40" s="183">
        <v>153.16265540975979</v>
      </c>
      <c r="DN40" s="156">
        <f t="shared" ref="DN40:DN46" si="5">+AVERAGE(DD40:DM40)</f>
        <v>151.53401782529301</v>
      </c>
      <c r="DP40" s="86">
        <f>+DB40/DB$45</f>
        <v>0.20580973188976698</v>
      </c>
      <c r="DQ40" s="86">
        <f>+DN40*DP40</f>
        <v>31.187175580802723</v>
      </c>
    </row>
    <row r="41" spans="52:121" ht="15.6">
      <c r="AZ41" s="84" t="s">
        <v>358</v>
      </c>
      <c r="BA41" s="143">
        <v>151.26</v>
      </c>
      <c r="BB41" s="181" t="s">
        <v>349</v>
      </c>
      <c r="BC41" s="182">
        <v>154.29271678536159</v>
      </c>
      <c r="BE41" s="182">
        <v>162.60375249422427</v>
      </c>
      <c r="BF41" s="182">
        <v>161.91378014433204</v>
      </c>
      <c r="BG41" s="182">
        <v>161.59338624905553</v>
      </c>
      <c r="BH41" s="182">
        <v>162.52654582616336</v>
      </c>
      <c r="BI41" s="182">
        <v>161.44277761718922</v>
      </c>
      <c r="BJ41" s="182">
        <v>162.01431571404831</v>
      </c>
      <c r="BK41" s="182">
        <v>163.19427497955957</v>
      </c>
      <c r="BL41" s="183">
        <v>164.37080221797592</v>
      </c>
      <c r="BM41" s="156">
        <f t="shared" si="4"/>
        <v>161.55026133643443</v>
      </c>
      <c r="BO41" s="86">
        <f>+BA41/BA$45</f>
        <v>0.20475792106951696</v>
      </c>
      <c r="BP41" s="86">
        <f>+BM41*BO41</f>
        <v>33.078695659485476</v>
      </c>
      <c r="DA41" s="84" t="s">
        <v>358</v>
      </c>
      <c r="DB41" s="143">
        <v>151.26</v>
      </c>
      <c r="DC41" s="181" t="s">
        <v>349</v>
      </c>
      <c r="DD41" s="182">
        <v>154.29271678536159</v>
      </c>
      <c r="DF41" s="182">
        <v>162.60375249422427</v>
      </c>
      <c r="DG41" s="182">
        <v>161.91378014433204</v>
      </c>
      <c r="DH41" s="182">
        <v>161.59338624905553</v>
      </c>
      <c r="DI41" s="182">
        <v>162.52654582616336</v>
      </c>
      <c r="DJ41" s="182">
        <v>161.44277761718922</v>
      </c>
      <c r="DK41" s="182">
        <v>162.01431571404831</v>
      </c>
      <c r="DL41" s="182">
        <v>163.19427497955957</v>
      </c>
      <c r="DM41" s="183">
        <v>164.37080221797592</v>
      </c>
      <c r="DN41" s="156">
        <f t="shared" si="5"/>
        <v>161.55026133643443</v>
      </c>
      <c r="DP41" s="86">
        <f>+DB41/DB$45</f>
        <v>0.20475792106951696</v>
      </c>
      <c r="DQ41" s="86">
        <f>+DN41*DP41</f>
        <v>33.078695659485476</v>
      </c>
    </row>
    <row r="42" spans="52:121" ht="15.6">
      <c r="AZ42" s="84" t="s">
        <v>366</v>
      </c>
      <c r="BA42" s="143">
        <v>281</v>
      </c>
      <c r="BB42" s="181" t="s">
        <v>353</v>
      </c>
      <c r="BC42" s="182">
        <v>143.37179431305941</v>
      </c>
      <c r="BE42" s="182">
        <v>151.07872567885397</v>
      </c>
      <c r="BF42" s="182">
        <v>147.59958305830475</v>
      </c>
      <c r="BG42" s="182">
        <v>146.35297079931314</v>
      </c>
      <c r="BH42" s="182">
        <v>151.34818791139207</v>
      </c>
      <c r="BI42" s="182">
        <v>151.04186240264954</v>
      </c>
      <c r="BJ42" s="182">
        <v>143.43874320385387</v>
      </c>
      <c r="BK42" s="182">
        <v>143.32190026792028</v>
      </c>
      <c r="BL42" s="183">
        <v>142.41441472762415</v>
      </c>
      <c r="BM42" s="156">
        <f t="shared" si="4"/>
        <v>146.66313137366348</v>
      </c>
      <c r="BO42" s="86">
        <f>+BA42/BA$45</f>
        <v>0.38038460809555913</v>
      </c>
      <c r="BP42" s="86">
        <f>+BM42*BO42</f>
        <v>55.788397749638484</v>
      </c>
      <c r="DA42" s="84" t="s">
        <v>366</v>
      </c>
      <c r="DB42" s="143">
        <v>281</v>
      </c>
      <c r="DC42" s="181" t="s">
        <v>353</v>
      </c>
      <c r="DD42" s="182">
        <v>143.37179431305941</v>
      </c>
      <c r="DF42" s="182">
        <v>151.07872567885397</v>
      </c>
      <c r="DG42" s="182">
        <v>147.59958305830475</v>
      </c>
      <c r="DH42" s="182">
        <v>146.35297079931314</v>
      </c>
      <c r="DI42" s="182">
        <v>151.34818791139207</v>
      </c>
      <c r="DJ42" s="182">
        <v>151.04186240264954</v>
      </c>
      <c r="DK42" s="182">
        <v>143.43874320385387</v>
      </c>
      <c r="DL42" s="182">
        <v>143.32190026792028</v>
      </c>
      <c r="DM42" s="183">
        <v>142.41441472762415</v>
      </c>
      <c r="DN42" s="156">
        <f t="shared" si="5"/>
        <v>146.66313137366348</v>
      </c>
      <c r="DP42" s="86">
        <f>+DB42/DB$45</f>
        <v>0.38038460809555913</v>
      </c>
      <c r="DQ42" s="86">
        <f>+DN42*DP42</f>
        <v>55.788397749638484</v>
      </c>
    </row>
    <row r="43" spans="52:121" ht="15.6">
      <c r="AZ43" s="84" t="s">
        <v>357</v>
      </c>
      <c r="BA43" s="143">
        <v>117.63</v>
      </c>
      <c r="BB43" s="181" t="s">
        <v>390</v>
      </c>
      <c r="BC43" s="182">
        <v>548.89700348381257</v>
      </c>
      <c r="BE43" s="182">
        <v>606.98288553941427</v>
      </c>
      <c r="BF43" s="182">
        <v>605.23848510338496</v>
      </c>
      <c r="BG43" s="182">
        <v>560.49855358974298</v>
      </c>
      <c r="BH43" s="182">
        <v>668.59735394138454</v>
      </c>
      <c r="BI43" s="182">
        <v>146.3932784695341</v>
      </c>
      <c r="BJ43" s="182">
        <v>146.29739512972236</v>
      </c>
      <c r="BK43" s="182">
        <v>146.37222630832198</v>
      </c>
      <c r="BL43" s="183">
        <v>146.48977179658488</v>
      </c>
      <c r="BM43" s="156">
        <f t="shared" si="4"/>
        <v>397.3074392624336</v>
      </c>
      <c r="BO43" s="86">
        <f>+BA43/BA$45</f>
        <v>0.15923359946719082</v>
      </c>
      <c r="BP43" s="86">
        <f>+BM43*BO43</f>
        <v>63.264693648849594</v>
      </c>
      <c r="DA43" s="84" t="s">
        <v>357</v>
      </c>
      <c r="DB43" s="143">
        <v>117.63</v>
      </c>
      <c r="DC43" s="181" t="s">
        <v>390</v>
      </c>
      <c r="DD43" s="182">
        <v>548.89700348381257</v>
      </c>
      <c r="DF43" s="182">
        <v>606.98288553941427</v>
      </c>
      <c r="DG43" s="182">
        <v>605.23848510338496</v>
      </c>
      <c r="DH43" s="182">
        <v>560.49855358974298</v>
      </c>
      <c r="DI43" s="182">
        <v>668.59735394138454</v>
      </c>
      <c r="DJ43" s="182">
        <v>146.3932784695341</v>
      </c>
      <c r="DK43" s="182">
        <v>146.29739512972236</v>
      </c>
      <c r="DL43" s="182">
        <v>146.37222630832198</v>
      </c>
      <c r="DM43" s="183">
        <v>146.48977179658488</v>
      </c>
      <c r="DN43" s="156">
        <f t="shared" si="5"/>
        <v>397.3074392624336</v>
      </c>
      <c r="DP43" s="86">
        <f>+DB43/DB$45</f>
        <v>0.15923359946719082</v>
      </c>
      <c r="DQ43" s="86">
        <f>+DN43*DP43</f>
        <v>63.264693648849594</v>
      </c>
    </row>
    <row r="44" spans="52:121" ht="15.6">
      <c r="AZ44" s="84" t="s">
        <v>361</v>
      </c>
      <c r="BA44" s="143">
        <v>36.798999999999999</v>
      </c>
      <c r="BB44" s="181" t="s">
        <v>357</v>
      </c>
      <c r="BC44" s="182">
        <v>39.684397845059749</v>
      </c>
      <c r="BE44" s="182">
        <v>35.912007487233808</v>
      </c>
      <c r="BF44" s="182">
        <v>35.760612242125106</v>
      </c>
      <c r="BG44" s="182">
        <v>38.58126730546531</v>
      </c>
      <c r="BH44" s="182">
        <v>32.556797156956449</v>
      </c>
      <c r="BI44" s="182">
        <v>149.19990198014438</v>
      </c>
      <c r="BJ44" s="182">
        <v>149.33659423092189</v>
      </c>
      <c r="BK44" s="182">
        <v>149.3907051483821</v>
      </c>
      <c r="BL44" s="183">
        <v>149.64593109205248</v>
      </c>
      <c r="BM44" s="156">
        <f t="shared" si="4"/>
        <v>86.674246054260138</v>
      </c>
      <c r="BO44" s="86">
        <f>+BA44/BA$45</f>
        <v>4.9814139477966118E-2</v>
      </c>
      <c r="BP44" s="86">
        <f>+BM44*BO44</f>
        <v>4.3176029820944688</v>
      </c>
      <c r="DA44" s="84" t="s">
        <v>361</v>
      </c>
      <c r="DB44" s="143">
        <v>36.798999999999999</v>
      </c>
      <c r="DC44" s="181" t="s">
        <v>357</v>
      </c>
      <c r="DD44" s="182">
        <v>39.684397845059749</v>
      </c>
      <c r="DF44" s="182">
        <v>35.912007487233808</v>
      </c>
      <c r="DG44" s="182">
        <v>35.760612242125106</v>
      </c>
      <c r="DH44" s="182">
        <v>38.58126730546531</v>
      </c>
      <c r="DI44" s="182">
        <v>32.556797156956449</v>
      </c>
      <c r="DJ44" s="182">
        <v>149.19990198014438</v>
      </c>
      <c r="DK44" s="182">
        <v>149.33659423092189</v>
      </c>
      <c r="DL44" s="182">
        <v>149.3907051483821</v>
      </c>
      <c r="DM44" s="183">
        <v>149.64593109205248</v>
      </c>
      <c r="DN44" s="156">
        <f t="shared" si="5"/>
        <v>86.674246054260138</v>
      </c>
      <c r="DP44" s="86">
        <f>+DB44/DB$45</f>
        <v>4.9814139477966118E-2</v>
      </c>
      <c r="DQ44" s="86">
        <f>+DN44*DP44</f>
        <v>4.3176029820944688</v>
      </c>
    </row>
    <row r="45" spans="52:121" ht="15.6">
      <c r="BA45" s="143">
        <f>+SUM(BA40:BA44)</f>
        <v>738.726</v>
      </c>
      <c r="BB45" s="184" t="s">
        <v>391</v>
      </c>
      <c r="BC45" s="185">
        <v>114.95290234066783</v>
      </c>
      <c r="BE45" s="185">
        <v>120.849360247146</v>
      </c>
      <c r="BF45" s="185">
        <v>114.68160108539131</v>
      </c>
      <c r="BG45" s="185">
        <v>114.91319283712635</v>
      </c>
      <c r="BH45" s="185">
        <v>118.47606921119105</v>
      </c>
      <c r="BI45" s="185">
        <v>118.92698919565009</v>
      </c>
      <c r="BJ45" s="185">
        <v>115.44778781423493</v>
      </c>
      <c r="BK45" s="185">
        <v>116.52988733931586</v>
      </c>
      <c r="BL45" s="186">
        <v>101.45539978868553</v>
      </c>
      <c r="BM45" s="156">
        <f t="shared" si="4"/>
        <v>115.1370210954899</v>
      </c>
      <c r="BO45" s="80">
        <f>+SUM(BP40:BP44)</f>
        <v>187.63656562087073</v>
      </c>
      <c r="BP45" s="86" t="s">
        <v>392</v>
      </c>
      <c r="DB45" s="143">
        <f>+SUM(DB40:DB44)</f>
        <v>738.726</v>
      </c>
      <c r="DC45" s="184" t="s">
        <v>391</v>
      </c>
      <c r="DD45" s="185">
        <v>114.95290234066783</v>
      </c>
      <c r="DF45" s="185">
        <v>120.849360247146</v>
      </c>
      <c r="DG45" s="185">
        <v>114.68160108539131</v>
      </c>
      <c r="DH45" s="185">
        <v>114.91319283712635</v>
      </c>
      <c r="DI45" s="185">
        <v>118.47606921119105</v>
      </c>
      <c r="DJ45" s="185">
        <v>118.92698919565009</v>
      </c>
      <c r="DK45" s="185">
        <v>115.44778781423493</v>
      </c>
      <c r="DL45" s="185">
        <v>116.52988733931586</v>
      </c>
      <c r="DM45" s="186">
        <v>101.45539978868553</v>
      </c>
      <c r="DN45" s="156">
        <f t="shared" si="5"/>
        <v>115.1370210954899</v>
      </c>
      <c r="DP45" s="80">
        <f>+SUM(DQ40:DQ44)</f>
        <v>187.63656562087073</v>
      </c>
      <c r="DQ45" s="86" t="s">
        <v>392</v>
      </c>
    </row>
    <row r="46" spans="52:121" ht="15.6">
      <c r="BB46" s="184" t="s">
        <v>374</v>
      </c>
      <c r="BC46" s="185">
        <v>85.859597980560096</v>
      </c>
      <c r="BE46" s="185">
        <v>85.06987542826559</v>
      </c>
      <c r="BF46" s="185">
        <v>83.838931783317349</v>
      </c>
      <c r="BG46" s="185">
        <v>83.297928563725392</v>
      </c>
      <c r="BH46" s="185">
        <v>84.795602189697078</v>
      </c>
      <c r="BI46" s="185">
        <v>85.960983340951302</v>
      </c>
      <c r="BJ46" s="185">
        <v>85.112552737907905</v>
      </c>
      <c r="BK46" s="185">
        <v>84.787817029584744</v>
      </c>
      <c r="BL46" s="186">
        <v>83.773287988440643</v>
      </c>
      <c r="BM46" s="156">
        <f t="shared" si="4"/>
        <v>84.721841893605571</v>
      </c>
      <c r="DC46" s="184" t="s">
        <v>374</v>
      </c>
      <c r="DD46" s="185">
        <v>85.859597980560096</v>
      </c>
      <c r="DF46" s="185">
        <v>85.06987542826559</v>
      </c>
      <c r="DG46" s="185">
        <v>83.838931783317349</v>
      </c>
      <c r="DH46" s="185">
        <v>83.297928563725392</v>
      </c>
      <c r="DI46" s="185">
        <v>84.795602189697078</v>
      </c>
      <c r="DJ46" s="185">
        <v>85.960983340951302</v>
      </c>
      <c r="DK46" s="185">
        <v>85.112552737907905</v>
      </c>
      <c r="DL46" s="185">
        <v>84.787817029584744</v>
      </c>
      <c r="DM46" s="186">
        <v>83.773287988440643</v>
      </c>
      <c r="DN46" s="156">
        <f t="shared" si="5"/>
        <v>84.721841893605571</v>
      </c>
    </row>
  </sheetData>
  <mergeCells count="2">
    <mergeCell ref="D4:E4"/>
    <mergeCell ref="G4:I4"/>
  </mergeCells>
  <conditionalFormatting sqref="BB40:DM46">
    <cfRule type="expression" dxfId="2" priority="1">
      <formula>MOD(ROW(),2)=0</formula>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7D03B1-76CA-4444-8591-B2F60949B897}">
  <sheetPr codeName="Hoja10"/>
  <dimension ref="A1:AF16"/>
  <sheetViews>
    <sheetView workbookViewId="0">
      <selection activeCell="D12" sqref="D12"/>
    </sheetView>
  </sheetViews>
  <sheetFormatPr baseColWidth="10" defaultColWidth="8.88671875" defaultRowHeight="14.4"/>
  <cols>
    <col min="1" max="1" width="8.88671875" style="85"/>
    <col min="2" max="2" width="16.88671875" style="85" bestFit="1" customWidth="1"/>
    <col min="3" max="3" width="46" style="85" bestFit="1" customWidth="1"/>
    <col min="4" max="4" width="17.5546875" style="85" customWidth="1"/>
    <col min="5" max="6" width="8.88671875" style="85"/>
    <col min="7" max="7" width="9.33203125" style="85" bestFit="1" customWidth="1"/>
    <col min="8" max="8" width="9.33203125" style="85" customWidth="1"/>
    <col min="9" max="9" width="12.44140625" style="85" bestFit="1" customWidth="1"/>
    <col min="10" max="10" width="13.33203125" style="85" customWidth="1"/>
    <col min="11" max="28" width="8.33203125" style="85" customWidth="1"/>
    <col min="29" max="29" width="9" style="85" bestFit="1" customWidth="1"/>
    <col min="30" max="30" width="9.109375" style="85" bestFit="1" customWidth="1"/>
    <col min="31" max="31" width="4.33203125" style="85" bestFit="1" customWidth="1"/>
    <col min="32" max="16384" width="8.88671875" style="85"/>
  </cols>
  <sheetData>
    <row r="1" spans="1:32">
      <c r="A1" s="187" t="s">
        <v>393</v>
      </c>
      <c r="B1" s="85" t="s">
        <v>394</v>
      </c>
      <c r="C1" s="187" t="s">
        <v>395</v>
      </c>
      <c r="D1" s="85" t="s">
        <v>396</v>
      </c>
      <c r="F1" s="85" t="s">
        <v>397</v>
      </c>
      <c r="G1" s="85" t="s">
        <v>398</v>
      </c>
      <c r="H1" s="85" t="s">
        <v>399</v>
      </c>
      <c r="I1" s="85" t="s">
        <v>400</v>
      </c>
      <c r="J1" s="85" t="s">
        <v>401</v>
      </c>
      <c r="K1" s="818" t="s">
        <v>402</v>
      </c>
      <c r="L1" s="818"/>
      <c r="M1" s="818"/>
      <c r="N1" s="818"/>
      <c r="O1" s="818"/>
      <c r="P1" s="818"/>
      <c r="Q1" s="818"/>
      <c r="R1" s="704"/>
      <c r="S1" s="704"/>
      <c r="T1" s="819" t="s">
        <v>403</v>
      </c>
      <c r="U1" s="819"/>
      <c r="V1" s="819"/>
      <c r="W1" s="819"/>
      <c r="X1" s="819"/>
      <c r="Y1" s="819"/>
      <c r="Z1" s="819"/>
      <c r="AA1" s="705"/>
      <c r="AB1" s="705"/>
      <c r="AC1" s="85" t="s">
        <v>404</v>
      </c>
      <c r="AD1" s="85" t="s">
        <v>405</v>
      </c>
      <c r="AE1" s="85" t="s">
        <v>1021</v>
      </c>
      <c r="AF1" s="85" t="s">
        <v>1022</v>
      </c>
    </row>
    <row r="2" spans="1:32">
      <c r="A2" s="187"/>
      <c r="B2" s="85" t="s">
        <v>406</v>
      </c>
      <c r="C2" s="85" t="s">
        <v>407</v>
      </c>
      <c r="D2" s="85" t="s">
        <v>408</v>
      </c>
      <c r="F2" s="85" t="s">
        <v>14</v>
      </c>
      <c r="G2" s="85">
        <v>1</v>
      </c>
      <c r="H2" s="85" t="s">
        <v>409</v>
      </c>
      <c r="I2" s="258" t="s">
        <v>410</v>
      </c>
      <c r="J2" s="188" t="s">
        <v>411</v>
      </c>
      <c r="K2" s="85" t="s">
        <v>406</v>
      </c>
      <c r="L2" s="85" t="s">
        <v>412</v>
      </c>
      <c r="M2" s="85" t="s">
        <v>413</v>
      </c>
      <c r="N2" s="85" t="s">
        <v>414</v>
      </c>
      <c r="O2" s="85" t="s">
        <v>415</v>
      </c>
      <c r="P2" s="85" t="s">
        <v>416</v>
      </c>
      <c r="Q2" s="85" t="s">
        <v>417</v>
      </c>
      <c r="R2" s="85" t="s">
        <v>1007</v>
      </c>
      <c r="S2" s="85" t="s">
        <v>1006</v>
      </c>
      <c r="T2" s="85" t="s">
        <v>406</v>
      </c>
      <c r="U2" s="85" t="s">
        <v>412</v>
      </c>
      <c r="V2" s="85" t="s">
        <v>413</v>
      </c>
      <c r="W2" s="85" t="s">
        <v>414</v>
      </c>
      <c r="X2" s="85" t="s">
        <v>415</v>
      </c>
      <c r="Y2" s="85" t="s">
        <v>416</v>
      </c>
      <c r="Z2" s="85" t="s">
        <v>417</v>
      </c>
      <c r="AA2" s="85" t="s">
        <v>1007</v>
      </c>
      <c r="AB2" s="85" t="s">
        <v>1006</v>
      </c>
      <c r="AC2" s="85" t="s">
        <v>418</v>
      </c>
      <c r="AD2" s="85" t="s">
        <v>419</v>
      </c>
      <c r="AE2" s="85" t="s">
        <v>1001</v>
      </c>
      <c r="AF2" s="85" t="s">
        <v>1023</v>
      </c>
    </row>
    <row r="3" spans="1:32">
      <c r="A3" s="187" t="s">
        <v>420</v>
      </c>
      <c r="B3" s="85" t="s">
        <v>412</v>
      </c>
      <c r="C3" s="85" t="s">
        <v>421</v>
      </c>
      <c r="D3" s="85" t="s">
        <v>422</v>
      </c>
      <c r="F3" s="85" t="s">
        <v>423</v>
      </c>
      <c r="G3" s="85">
        <v>2</v>
      </c>
      <c r="H3" s="85" t="s">
        <v>424</v>
      </c>
      <c r="I3" s="258">
        <v>2</v>
      </c>
      <c r="K3" s="85" t="s">
        <v>425</v>
      </c>
      <c r="L3" s="85" t="s">
        <v>426</v>
      </c>
      <c r="M3" s="85" t="s">
        <v>425</v>
      </c>
      <c r="N3" s="85" t="s">
        <v>425</v>
      </c>
      <c r="O3" s="85" t="s">
        <v>426</v>
      </c>
      <c r="P3" s="85" t="s">
        <v>425</v>
      </c>
      <c r="Q3" s="85" t="s">
        <v>425</v>
      </c>
      <c r="R3" s="85" t="s">
        <v>1007</v>
      </c>
      <c r="S3" s="85" t="s">
        <v>1028</v>
      </c>
      <c r="T3" s="85" t="s">
        <v>427</v>
      </c>
      <c r="U3" s="85" t="s">
        <v>428</v>
      </c>
      <c r="V3" s="85" t="s">
        <v>427</v>
      </c>
      <c r="W3" s="85" t="s">
        <v>429</v>
      </c>
      <c r="X3" s="85" t="s">
        <v>430</v>
      </c>
      <c r="Y3" s="85" t="s">
        <v>429</v>
      </c>
      <c r="Z3" s="85" t="s">
        <v>431</v>
      </c>
      <c r="AA3" s="85" t="s">
        <v>1010</v>
      </c>
      <c r="AB3" s="85" t="s">
        <v>451</v>
      </c>
      <c r="AC3" s="85" t="s">
        <v>432</v>
      </c>
      <c r="AD3" s="85" t="s">
        <v>433</v>
      </c>
      <c r="AE3" s="85" t="s">
        <v>1002</v>
      </c>
      <c r="AF3" s="85" t="s">
        <v>1024</v>
      </c>
    </row>
    <row r="4" spans="1:32">
      <c r="A4" s="187" t="s">
        <v>434</v>
      </c>
      <c r="B4" s="85" t="s">
        <v>413</v>
      </c>
      <c r="C4" s="187" t="s">
        <v>435</v>
      </c>
      <c r="D4" s="85" t="s">
        <v>436</v>
      </c>
      <c r="F4" s="85" t="s">
        <v>437</v>
      </c>
      <c r="G4" s="85">
        <v>3</v>
      </c>
      <c r="H4" s="85" t="s">
        <v>438</v>
      </c>
      <c r="I4" s="258">
        <v>3</v>
      </c>
      <c r="L4" s="85" t="s">
        <v>439</v>
      </c>
      <c r="M4" s="85" t="s">
        <v>440</v>
      </c>
      <c r="O4" s="85" t="s">
        <v>439</v>
      </c>
      <c r="P4" s="85" t="s">
        <v>440</v>
      </c>
      <c r="Q4" s="85" t="s">
        <v>440</v>
      </c>
      <c r="S4" s="85" t="s">
        <v>1007</v>
      </c>
      <c r="U4" s="85" t="s">
        <v>441</v>
      </c>
      <c r="V4" s="85" t="s">
        <v>442</v>
      </c>
      <c r="X4" s="85" t="s">
        <v>443</v>
      </c>
      <c r="Y4" s="85" t="s">
        <v>444</v>
      </c>
      <c r="Z4" s="85" t="s">
        <v>445</v>
      </c>
      <c r="AB4" s="85" t="s">
        <v>1010</v>
      </c>
    </row>
    <row r="5" spans="1:32">
      <c r="A5" s="187" t="s">
        <v>446</v>
      </c>
      <c r="B5" s="85" t="s">
        <v>414</v>
      </c>
      <c r="C5" s="85" t="s">
        <v>408</v>
      </c>
      <c r="D5" s="85" t="s">
        <v>408</v>
      </c>
      <c r="F5" s="85" t="s">
        <v>447</v>
      </c>
      <c r="G5" s="85">
        <v>4</v>
      </c>
      <c r="H5" s="85" t="s">
        <v>448</v>
      </c>
      <c r="I5" s="258">
        <v>4</v>
      </c>
      <c r="L5" s="85" t="s">
        <v>210</v>
      </c>
      <c r="M5" s="85" t="s">
        <v>210</v>
      </c>
      <c r="O5" s="85" t="s">
        <v>210</v>
      </c>
      <c r="P5" s="85" t="s">
        <v>210</v>
      </c>
      <c r="Q5" s="85" t="s">
        <v>210</v>
      </c>
      <c r="S5" s="85" t="s">
        <v>1008</v>
      </c>
      <c r="U5" s="85" t="s">
        <v>442</v>
      </c>
      <c r="V5" s="85" t="s">
        <v>449</v>
      </c>
      <c r="X5" s="85" t="s">
        <v>444</v>
      </c>
      <c r="Y5" s="85" t="s">
        <v>450</v>
      </c>
      <c r="Z5" s="85" t="s">
        <v>451</v>
      </c>
      <c r="AB5" s="85" t="s">
        <v>1009</v>
      </c>
    </row>
    <row r="6" spans="1:32">
      <c r="B6" s="85" t="s">
        <v>415</v>
      </c>
      <c r="C6" s="85" t="s">
        <v>422</v>
      </c>
      <c r="D6" s="85" t="s">
        <v>422</v>
      </c>
      <c r="I6" s="258">
        <v>5</v>
      </c>
    </row>
    <row r="7" spans="1:32">
      <c r="B7" s="85" t="s">
        <v>416</v>
      </c>
      <c r="C7" s="85" t="s">
        <v>452</v>
      </c>
      <c r="D7" s="85" t="s">
        <v>436</v>
      </c>
      <c r="I7" s="258">
        <v>6</v>
      </c>
    </row>
    <row r="8" spans="1:32">
      <c r="B8" s="85" t="s">
        <v>417</v>
      </c>
      <c r="C8" s="85" t="s">
        <v>453</v>
      </c>
      <c r="D8" s="85" t="s">
        <v>436</v>
      </c>
      <c r="I8" s="258">
        <v>7</v>
      </c>
    </row>
    <row r="9" spans="1:32">
      <c r="B9" s="85" t="s">
        <v>1007</v>
      </c>
      <c r="C9" s="85" t="s">
        <v>454</v>
      </c>
      <c r="D9" s="85" t="s">
        <v>1031</v>
      </c>
      <c r="I9" s="258">
        <v>8</v>
      </c>
    </row>
    <row r="10" spans="1:32">
      <c r="B10" s="85" t="s">
        <v>1006</v>
      </c>
      <c r="C10" s="85" t="s">
        <v>455</v>
      </c>
      <c r="D10" s="85" t="s">
        <v>1032</v>
      </c>
      <c r="I10" s="258">
        <v>9</v>
      </c>
    </row>
    <row r="11" spans="1:32">
      <c r="C11" s="85" t="s">
        <v>456</v>
      </c>
      <c r="I11" s="258" t="s">
        <v>457</v>
      </c>
    </row>
    <row r="12" spans="1:32">
      <c r="C12" s="85" t="s">
        <v>458</v>
      </c>
    </row>
    <row r="13" spans="1:32">
      <c r="C13" s="85" t="s">
        <v>459</v>
      </c>
    </row>
    <row r="14" spans="1:32">
      <c r="C14" s="85" t="s">
        <v>460</v>
      </c>
    </row>
    <row r="15" spans="1:32">
      <c r="C15" s="85" t="s">
        <v>461</v>
      </c>
      <c r="D15" s="85" t="s">
        <v>918</v>
      </c>
    </row>
    <row r="16" spans="1:32">
      <c r="C16" s="85" t="s">
        <v>462</v>
      </c>
      <c r="D16" s="85" t="s">
        <v>919</v>
      </c>
    </row>
  </sheetData>
  <mergeCells count="2">
    <mergeCell ref="K1:Q1"/>
    <mergeCell ref="T1:Z1"/>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649D54-1A23-49EC-A4C7-E71A7FE4C30E}">
  <sheetPr codeName="Hoja11"/>
  <dimension ref="A1:CX22"/>
  <sheetViews>
    <sheetView topLeftCell="CL1" workbookViewId="0">
      <selection activeCell="CQ15" sqref="CQ15"/>
    </sheetView>
  </sheetViews>
  <sheetFormatPr baseColWidth="10" defaultColWidth="12.44140625" defaultRowHeight="14.4"/>
  <cols>
    <col min="1" max="16384" width="12.44140625" style="189"/>
  </cols>
  <sheetData>
    <row r="1" spans="1:102" s="751" customFormat="1" ht="33" customHeight="1">
      <c r="A1" s="751" t="s">
        <v>463</v>
      </c>
      <c r="B1" s="752" t="s">
        <v>464</v>
      </c>
      <c r="C1" s="752" t="s">
        <v>465</v>
      </c>
      <c r="D1" s="752" t="s">
        <v>466</v>
      </c>
      <c r="E1" s="752" t="s">
        <v>467</v>
      </c>
      <c r="F1" s="752" t="s">
        <v>468</v>
      </c>
      <c r="G1" s="752" t="s">
        <v>469</v>
      </c>
      <c r="H1" s="752" t="s">
        <v>470</v>
      </c>
      <c r="I1" s="752" t="s">
        <v>471</v>
      </c>
      <c r="J1" s="752" t="s">
        <v>472</v>
      </c>
      <c r="K1" s="752" t="s">
        <v>473</v>
      </c>
      <c r="L1" s="752" t="s">
        <v>474</v>
      </c>
      <c r="M1" s="752" t="s">
        <v>475</v>
      </c>
      <c r="N1" s="752" t="s">
        <v>476</v>
      </c>
      <c r="O1" s="752" t="s">
        <v>477</v>
      </c>
      <c r="P1" s="752" t="s">
        <v>478</v>
      </c>
      <c r="Q1" s="752" t="s">
        <v>479</v>
      </c>
      <c r="R1" s="752" t="s">
        <v>480</v>
      </c>
      <c r="S1" s="752" t="s">
        <v>481</v>
      </c>
      <c r="T1" s="752" t="s">
        <v>482</v>
      </c>
      <c r="U1" s="752" t="s">
        <v>483</v>
      </c>
      <c r="V1" s="752" t="s">
        <v>484</v>
      </c>
      <c r="W1" s="752" t="s">
        <v>485</v>
      </c>
      <c r="X1" s="752" t="s">
        <v>486</v>
      </c>
      <c r="Y1" s="752" t="s">
        <v>487</v>
      </c>
      <c r="Z1" s="752" t="s">
        <v>488</v>
      </c>
      <c r="AA1" s="752" t="s">
        <v>489</v>
      </c>
      <c r="AB1" s="752" t="s">
        <v>490</v>
      </c>
      <c r="AC1" s="753" t="s">
        <v>491</v>
      </c>
      <c r="AD1" s="753" t="s">
        <v>492</v>
      </c>
      <c r="AE1" s="753" t="s">
        <v>493</v>
      </c>
      <c r="AF1" s="753" t="s">
        <v>494</v>
      </c>
      <c r="AG1" s="753" t="s">
        <v>495</v>
      </c>
      <c r="AH1" s="753" t="s">
        <v>496</v>
      </c>
      <c r="AI1" s="753" t="s">
        <v>497</v>
      </c>
      <c r="AJ1" s="753" t="s">
        <v>498</v>
      </c>
      <c r="AK1" s="753" t="s">
        <v>499</v>
      </c>
      <c r="AL1" s="753" t="s">
        <v>500</v>
      </c>
      <c r="AM1" s="753" t="s">
        <v>501</v>
      </c>
      <c r="AN1" s="753" t="s">
        <v>502</v>
      </c>
      <c r="AO1" s="753" t="s">
        <v>503</v>
      </c>
      <c r="AP1" s="753" t="s">
        <v>504</v>
      </c>
      <c r="AQ1" s="753" t="s">
        <v>505</v>
      </c>
      <c r="AR1" s="753" t="s">
        <v>506</v>
      </c>
      <c r="AS1" s="753" t="s">
        <v>507</v>
      </c>
      <c r="AT1" s="751" t="s">
        <v>508</v>
      </c>
      <c r="AU1" s="751" t="s">
        <v>509</v>
      </c>
      <c r="AV1" s="751" t="s">
        <v>510</v>
      </c>
      <c r="AW1" s="751" t="s">
        <v>511</v>
      </c>
      <c r="AX1" s="751" t="s">
        <v>512</v>
      </c>
      <c r="AY1" s="751" t="s">
        <v>513</v>
      </c>
      <c r="AZ1" s="751" t="s">
        <v>514</v>
      </c>
      <c r="BA1" s="751" t="s">
        <v>515</v>
      </c>
      <c r="BB1" s="754" t="s">
        <v>516</v>
      </c>
      <c r="BC1" s="754" t="s">
        <v>517</v>
      </c>
      <c r="BD1" s="754" t="s">
        <v>518</v>
      </c>
      <c r="BE1" s="754" t="s">
        <v>519</v>
      </c>
      <c r="BF1" s="754" t="s">
        <v>520</v>
      </c>
      <c r="BG1" s="754" t="s">
        <v>521</v>
      </c>
      <c r="BH1" s="754" t="s">
        <v>522</v>
      </c>
      <c r="BI1" s="754" t="s">
        <v>523</v>
      </c>
      <c r="BJ1" s="754" t="s">
        <v>524</v>
      </c>
      <c r="BK1" s="754" t="s">
        <v>525</v>
      </c>
      <c r="BL1" s="753" t="s">
        <v>526</v>
      </c>
      <c r="BM1" s="753" t="s">
        <v>527</v>
      </c>
      <c r="BN1" s="753" t="s">
        <v>528</v>
      </c>
      <c r="BO1" s="753" t="s">
        <v>529</v>
      </c>
      <c r="BP1" s="753" t="s">
        <v>530</v>
      </c>
      <c r="BQ1" s="753" t="s">
        <v>531</v>
      </c>
      <c r="BR1" s="753" t="s">
        <v>532</v>
      </c>
      <c r="BS1" s="753" t="s">
        <v>533</v>
      </c>
      <c r="BT1" s="753" t="s">
        <v>534</v>
      </c>
      <c r="BU1" s="753" t="s">
        <v>535</v>
      </c>
      <c r="BV1" s="753" t="s">
        <v>536</v>
      </c>
      <c r="BW1" s="753" t="s">
        <v>537</v>
      </c>
      <c r="BX1" s="753" t="s">
        <v>538</v>
      </c>
      <c r="BY1" s="753" t="s">
        <v>539</v>
      </c>
      <c r="BZ1" s="755" t="s">
        <v>540</v>
      </c>
      <c r="CA1" s="755" t="s">
        <v>541</v>
      </c>
      <c r="CB1" s="755" t="s">
        <v>542</v>
      </c>
      <c r="CC1" s="755" t="s">
        <v>543</v>
      </c>
      <c r="CD1" s="755" t="s">
        <v>544</v>
      </c>
      <c r="CE1" s="755" t="s">
        <v>545</v>
      </c>
      <c r="CF1" s="755" t="s">
        <v>546</v>
      </c>
      <c r="CG1" s="755" t="s">
        <v>547</v>
      </c>
      <c r="CH1" s="756" t="s">
        <v>548</v>
      </c>
      <c r="CI1" s="756" t="s">
        <v>549</v>
      </c>
      <c r="CJ1" s="756" t="s">
        <v>550</v>
      </c>
      <c r="CK1" s="756" t="s">
        <v>551</v>
      </c>
      <c r="CL1" s="756" t="s">
        <v>552</v>
      </c>
      <c r="CM1" s="756" t="s">
        <v>553</v>
      </c>
      <c r="CN1" s="756" t="s">
        <v>554</v>
      </c>
      <c r="CO1" s="756" t="s">
        <v>555</v>
      </c>
      <c r="CP1" s="752" t="s">
        <v>556</v>
      </c>
      <c r="CQ1" s="752" t="s">
        <v>557</v>
      </c>
      <c r="CR1" s="752" t="s">
        <v>558</v>
      </c>
      <c r="CS1" s="750" t="s">
        <v>1005</v>
      </c>
      <c r="CT1" s="750" t="s">
        <v>1003</v>
      </c>
      <c r="CU1" s="750" t="s">
        <v>1027</v>
      </c>
      <c r="CV1" s="750" t="s">
        <v>1004</v>
      </c>
      <c r="CW1" s="750" t="s">
        <v>1047</v>
      </c>
      <c r="CX1" s="750" t="s">
        <v>1048</v>
      </c>
    </row>
    <row r="2" spans="1:102">
      <c r="A2" s="238">
        <v>1</v>
      </c>
      <c r="B2" s="240">
        <f>VALUE(Parameters!C50)</f>
        <v>12</v>
      </c>
      <c r="C2" s="238">
        <f>Parameters!C23/'Uprating pmts'!$C$8</f>
        <v>91.17</v>
      </c>
      <c r="D2" s="238">
        <f>Parameters!C24/'Uprating pmts'!$C$8</f>
        <v>112.5</v>
      </c>
      <c r="E2" s="221">
        <f>Parameters!C25/'Uprating pmts'!$C$8</f>
        <v>112.5</v>
      </c>
      <c r="F2" s="238">
        <f>Parameters!D23</f>
        <v>300</v>
      </c>
      <c r="G2" s="238">
        <f>Parameters!D24</f>
        <v>500</v>
      </c>
      <c r="H2" s="238">
        <f>Parameters!C27/'Uprating pmts'!$C$8</f>
        <v>91.17</v>
      </c>
      <c r="I2" s="223">
        <f>Parameters!C28/'Uprating pmts'!$C$8</f>
        <v>112.5</v>
      </c>
      <c r="J2" s="223">
        <f>Parameters!C29/'Uprating pmts'!$C$8</f>
        <v>124.62</v>
      </c>
      <c r="K2" s="238">
        <f>Parameters!D27</f>
        <v>150</v>
      </c>
      <c r="L2" s="238">
        <f>Parameters!D28</f>
        <v>250</v>
      </c>
      <c r="M2" s="240">
        <f>Parameters!C51</f>
        <v>158.4</v>
      </c>
      <c r="N2" s="238">
        <f>Parameters!C32/'Uprating pmts'!$C$8</f>
        <v>96.72</v>
      </c>
      <c r="O2" s="223">
        <f>Parameters!C33/'Uprating pmts'!$C$8</f>
        <v>113.38</v>
      </c>
      <c r="P2" s="223">
        <f>Parameters!C34/'Uprating pmts'!$C$8</f>
        <v>113.38</v>
      </c>
      <c r="Q2" s="238">
        <f>Parameters!D32</f>
        <v>100</v>
      </c>
      <c r="R2" s="238">
        <f>Parameters!D33</f>
        <v>600</v>
      </c>
      <c r="S2" s="238">
        <f>Parameters!C36/'Uprating pmts'!$C$8</f>
        <v>96.72</v>
      </c>
      <c r="T2" s="223">
        <f>Parameters!C37/'Uprating pmts'!$C$8</f>
        <v>113.38</v>
      </c>
      <c r="U2" s="223">
        <f>Parameters!C38/'Uprating pmts'!$C$8</f>
        <v>123.92</v>
      </c>
      <c r="V2" s="238">
        <f>Parameters!D36</f>
        <v>50</v>
      </c>
      <c r="W2" s="238">
        <f>Parameters!D37</f>
        <v>300</v>
      </c>
      <c r="X2" s="238">
        <f>Parameters!C40/'Uprating pmts'!$C$8</f>
        <v>114</v>
      </c>
      <c r="Y2" s="221">
        <f>Parameters!C43/'Uprating pmts'!$C$8</f>
        <v>142.39140180447515</v>
      </c>
      <c r="Z2" s="221">
        <f>Parameters!C44/'Uprating pmts'!$C$8</f>
        <v>122.0362669208306</v>
      </c>
      <c r="AA2" s="239">
        <f>Parameters!C45</f>
        <v>0.14295199447221693</v>
      </c>
      <c r="AB2" s="238">
        <f>Parameters!C46</f>
        <v>0.66400000000000003</v>
      </c>
      <c r="AC2" s="221">
        <f>Parameters!D6/'Uprating pmts'!$C$8</f>
        <v>641.59355555555555</v>
      </c>
      <c r="AD2" s="221">
        <f>Parameters!D7/'Uprating pmts'!$C$8</f>
        <v>771.7300251821863</v>
      </c>
      <c r="AE2" s="223">
        <f>Parameters!D8/'Uprating pmts'!$C$8</f>
        <v>922.80154137931049</v>
      </c>
      <c r="AF2" s="223">
        <f>Parameters!D8/'Uprating pmts'!$C$8</f>
        <v>922.80154137931049</v>
      </c>
      <c r="AG2" s="223">
        <f>Parameters!D10/'Uprating pmts'!$C$8</f>
        <v>720.61888834668605</v>
      </c>
      <c r="AH2" s="223">
        <f>Parameters!D11/'Uprating pmts'!$C$8</f>
        <v>990.00039042128606</v>
      </c>
      <c r="AI2" s="223">
        <f>Parameters!D12/'Uprating pmts'!$C$8</f>
        <v>914.7102853394066</v>
      </c>
      <c r="AJ2" s="223">
        <f>Parameters!D13/'Uprating pmts'!$C$8</f>
        <v>930.63511760587903</v>
      </c>
      <c r="AK2" s="238">
        <f>Parameters!C6/'Uprating pmts'!$C$8</f>
        <v>476.32255555555554</v>
      </c>
      <c r="AL2" s="240">
        <f>Parameters!C7/'Uprating pmts'!$C$8</f>
        <v>409.99941999999999</v>
      </c>
      <c r="AM2" s="240">
        <f>Parameters!C8/'Uprating pmts'!$C$8</f>
        <v>654.99999999999784</v>
      </c>
      <c r="AN2" s="240">
        <f>Parameters!C9/'Uprating pmts'!$C$8</f>
        <v>664.9997800000001</v>
      </c>
      <c r="AO2" s="240">
        <f>Parameters!C10/'Uprating pmts'!$C$8</f>
        <v>496.99964</v>
      </c>
      <c r="AP2" s="240">
        <f>Parameters!C11/'Uprating pmts'!$C$8</f>
        <v>889.99999999999727</v>
      </c>
      <c r="AQ2" s="240">
        <f>Parameters!C12/'Uprating pmts'!$C$8</f>
        <v>659.08230213388765</v>
      </c>
      <c r="AR2" s="240">
        <f>Parameters!C13/'Uprating pmts'!$C$8</f>
        <v>707.97043738324305</v>
      </c>
      <c r="AS2" s="238">
        <f>Parameters!C52</f>
        <v>14.5</v>
      </c>
      <c r="AT2" s="238">
        <f>'Uprating pmts'!C5</f>
        <v>1.0269999999999999</v>
      </c>
      <c r="AU2" s="238">
        <f>'Uprating pmts'!D5</f>
        <v>1.026</v>
      </c>
      <c r="AV2" s="238">
        <f>'Uprating pmts'!E5</f>
        <v>1.026</v>
      </c>
      <c r="AW2" s="238">
        <f>'Uprating pmts'!C6</f>
        <v>1.0249999999999999</v>
      </c>
      <c r="AX2" s="238">
        <f>'Uprating pmts'!D6</f>
        <v>1.022</v>
      </c>
      <c r="AY2" s="238">
        <f>'Uprating pmts'!E6</f>
        <v>1.087</v>
      </c>
      <c r="AZ2" s="221">
        <f>'Uprating pmts'!C9</f>
        <v>1.2709923664122138</v>
      </c>
      <c r="BA2" s="238">
        <f>GDP_2022</f>
        <v>16485</v>
      </c>
      <c r="BB2" s="239">
        <f>'Uprating pmts'!C15</f>
        <v>0</v>
      </c>
      <c r="BC2" s="239">
        <f>'Uprating pmts'!C16</f>
        <v>1.087598304830781E-3</v>
      </c>
      <c r="BD2" s="239">
        <f>'Uprating pmts'!C17</f>
        <v>0.69541003802725521</v>
      </c>
      <c r="BE2" s="239">
        <f>'Uprating pmts'!C18</f>
        <v>0</v>
      </c>
      <c r="BF2" s="239">
        <f>'Uprating pmts'!C19</f>
        <v>4.6020710676254593E-2</v>
      </c>
      <c r="BG2" s="239">
        <f>'Uprating pmts'!C20</f>
        <v>0.25748165299165937</v>
      </c>
      <c r="BH2" s="239">
        <f>'Uprating pmts'!D17</f>
        <v>0.81542444948493131</v>
      </c>
      <c r="BI2" s="239">
        <f>'Uprating pmts'!D18</f>
        <v>0.17463517252183886</v>
      </c>
      <c r="BJ2" s="239">
        <f>'Uprating pmts'!D19</f>
        <v>0</v>
      </c>
      <c r="BK2" s="239">
        <f>'Uprating pmts'!D20</f>
        <v>9.9403779932298528E-3</v>
      </c>
      <c r="BL2" s="240">
        <f>'Uprating pmts'!C24</f>
        <v>532.86055555555561</v>
      </c>
      <c r="BM2" s="240">
        <f>'Uprating pmts'!C25</f>
        <v>512.96374534412962</v>
      </c>
      <c r="BN2" s="240">
        <f>'Uprating pmts'!C26</f>
        <v>628.66573859436699</v>
      </c>
      <c r="BO2" s="240">
        <f>'Uprating pmts'!C27</f>
        <v>722.77840007283328</v>
      </c>
      <c r="BP2" s="240">
        <f>'Uprating pmts'!C28</f>
        <v>553.05310007283322</v>
      </c>
      <c r="BQ2" s="240">
        <f>'Uprating pmts'!C29</f>
        <v>715.00082159454496</v>
      </c>
      <c r="BR2" s="240">
        <f>'Uprating pmts'!D24</f>
        <v>476.32255555555554</v>
      </c>
      <c r="BS2" s="240">
        <f>'Uprating pmts'!D25</f>
        <v>409.99941999999999</v>
      </c>
      <c r="BT2" s="240">
        <f>'Uprating pmts'!D26</f>
        <v>610.00011500000005</v>
      </c>
      <c r="BU2" s="240">
        <f>'Uprating pmts'!D27</f>
        <v>664.9997800000001</v>
      </c>
      <c r="BV2" s="240">
        <f>'Uprating pmts'!D28</f>
        <v>496.99964</v>
      </c>
      <c r="BW2" s="240">
        <f>'Uprating pmts'!D29</f>
        <v>715.00013999999999</v>
      </c>
      <c r="BX2" s="240">
        <f>'Uprating pmts'!D30</f>
        <v>620.64873092371693</v>
      </c>
      <c r="BY2" s="240">
        <f>'Uprating pmts'!D31</f>
        <v>631.6178124180642</v>
      </c>
      <c r="BZ2" s="239">
        <f>'Uprating pmts'!E24</f>
        <v>1.2587223584090572</v>
      </c>
      <c r="CA2" s="239">
        <f>'Uprating pmts'!E25</f>
        <v>1.0707779502057893</v>
      </c>
      <c r="CB2" s="239">
        <f>'Uprating pmts'!E26</f>
        <v>1.1275894198799516</v>
      </c>
      <c r="CC2" s="239">
        <f>'Uprating pmts'!E27</f>
        <v>1.059643427289314</v>
      </c>
      <c r="CD2" s="239">
        <f>'Uprating pmts'!E28</f>
        <v>1.0596434272893138</v>
      </c>
      <c r="CE2" s="239">
        <f>'Uprating pmts'!E29</f>
        <v>1.4669873645222327</v>
      </c>
      <c r="CF2" s="239">
        <f>'Uprating pmts'!E30</f>
        <v>1.1190974036015877</v>
      </c>
      <c r="CG2" s="239">
        <f>'Uprating pmts'!E31</f>
        <v>1.2117894527636806</v>
      </c>
      <c r="CH2" s="239">
        <f>'Uprating pmts'!F24</f>
        <v>0.10610280571631739</v>
      </c>
      <c r="CI2" s="239">
        <f>'Uprating pmts'!F25</f>
        <v>0.20072437141742724</v>
      </c>
      <c r="CJ2" s="239">
        <f>'Uprating pmts'!F26</f>
        <v>2.96908554872123E-2</v>
      </c>
      <c r="CK2" s="239">
        <f>'Uprating pmts'!F27</f>
        <v>7.9939605371453976E-2</v>
      </c>
      <c r="CL2" s="239">
        <f>'Uprating pmts'!F28</f>
        <v>0.10135276353292545</v>
      </c>
      <c r="CM2" s="239">
        <f>'Uprating pmts'!F29</f>
        <v>9.5327798848060949E-7</v>
      </c>
      <c r="CN2" s="239">
        <f>'Uprating pmts'!F30</f>
        <v>3.817092574171186E-2</v>
      </c>
      <c r="CO2" s="239">
        <f>'Uprating pmts'!F31</f>
        <v>2.5530198087895705E-2</v>
      </c>
      <c r="CP2" s="223">
        <f>'Uprating pmts'!C38</f>
        <v>125.86190456</v>
      </c>
      <c r="CQ2" s="223">
        <f>'Uprating pmts'!C39</f>
        <v>115.20399051449441</v>
      </c>
      <c r="CR2" s="239">
        <f>'Uprating pmts'!C41</f>
        <v>0.66400000000000003</v>
      </c>
      <c r="CS2" s="240">
        <f>Parameters!C60</f>
        <v>0</v>
      </c>
      <c r="CT2" s="240">
        <f>Parameters!C61</f>
        <v>1</v>
      </c>
      <c r="CU2" s="238">
        <f>IF(Parameters!C62="PMT",1,0)</f>
        <v>1</v>
      </c>
      <c r="CV2" s="240">
        <f>IF(Parameters!C63="Yes",1,0)</f>
        <v>0</v>
      </c>
      <c r="CW2" s="240">
        <f>IF(Parameters!C64="Yes",1,0)</f>
        <v>0</v>
      </c>
      <c r="CX2" s="221">
        <f>Parameters!C65</f>
        <v>91.17</v>
      </c>
    </row>
    <row r="3" spans="1:102">
      <c r="A3" s="238">
        <v>2</v>
      </c>
      <c r="B3" s="240">
        <f>VALUE(Parameters!D50)</f>
        <v>12</v>
      </c>
      <c r="C3" s="238">
        <f>Parameters!E23/'Uprating pmts'!$C$8</f>
        <v>91.17</v>
      </c>
      <c r="D3" s="238">
        <f>Parameters!E24/'Uprating pmts'!$C$8</f>
        <v>136.49</v>
      </c>
      <c r="E3" s="221">
        <f>Parameters!E25/'Uprating pmts'!$C$8</f>
        <v>149.06</v>
      </c>
      <c r="F3" s="238">
        <f>Parameters!F23</f>
        <v>300</v>
      </c>
      <c r="G3" s="238">
        <f>Parameters!F24</f>
        <v>500</v>
      </c>
      <c r="H3" s="238">
        <f>Parameters!E27/'Uprating pmts'!$C$8</f>
        <v>91.17</v>
      </c>
      <c r="I3" s="223">
        <f>Parameters!E28/'Uprating pmts'!$C$8</f>
        <v>136.49</v>
      </c>
      <c r="J3" s="223">
        <f>Parameters!E29/'Uprating pmts'!$C$8</f>
        <v>159.36000000000001</v>
      </c>
      <c r="K3" s="238">
        <f>Parameters!F27</f>
        <v>150</v>
      </c>
      <c r="L3" s="238">
        <f>Parameters!F28</f>
        <v>250</v>
      </c>
      <c r="M3" s="240">
        <f>Parameters!D51</f>
        <v>158.4</v>
      </c>
      <c r="N3" s="238">
        <f>Parameters!E32/'Uprating pmts'!$C$8</f>
        <v>111.23</v>
      </c>
      <c r="O3" s="223">
        <f>Parameters!E33/'Uprating pmts'!$C$8</f>
        <v>143.54</v>
      </c>
      <c r="P3" s="223">
        <f>Parameters!E34/'Uprating pmts'!$C$8</f>
        <v>150.22999999999999</v>
      </c>
      <c r="Q3" s="238">
        <f>Parameters!F32</f>
        <v>100</v>
      </c>
      <c r="R3" s="238">
        <f>Parameters!F33</f>
        <v>600</v>
      </c>
      <c r="S3" s="238">
        <f>Parameters!E36/'Uprating pmts'!$C$8</f>
        <v>111.23</v>
      </c>
      <c r="T3" s="223">
        <f>Parameters!E37/'Uprating pmts'!$C$8</f>
        <v>143.54</v>
      </c>
      <c r="U3" s="223">
        <f>Parameters!E38/'Uprating pmts'!$C$8</f>
        <v>158.46</v>
      </c>
      <c r="V3" s="238">
        <f>Parameters!F36</f>
        <v>50</v>
      </c>
      <c r="W3" s="238">
        <f>Parameters!F37</f>
        <v>300</v>
      </c>
      <c r="X3" s="238">
        <f>Parameters!E40/'Uprating pmts'!$C$8</f>
        <v>144.44999999999999</v>
      </c>
      <c r="Y3" s="221">
        <f>Parameters!D43/'Uprating pmts'!$C$8</f>
        <v>142.39140180447515</v>
      </c>
      <c r="Z3" s="221">
        <f>Parameters!D44/'Uprating pmts'!$C$8</f>
        <v>152.93268110082869</v>
      </c>
      <c r="AA3" s="239">
        <f>Parameters!D45</f>
        <v>-7.4030307748696095E-2</v>
      </c>
      <c r="AB3" s="238">
        <f>Parameters!D46</f>
        <v>0.66400000000000003</v>
      </c>
      <c r="AC3" s="221">
        <f>Parameters!G6/'Uprating pmts'!$C$8</f>
        <v>641.59355555555555</v>
      </c>
      <c r="AD3" s="221">
        <f>Parameters!G7/'Uprating pmts'!$C$8</f>
        <v>771.7300251821863</v>
      </c>
      <c r="AE3" s="223">
        <f>Parameters!G8/'Uprating pmts'!$C$8</f>
        <v>922.80154137931049</v>
      </c>
      <c r="AF3" s="223">
        <f>Parameters!G8/'Uprating pmts'!$C$8</f>
        <v>922.80154137931049</v>
      </c>
      <c r="AG3" s="223">
        <f>Parameters!G10/'Uprating pmts'!$C$8</f>
        <v>720.61888834668605</v>
      </c>
      <c r="AH3" s="223">
        <f>Parameters!G11/'Uprating pmts'!$C$8</f>
        <v>990.00039042128606</v>
      </c>
      <c r="AI3" s="223">
        <f>Parameters!G12/'Uprating pmts'!$C$8</f>
        <v>914.7102853394066</v>
      </c>
      <c r="AJ3" s="223">
        <f>Parameters!G13/'Uprating pmts'!$C$8</f>
        <v>930.63511760587903</v>
      </c>
      <c r="AK3" s="238">
        <f>Parameters!F6/'Uprating pmts'!$C$8</f>
        <v>476.32255555555554</v>
      </c>
      <c r="AL3" s="240">
        <f>Parameters!F7/'Uprating pmts'!$C$8</f>
        <v>409.99941999999999</v>
      </c>
      <c r="AM3" s="240">
        <f>Parameters!F8/'Uprating pmts'!$C$8</f>
        <v>754.9995600000002</v>
      </c>
      <c r="AN3" s="240">
        <f>Parameters!F9/'Uprating pmts'!$C$8</f>
        <v>664.9997800000001</v>
      </c>
      <c r="AO3" s="240">
        <f>Parameters!F10/'Uprating pmts'!$C$8</f>
        <v>496.99964</v>
      </c>
      <c r="AP3" s="240">
        <f>Parameters!F11/'Uprating pmts'!$C$8</f>
        <v>990.00009999999997</v>
      </c>
      <c r="AQ3" s="240">
        <f>Parameters!F12/'Uprating pmts'!$C$8</f>
        <v>741.61842708898575</v>
      </c>
      <c r="AR3" s="240">
        <f>Parameters!F13/'Uprating pmts'!$C$8</f>
        <v>803.25932625288556</v>
      </c>
      <c r="AS3" s="238">
        <f>Parameters!D52</f>
        <v>14.5</v>
      </c>
      <c r="AT3" s="238">
        <f t="shared" ref="AT3:BB5" si="0">AT2</f>
        <v>1.0269999999999999</v>
      </c>
      <c r="AU3" s="238">
        <f t="shared" si="0"/>
        <v>1.026</v>
      </c>
      <c r="AV3" s="238">
        <f t="shared" si="0"/>
        <v>1.026</v>
      </c>
      <c r="AW3" s="238">
        <f t="shared" si="0"/>
        <v>1.0249999999999999</v>
      </c>
      <c r="AX3" s="238">
        <f t="shared" si="0"/>
        <v>1.022</v>
      </c>
      <c r="AY3" s="238">
        <f t="shared" si="0"/>
        <v>1.087</v>
      </c>
      <c r="AZ3" s="221">
        <f t="shared" si="0"/>
        <v>1.2709923664122138</v>
      </c>
      <c r="BA3" s="238">
        <f t="shared" si="0"/>
        <v>16485</v>
      </c>
      <c r="BB3" s="239">
        <f t="shared" si="0"/>
        <v>0</v>
      </c>
      <c r="BC3" s="239">
        <f t="shared" ref="BC3:BH3" si="1">BC2</f>
        <v>1.087598304830781E-3</v>
      </c>
      <c r="BD3" s="239">
        <f t="shared" si="1"/>
        <v>0.69541003802725521</v>
      </c>
      <c r="BE3" s="239">
        <f t="shared" ref="BE3:BG5" si="2">BE2</f>
        <v>0</v>
      </c>
      <c r="BF3" s="239">
        <f t="shared" si="2"/>
        <v>4.6020710676254593E-2</v>
      </c>
      <c r="BG3" s="239">
        <f t="shared" si="2"/>
        <v>0.25748165299165937</v>
      </c>
      <c r="BH3" s="239">
        <f t="shared" si="1"/>
        <v>0.81542444948493131</v>
      </c>
      <c r="BI3" s="239">
        <f t="shared" ref="BI3:BQ5" si="3">BI2</f>
        <v>0.17463517252183886</v>
      </c>
      <c r="BJ3" s="239">
        <f t="shared" si="3"/>
        <v>0</v>
      </c>
      <c r="BK3" s="239">
        <f t="shared" si="3"/>
        <v>9.9403779932298528E-3</v>
      </c>
      <c r="BL3" s="240">
        <f t="shared" si="3"/>
        <v>532.86055555555561</v>
      </c>
      <c r="BM3" s="240">
        <f t="shared" si="3"/>
        <v>512.96374534412962</v>
      </c>
      <c r="BN3" s="240">
        <f t="shared" si="3"/>
        <v>628.66573859436699</v>
      </c>
      <c r="BO3" s="240">
        <f t="shared" si="3"/>
        <v>722.77840007283328</v>
      </c>
      <c r="BP3" s="240">
        <f t="shared" si="3"/>
        <v>553.05310007283322</v>
      </c>
      <c r="BQ3" s="240">
        <f t="shared" si="3"/>
        <v>715.00082159454496</v>
      </c>
      <c r="BR3" s="240">
        <f t="shared" ref="BR3:BW3" si="4">BR2</f>
        <v>476.32255555555554</v>
      </c>
      <c r="BS3" s="240">
        <f t="shared" si="4"/>
        <v>409.99941999999999</v>
      </c>
      <c r="BT3" s="240">
        <f t="shared" si="4"/>
        <v>610.00011500000005</v>
      </c>
      <c r="BU3" s="240">
        <f t="shared" si="4"/>
        <v>664.9997800000001</v>
      </c>
      <c r="BV3" s="240">
        <f t="shared" si="4"/>
        <v>496.99964</v>
      </c>
      <c r="BW3" s="240">
        <f t="shared" si="4"/>
        <v>715.00013999999999</v>
      </c>
      <c r="BX3" s="240">
        <f t="shared" ref="BX3:BY5" si="5">BX2</f>
        <v>620.64873092371693</v>
      </c>
      <c r="BY3" s="240">
        <f t="shared" si="5"/>
        <v>631.6178124180642</v>
      </c>
      <c r="BZ3" s="239">
        <f t="shared" ref="BZ3:CG3" si="6">BZ2</f>
        <v>1.2587223584090572</v>
      </c>
      <c r="CA3" s="239">
        <f t="shared" si="6"/>
        <v>1.0707779502057893</v>
      </c>
      <c r="CB3" s="239">
        <f t="shared" si="6"/>
        <v>1.1275894198799516</v>
      </c>
      <c r="CC3" s="239">
        <f t="shared" si="6"/>
        <v>1.059643427289314</v>
      </c>
      <c r="CD3" s="239">
        <f t="shared" si="6"/>
        <v>1.0596434272893138</v>
      </c>
      <c r="CE3" s="239">
        <f t="shared" si="6"/>
        <v>1.4669873645222327</v>
      </c>
      <c r="CF3" s="239">
        <f t="shared" si="6"/>
        <v>1.1190974036015877</v>
      </c>
      <c r="CG3" s="239">
        <f t="shared" si="6"/>
        <v>1.2117894527636806</v>
      </c>
      <c r="CH3" s="239">
        <f t="shared" ref="CH3:CO5" si="7">CH2</f>
        <v>0.10610280571631739</v>
      </c>
      <c r="CI3" s="239">
        <f t="shared" si="7"/>
        <v>0.20072437141742724</v>
      </c>
      <c r="CJ3" s="239">
        <f t="shared" si="7"/>
        <v>2.96908554872123E-2</v>
      </c>
      <c r="CK3" s="239">
        <f t="shared" si="7"/>
        <v>7.9939605371453976E-2</v>
      </c>
      <c r="CL3" s="239">
        <f t="shared" si="7"/>
        <v>0.10135276353292545</v>
      </c>
      <c r="CM3" s="239">
        <f t="shared" si="7"/>
        <v>9.5327798848060949E-7</v>
      </c>
      <c r="CN3" s="239">
        <f t="shared" si="7"/>
        <v>3.817092574171186E-2</v>
      </c>
      <c r="CO3" s="239">
        <f t="shared" si="7"/>
        <v>2.5530198087895705E-2</v>
      </c>
      <c r="CP3" s="223">
        <f t="shared" ref="CP3:CR5" si="8">CP2</f>
        <v>125.86190456</v>
      </c>
      <c r="CQ3" s="223">
        <f t="shared" si="8"/>
        <v>115.20399051449441</v>
      </c>
      <c r="CR3" s="239">
        <f t="shared" si="8"/>
        <v>0.66400000000000003</v>
      </c>
      <c r="CS3" s="240">
        <f>Parameters!D60</f>
        <v>0</v>
      </c>
      <c r="CT3" s="240">
        <f>Parameters!D61</f>
        <v>1</v>
      </c>
      <c r="CU3" s="238">
        <f>IF(Parameters!D62="PMT",1,0)</f>
        <v>1</v>
      </c>
      <c r="CV3" s="240">
        <f>IF(Parameters!D63="Yes",1,0)</f>
        <v>0</v>
      </c>
      <c r="CW3" s="240">
        <f>IF(Parameters!D64="Yes",1,0)</f>
        <v>0</v>
      </c>
      <c r="CX3" s="221">
        <f>Parameters!D65</f>
        <v>110.14</v>
      </c>
    </row>
    <row r="4" spans="1:102">
      <c r="A4" s="238">
        <v>3</v>
      </c>
      <c r="B4" s="240">
        <f>VALUE(Parameters!E50)</f>
        <v>12</v>
      </c>
      <c r="C4" s="238">
        <f>Parameters!G23/'Uprating pmts'!$C$8</f>
        <v>110.14</v>
      </c>
      <c r="D4" s="238">
        <f>Parameters!G24/'Uprating pmts'!$C$8</f>
        <v>136.49</v>
      </c>
      <c r="E4" s="221">
        <f>Parameters!G25/'Uprating pmts'!$C$8</f>
        <v>149.06</v>
      </c>
      <c r="F4" s="238">
        <f>Parameters!H23</f>
        <v>300</v>
      </c>
      <c r="G4" s="238">
        <f>Parameters!H24</f>
        <v>500</v>
      </c>
      <c r="H4" s="238">
        <f>Parameters!G27/'Uprating pmts'!$C$8</f>
        <v>110.14</v>
      </c>
      <c r="I4" s="223">
        <f>Parameters!G28/'Uprating pmts'!$C$8</f>
        <v>136.49</v>
      </c>
      <c r="J4" s="223">
        <f>Parameters!G29/'Uprating pmts'!$C$8</f>
        <v>159.36000000000001</v>
      </c>
      <c r="K4" s="238">
        <f>Parameters!H27</f>
        <v>150</v>
      </c>
      <c r="L4" s="238">
        <f>Parameters!H28</f>
        <v>250</v>
      </c>
      <c r="M4" s="240">
        <f>Parameters!E51</f>
        <v>158.4</v>
      </c>
      <c r="N4" s="238">
        <f>Parameters!G32/'Uprating pmts'!$C$8</f>
        <v>111.23</v>
      </c>
      <c r="O4" s="223">
        <f>Parameters!G33/'Uprating pmts'!$C$8</f>
        <v>143.54</v>
      </c>
      <c r="P4" s="223">
        <f>Parameters!G34/'Uprating pmts'!$C$8</f>
        <v>150.22999999999999</v>
      </c>
      <c r="Q4" s="238">
        <f>Parameters!H32</f>
        <v>100</v>
      </c>
      <c r="R4" s="238">
        <f>Parameters!H33</f>
        <v>600</v>
      </c>
      <c r="S4" s="238">
        <f>Parameters!G36/'Uprating pmts'!$C$8</f>
        <v>111.23</v>
      </c>
      <c r="T4" s="223">
        <f>Parameters!G37/'Uprating pmts'!$C$8</f>
        <v>143.54</v>
      </c>
      <c r="U4" s="223">
        <f>Parameters!G38/'Uprating pmts'!$C$8</f>
        <v>158.46</v>
      </c>
      <c r="V4" s="238">
        <f>Parameters!H36</f>
        <v>50</v>
      </c>
      <c r="W4" s="238">
        <f>Parameters!H37</f>
        <v>300</v>
      </c>
      <c r="X4" s="238">
        <f>Parameters!G40/'Uprating pmts'!$C$8</f>
        <v>144.44999999999999</v>
      </c>
      <c r="Y4" s="221">
        <f>Parameters!E43/'Uprating pmts'!$C$8</f>
        <v>142.39140180447515</v>
      </c>
      <c r="Z4" s="221">
        <f>Parameters!E44/'Uprating pmts'!$C$8</f>
        <v>152.93268110082869</v>
      </c>
      <c r="AA4" s="239">
        <f>Parameters!E45</f>
        <v>-7.4030307748696095E-2</v>
      </c>
      <c r="AB4" s="238">
        <f>Parameters!E46</f>
        <v>0.66400000000000003</v>
      </c>
      <c r="AC4" s="221">
        <f>Parameters!J6/'Uprating pmts'!$C$8</f>
        <v>641.59355555555555</v>
      </c>
      <c r="AD4" s="221">
        <f>Parameters!J7/'Uprating pmts'!$C$8</f>
        <v>771.7300251821863</v>
      </c>
      <c r="AE4" s="223">
        <f>Parameters!J8/'Uprating pmts'!$C$8</f>
        <v>922.80154137931049</v>
      </c>
      <c r="AF4" s="223">
        <f>Parameters!J8/'Uprating pmts'!$C$8</f>
        <v>922.80154137931049</v>
      </c>
      <c r="AG4" s="223">
        <f>Parameters!J10/'Uprating pmts'!$C$8</f>
        <v>720.61888834668605</v>
      </c>
      <c r="AH4" s="223">
        <f>Parameters!J11/'Uprating pmts'!$C$8</f>
        <v>990.00039042128606</v>
      </c>
      <c r="AI4" s="223">
        <f>Parameters!J12/'Uprating pmts'!$C$8</f>
        <v>914.7102853394066</v>
      </c>
      <c r="AJ4" s="223">
        <f>Parameters!J13/'Uprating pmts'!$C$8</f>
        <v>930.63511760587903</v>
      </c>
      <c r="AK4" s="238">
        <f>Parameters!I6/'Uprating pmts'!$C$8</f>
        <v>476.32255555555554</v>
      </c>
      <c r="AL4" s="240">
        <f>Parameters!I7/'Uprating pmts'!$C$8</f>
        <v>409.99941999999999</v>
      </c>
      <c r="AM4" s="240">
        <f>Parameters!I8/'Uprating pmts'!$C$8</f>
        <v>754.9995600000002</v>
      </c>
      <c r="AN4" s="240">
        <f>Parameters!I9/'Uprating pmts'!$C$8</f>
        <v>664.9997800000001</v>
      </c>
      <c r="AO4" s="240">
        <f>Parameters!I10/'Uprating pmts'!$C$8</f>
        <v>496.99964</v>
      </c>
      <c r="AP4" s="240">
        <f>Parameters!I11/'Uprating pmts'!$C$8</f>
        <v>990.00009999999997</v>
      </c>
      <c r="AQ4" s="240">
        <f>Parameters!I12/'Uprating pmts'!$C$8</f>
        <v>741.61842708898575</v>
      </c>
      <c r="AR4" s="240">
        <f>Parameters!I13/'Uprating pmts'!$C$8</f>
        <v>803.25932625288556</v>
      </c>
      <c r="AS4" s="238">
        <f>Parameters!E52</f>
        <v>14.5</v>
      </c>
      <c r="AT4" s="238">
        <f t="shared" si="0"/>
        <v>1.0269999999999999</v>
      </c>
      <c r="AU4" s="238">
        <f t="shared" si="0"/>
        <v>1.026</v>
      </c>
      <c r="AV4" s="238">
        <f t="shared" si="0"/>
        <v>1.026</v>
      </c>
      <c r="AW4" s="238">
        <f t="shared" si="0"/>
        <v>1.0249999999999999</v>
      </c>
      <c r="AX4" s="238">
        <f t="shared" si="0"/>
        <v>1.022</v>
      </c>
      <c r="AY4" s="238">
        <f t="shared" si="0"/>
        <v>1.087</v>
      </c>
      <c r="AZ4" s="221">
        <f t="shared" si="0"/>
        <v>1.2709923664122138</v>
      </c>
      <c r="BA4" s="238">
        <f t="shared" si="0"/>
        <v>16485</v>
      </c>
      <c r="BB4" s="239">
        <f t="shared" si="0"/>
        <v>0</v>
      </c>
      <c r="BC4" s="239">
        <f>BC3</f>
        <v>1.087598304830781E-3</v>
      </c>
      <c r="BD4" s="239">
        <f>BD3</f>
        <v>0.69541003802725521</v>
      </c>
      <c r="BE4" s="239">
        <f t="shared" si="2"/>
        <v>0</v>
      </c>
      <c r="BF4" s="239">
        <f t="shared" si="2"/>
        <v>4.6020710676254593E-2</v>
      </c>
      <c r="BG4" s="239">
        <f t="shared" si="2"/>
        <v>0.25748165299165937</v>
      </c>
      <c r="BH4" s="239">
        <f>BH3</f>
        <v>0.81542444948493131</v>
      </c>
      <c r="BI4" s="239">
        <f t="shared" si="3"/>
        <v>0.17463517252183886</v>
      </c>
      <c r="BJ4" s="239">
        <f t="shared" si="3"/>
        <v>0</v>
      </c>
      <c r="BK4" s="239">
        <f t="shared" si="3"/>
        <v>9.9403779932298528E-3</v>
      </c>
      <c r="BL4" s="240">
        <f t="shared" si="3"/>
        <v>532.86055555555561</v>
      </c>
      <c r="BM4" s="240">
        <f t="shared" si="3"/>
        <v>512.96374534412962</v>
      </c>
      <c r="BN4" s="240">
        <f t="shared" si="3"/>
        <v>628.66573859436699</v>
      </c>
      <c r="BO4" s="240">
        <f t="shared" si="3"/>
        <v>722.77840007283328</v>
      </c>
      <c r="BP4" s="240">
        <f t="shared" si="3"/>
        <v>553.05310007283322</v>
      </c>
      <c r="BQ4" s="240">
        <f t="shared" si="3"/>
        <v>715.00082159454496</v>
      </c>
      <c r="BR4" s="240">
        <f t="shared" ref="BR4:BW4" si="9">BR3</f>
        <v>476.32255555555554</v>
      </c>
      <c r="BS4" s="240">
        <f t="shared" si="9"/>
        <v>409.99941999999999</v>
      </c>
      <c r="BT4" s="240">
        <f t="shared" si="9"/>
        <v>610.00011500000005</v>
      </c>
      <c r="BU4" s="240">
        <f t="shared" si="9"/>
        <v>664.9997800000001</v>
      </c>
      <c r="BV4" s="240">
        <f t="shared" si="9"/>
        <v>496.99964</v>
      </c>
      <c r="BW4" s="240">
        <f t="shared" si="9"/>
        <v>715.00013999999999</v>
      </c>
      <c r="BX4" s="240">
        <f t="shared" si="5"/>
        <v>620.64873092371693</v>
      </c>
      <c r="BY4" s="240">
        <f t="shared" si="5"/>
        <v>631.6178124180642</v>
      </c>
      <c r="BZ4" s="239">
        <f t="shared" ref="BZ4:CG5" si="10">BZ3</f>
        <v>1.2587223584090572</v>
      </c>
      <c r="CA4" s="239">
        <f t="shared" si="10"/>
        <v>1.0707779502057893</v>
      </c>
      <c r="CB4" s="239">
        <f t="shared" si="10"/>
        <v>1.1275894198799516</v>
      </c>
      <c r="CC4" s="239">
        <f t="shared" si="10"/>
        <v>1.059643427289314</v>
      </c>
      <c r="CD4" s="239">
        <f t="shared" si="10"/>
        <v>1.0596434272893138</v>
      </c>
      <c r="CE4" s="239">
        <f t="shared" si="10"/>
        <v>1.4669873645222327</v>
      </c>
      <c r="CF4" s="239">
        <f t="shared" si="10"/>
        <v>1.1190974036015877</v>
      </c>
      <c r="CG4" s="239">
        <f t="shared" si="10"/>
        <v>1.2117894527636806</v>
      </c>
      <c r="CH4" s="239">
        <f t="shared" si="7"/>
        <v>0.10610280571631739</v>
      </c>
      <c r="CI4" s="239">
        <f t="shared" si="7"/>
        <v>0.20072437141742724</v>
      </c>
      <c r="CJ4" s="239">
        <f t="shared" si="7"/>
        <v>2.96908554872123E-2</v>
      </c>
      <c r="CK4" s="239">
        <f t="shared" si="7"/>
        <v>7.9939605371453976E-2</v>
      </c>
      <c r="CL4" s="239">
        <f t="shared" si="7"/>
        <v>0.10135276353292545</v>
      </c>
      <c r="CM4" s="239">
        <f t="shared" si="7"/>
        <v>9.5327798848060949E-7</v>
      </c>
      <c r="CN4" s="239">
        <f t="shared" si="7"/>
        <v>3.817092574171186E-2</v>
      </c>
      <c r="CO4" s="239">
        <f t="shared" si="7"/>
        <v>2.5530198087895705E-2</v>
      </c>
      <c r="CP4" s="223">
        <f t="shared" si="8"/>
        <v>125.86190456</v>
      </c>
      <c r="CQ4" s="223">
        <f t="shared" si="8"/>
        <v>115.20399051449441</v>
      </c>
      <c r="CR4" s="239">
        <f t="shared" si="8"/>
        <v>0.66400000000000003</v>
      </c>
      <c r="CS4" s="240">
        <f>Parameters!E60</f>
        <v>0</v>
      </c>
      <c r="CT4" s="240">
        <f>Parameters!E61</f>
        <v>1</v>
      </c>
      <c r="CU4" s="238">
        <f>IF(Parameters!E62="PMT",1,0)</f>
        <v>1</v>
      </c>
      <c r="CV4" s="240">
        <f>IF(Parameters!E63="Yes",1,0)</f>
        <v>0</v>
      </c>
      <c r="CW4" s="240">
        <f>IF(Parameters!E64="Yes",1,0)</f>
        <v>0</v>
      </c>
      <c r="CX4" s="221">
        <f>Parameters!E65</f>
        <v>110.14</v>
      </c>
    </row>
    <row r="5" spans="1:102">
      <c r="A5" s="238">
        <v>4</v>
      </c>
      <c r="B5" s="240">
        <f>VALUE(Parameters!F50)</f>
        <v>12</v>
      </c>
      <c r="C5" s="238">
        <f>Parameters!I23/'Uprating pmts'!$C$8</f>
        <v>91.17</v>
      </c>
      <c r="D5" s="238">
        <f>Parameters!I24/'Uprating pmts'!$C$8</f>
        <v>136.49</v>
      </c>
      <c r="E5" s="221">
        <f>Parameters!I25/'Uprating pmts'!$C$8</f>
        <v>149.06</v>
      </c>
      <c r="F5" s="238">
        <f>Parameters!J23</f>
        <v>300</v>
      </c>
      <c r="G5" s="238">
        <f>Parameters!J24</f>
        <v>500</v>
      </c>
      <c r="H5" s="238">
        <f>Parameters!I27/'Uprating pmts'!$C$8</f>
        <v>91.17</v>
      </c>
      <c r="I5" s="223">
        <f>Parameters!I28/'Uprating pmts'!$C$8</f>
        <v>136.49</v>
      </c>
      <c r="J5" s="223">
        <f>Parameters!I29/'Uprating pmts'!$C$8</f>
        <v>159.36000000000001</v>
      </c>
      <c r="K5" s="238">
        <f>Parameters!J27</f>
        <v>150</v>
      </c>
      <c r="L5" s="238">
        <f>Parameters!J28</f>
        <v>250</v>
      </c>
      <c r="M5" s="240">
        <f>Parameters!F51</f>
        <v>158.4</v>
      </c>
      <c r="N5" s="238">
        <f>Parameters!I32/'Uprating pmts'!$C$8</f>
        <v>111.23</v>
      </c>
      <c r="O5" s="223">
        <f>Parameters!I33/'Uprating pmts'!$C$8</f>
        <v>143.54</v>
      </c>
      <c r="P5" s="223">
        <f>Parameters!I34/'Uprating pmts'!$C$8</f>
        <v>150.22999999999999</v>
      </c>
      <c r="Q5" s="238">
        <f>Parameters!J32</f>
        <v>100</v>
      </c>
      <c r="R5" s="238">
        <f>Parameters!J33</f>
        <v>600</v>
      </c>
      <c r="S5" s="238">
        <f>Parameters!I36/'Uprating pmts'!$C$8</f>
        <v>111.23</v>
      </c>
      <c r="T5" s="223">
        <f>Parameters!I37/'Uprating pmts'!$C$8</f>
        <v>143.54</v>
      </c>
      <c r="U5" s="223">
        <f>Parameters!I38/'Uprating pmts'!$C$8</f>
        <v>158.46</v>
      </c>
      <c r="V5" s="238">
        <f>Parameters!J36</f>
        <v>50</v>
      </c>
      <c r="W5" s="238">
        <f>Parameters!J37</f>
        <v>300</v>
      </c>
      <c r="X5" s="238">
        <f>Parameters!I40/'Uprating pmts'!$C$8</f>
        <v>144.44999999999999</v>
      </c>
      <c r="Y5" s="221">
        <f>Parameters!F43/'Uprating pmts'!$C$8</f>
        <v>142.39140180447515</v>
      </c>
      <c r="Z5" s="221">
        <f>Parameters!F44/'Uprating pmts'!$C$8</f>
        <v>152.93268110082869</v>
      </c>
      <c r="AA5" s="239">
        <f>Parameters!F45</f>
        <v>-7.4030307748696095E-2</v>
      </c>
      <c r="AB5" s="238">
        <f>Parameters!F46</f>
        <v>0.66400000000000003</v>
      </c>
      <c r="AC5" s="221">
        <f>Parameters!M6/'Uprating pmts'!$C$8</f>
        <v>641.59355555555555</v>
      </c>
      <c r="AD5" s="221">
        <f>Parameters!M7/'Uprating pmts'!$C$8</f>
        <v>771.7300251821863</v>
      </c>
      <c r="AE5" s="223">
        <f>Parameters!M8/'Uprating pmts'!$C$8</f>
        <v>922.80154137931049</v>
      </c>
      <c r="AF5" s="223">
        <f>Parameters!M8/'Uprating pmts'!$C$8</f>
        <v>922.80154137931049</v>
      </c>
      <c r="AG5" s="223">
        <f>Parameters!M10/'Uprating pmts'!$C$8</f>
        <v>720.61888834668605</v>
      </c>
      <c r="AH5" s="223">
        <f>Parameters!M11/'Uprating pmts'!$C$8</f>
        <v>990.00039042128606</v>
      </c>
      <c r="AI5" s="223">
        <f>Parameters!M12/'Uprating pmts'!$C$8</f>
        <v>914.7102853394066</v>
      </c>
      <c r="AJ5" s="223">
        <f>Parameters!M13/'Uprating pmts'!$C$8</f>
        <v>930.63511760587903</v>
      </c>
      <c r="AK5" s="238">
        <f>Parameters!L6/'Uprating pmts'!$C$8</f>
        <v>476.32255555555554</v>
      </c>
      <c r="AL5" s="240">
        <f>Parameters!L7/'Uprating pmts'!$C$8</f>
        <v>409.99941999999999</v>
      </c>
      <c r="AM5" s="240">
        <f>Parameters!L8/'Uprating pmts'!$C$8</f>
        <v>754.9995600000002</v>
      </c>
      <c r="AN5" s="240">
        <f>Parameters!L9/'Uprating pmts'!$C$8</f>
        <v>664.9997800000001</v>
      </c>
      <c r="AO5" s="240">
        <f>Parameters!L10/'Uprating pmts'!$C$8</f>
        <v>496.99964</v>
      </c>
      <c r="AP5" s="240">
        <f>Parameters!L11/'Uprating pmts'!$C$8</f>
        <v>990.00009999999997</v>
      </c>
      <c r="AQ5" s="240">
        <f>Parameters!L12/'Uprating pmts'!$C$8</f>
        <v>741.61842708898575</v>
      </c>
      <c r="AR5" s="240">
        <f>Parameters!L13/'Uprating pmts'!$C$8</f>
        <v>803.25932625288556</v>
      </c>
      <c r="AS5" s="238">
        <f>Parameters!F52</f>
        <v>14.5</v>
      </c>
      <c r="AT5" s="238">
        <f t="shared" si="0"/>
        <v>1.0269999999999999</v>
      </c>
      <c r="AU5" s="238">
        <f t="shared" si="0"/>
        <v>1.026</v>
      </c>
      <c r="AV5" s="238">
        <f t="shared" si="0"/>
        <v>1.026</v>
      </c>
      <c r="AW5" s="238">
        <f t="shared" si="0"/>
        <v>1.0249999999999999</v>
      </c>
      <c r="AX5" s="238">
        <f t="shared" si="0"/>
        <v>1.022</v>
      </c>
      <c r="AY5" s="238">
        <f t="shared" si="0"/>
        <v>1.087</v>
      </c>
      <c r="AZ5" s="221">
        <f t="shared" si="0"/>
        <v>1.2709923664122138</v>
      </c>
      <c r="BA5" s="238">
        <f t="shared" si="0"/>
        <v>16485</v>
      </c>
      <c r="BB5" s="239">
        <f t="shared" si="0"/>
        <v>0</v>
      </c>
      <c r="BC5" s="239">
        <f>BC4</f>
        <v>1.087598304830781E-3</v>
      </c>
      <c r="BD5" s="239">
        <f>BD4</f>
        <v>0.69541003802725521</v>
      </c>
      <c r="BE5" s="239">
        <f t="shared" si="2"/>
        <v>0</v>
      </c>
      <c r="BF5" s="239">
        <f t="shared" si="2"/>
        <v>4.6020710676254593E-2</v>
      </c>
      <c r="BG5" s="239">
        <f t="shared" si="2"/>
        <v>0.25748165299165937</v>
      </c>
      <c r="BH5" s="239">
        <f>BH4</f>
        <v>0.81542444948493131</v>
      </c>
      <c r="BI5" s="239">
        <f t="shared" si="3"/>
        <v>0.17463517252183886</v>
      </c>
      <c r="BJ5" s="239">
        <f t="shared" si="3"/>
        <v>0</v>
      </c>
      <c r="BK5" s="239">
        <f t="shared" si="3"/>
        <v>9.9403779932298528E-3</v>
      </c>
      <c r="BL5" s="240">
        <f t="shared" si="3"/>
        <v>532.86055555555561</v>
      </c>
      <c r="BM5" s="240">
        <f t="shared" si="3"/>
        <v>512.96374534412962</v>
      </c>
      <c r="BN5" s="240">
        <f t="shared" si="3"/>
        <v>628.66573859436699</v>
      </c>
      <c r="BO5" s="240">
        <f t="shared" si="3"/>
        <v>722.77840007283328</v>
      </c>
      <c r="BP5" s="240">
        <f t="shared" si="3"/>
        <v>553.05310007283322</v>
      </c>
      <c r="BQ5" s="240">
        <f t="shared" si="3"/>
        <v>715.00082159454496</v>
      </c>
      <c r="BR5" s="240">
        <f t="shared" ref="BR5:BW5" si="11">BR4</f>
        <v>476.32255555555554</v>
      </c>
      <c r="BS5" s="240">
        <f t="shared" si="11"/>
        <v>409.99941999999999</v>
      </c>
      <c r="BT5" s="240">
        <f t="shared" si="11"/>
        <v>610.00011500000005</v>
      </c>
      <c r="BU5" s="240">
        <f t="shared" si="11"/>
        <v>664.9997800000001</v>
      </c>
      <c r="BV5" s="240">
        <f t="shared" si="11"/>
        <v>496.99964</v>
      </c>
      <c r="BW5" s="240">
        <f t="shared" si="11"/>
        <v>715.00013999999999</v>
      </c>
      <c r="BX5" s="240">
        <f t="shared" si="5"/>
        <v>620.64873092371693</v>
      </c>
      <c r="BY5" s="240">
        <f t="shared" si="5"/>
        <v>631.6178124180642</v>
      </c>
      <c r="BZ5" s="239">
        <f t="shared" si="10"/>
        <v>1.2587223584090572</v>
      </c>
      <c r="CA5" s="239">
        <f t="shared" si="10"/>
        <v>1.0707779502057893</v>
      </c>
      <c r="CB5" s="239">
        <f t="shared" si="10"/>
        <v>1.1275894198799516</v>
      </c>
      <c r="CC5" s="239">
        <f t="shared" si="10"/>
        <v>1.059643427289314</v>
      </c>
      <c r="CD5" s="239">
        <f t="shared" si="10"/>
        <v>1.0596434272893138</v>
      </c>
      <c r="CE5" s="239">
        <f t="shared" si="10"/>
        <v>1.4669873645222327</v>
      </c>
      <c r="CF5" s="239">
        <f t="shared" si="10"/>
        <v>1.1190974036015877</v>
      </c>
      <c r="CG5" s="239">
        <f t="shared" si="10"/>
        <v>1.2117894527636806</v>
      </c>
      <c r="CH5" s="239">
        <f t="shared" si="7"/>
        <v>0.10610280571631739</v>
      </c>
      <c r="CI5" s="239">
        <f t="shared" si="7"/>
        <v>0.20072437141742724</v>
      </c>
      <c r="CJ5" s="239">
        <f t="shared" si="7"/>
        <v>2.96908554872123E-2</v>
      </c>
      <c r="CK5" s="239">
        <f t="shared" si="7"/>
        <v>7.9939605371453976E-2</v>
      </c>
      <c r="CL5" s="239">
        <f t="shared" si="7"/>
        <v>0.10135276353292545</v>
      </c>
      <c r="CM5" s="239">
        <f t="shared" si="7"/>
        <v>9.5327798848060949E-7</v>
      </c>
      <c r="CN5" s="239">
        <f t="shared" si="7"/>
        <v>3.817092574171186E-2</v>
      </c>
      <c r="CO5" s="239">
        <f t="shared" si="7"/>
        <v>2.5530198087895705E-2</v>
      </c>
      <c r="CP5" s="223">
        <f t="shared" si="8"/>
        <v>125.86190456</v>
      </c>
      <c r="CQ5" s="223">
        <f t="shared" si="8"/>
        <v>115.20399051449441</v>
      </c>
      <c r="CR5" s="239">
        <f t="shared" si="8"/>
        <v>0.66400000000000003</v>
      </c>
      <c r="CS5" s="240">
        <f>Parameters!F60</f>
        <v>40000</v>
      </c>
      <c r="CT5" s="240">
        <f>Parameters!F61</f>
        <v>1.3327222334978091</v>
      </c>
      <c r="CU5" s="238">
        <f>IF(Parameters!F62="PMT",1,0)</f>
        <v>1</v>
      </c>
      <c r="CV5" s="240">
        <f>IF(Parameters!F63="Yes",1,0)</f>
        <v>1</v>
      </c>
      <c r="CW5" s="240">
        <f>IF(Parameters!F64="Yes",1,0)</f>
        <v>0</v>
      </c>
      <c r="CX5" s="221">
        <f>Parameters!F65</f>
        <v>110.14</v>
      </c>
    </row>
    <row r="6" spans="1:102">
      <c r="BA6" s="236"/>
      <c r="BB6" s="236"/>
      <c r="BC6" s="236"/>
      <c r="BD6" s="236"/>
      <c r="BE6" s="238"/>
      <c r="BF6" s="238"/>
      <c r="BG6" s="238"/>
      <c r="BH6" s="238"/>
      <c r="BI6" s="238"/>
      <c r="BJ6" s="238"/>
      <c r="BK6" s="238"/>
      <c r="BL6" s="238"/>
      <c r="BM6" s="238"/>
      <c r="BN6" s="238"/>
      <c r="BO6" s="238"/>
      <c r="CA6" s="238"/>
      <c r="CB6" s="238"/>
      <c r="CC6" s="238"/>
      <c r="CD6" s="238"/>
      <c r="CE6" s="238"/>
      <c r="CF6" s="238"/>
      <c r="CG6" s="238"/>
      <c r="CI6" s="238"/>
      <c r="CJ6" s="238"/>
      <c r="CK6" s="238"/>
    </row>
    <row r="7" spans="1:102">
      <c r="BA7" s="236"/>
      <c r="BB7" s="236"/>
      <c r="BC7" s="236"/>
      <c r="BD7" s="236"/>
      <c r="BE7" s="238"/>
      <c r="BF7" s="238"/>
      <c r="BG7" s="238"/>
      <c r="BH7" s="238"/>
      <c r="BI7" s="238"/>
      <c r="BJ7" s="238"/>
      <c r="BK7" s="238"/>
      <c r="BM7" s="238"/>
      <c r="BN7" s="238"/>
      <c r="BO7" s="238"/>
      <c r="CA7" s="238"/>
      <c r="CB7" s="238"/>
      <c r="CC7" s="238"/>
      <c r="CD7" s="238"/>
      <c r="CE7" s="238"/>
      <c r="CF7" s="238"/>
      <c r="CG7" s="238"/>
      <c r="CI7" s="238"/>
      <c r="CJ7" s="238"/>
      <c r="CK7" s="238"/>
    </row>
    <row r="8" spans="1:102">
      <c r="BA8" s="236"/>
      <c r="BB8" s="236"/>
      <c r="BC8" s="236"/>
      <c r="BD8" s="236"/>
      <c r="BE8" s="238"/>
      <c r="BF8" s="238"/>
      <c r="BG8" s="238"/>
      <c r="BH8" s="238"/>
      <c r="BI8" s="238"/>
      <c r="BJ8" s="238"/>
      <c r="BK8" s="238"/>
      <c r="BM8" s="238"/>
      <c r="BN8" s="238"/>
      <c r="BO8" s="238"/>
      <c r="BR8" s="240"/>
      <c r="CA8" s="238"/>
      <c r="CB8" s="238"/>
      <c r="CC8" s="238"/>
      <c r="CD8" s="238"/>
      <c r="CE8" s="238"/>
      <c r="CF8" s="238"/>
      <c r="CG8" s="238"/>
      <c r="CI8" s="238"/>
      <c r="CJ8" s="238"/>
      <c r="CK8" s="238"/>
    </row>
    <row r="9" spans="1:102">
      <c r="BA9" s="236"/>
      <c r="BB9" s="236"/>
      <c r="BC9" s="236"/>
      <c r="BD9" s="236"/>
      <c r="BE9" s="238"/>
      <c r="BF9" s="238"/>
      <c r="BG9" s="238"/>
      <c r="BH9" s="238"/>
      <c r="BI9" s="238"/>
      <c r="BJ9" s="238"/>
      <c r="BK9" s="238"/>
      <c r="BM9" s="238"/>
      <c r="BN9" s="238"/>
      <c r="BO9" s="238"/>
      <c r="BR9" s="240"/>
      <c r="CA9" s="238"/>
      <c r="CB9" s="238"/>
      <c r="CC9" s="238"/>
      <c r="CD9" s="238"/>
      <c r="CE9" s="238"/>
      <c r="CF9" s="238"/>
      <c r="CG9" s="238"/>
      <c r="CI9" s="238"/>
      <c r="CJ9" s="238"/>
      <c r="CK9" s="238"/>
    </row>
    <row r="10" spans="1:102">
      <c r="BA10" s="236"/>
      <c r="BB10" s="236"/>
      <c r="BC10" s="236"/>
      <c r="BD10" s="236"/>
      <c r="BE10" s="236"/>
      <c r="BF10" s="236"/>
      <c r="BG10" s="236"/>
      <c r="BH10" s="236"/>
      <c r="BI10" s="236"/>
      <c r="BJ10" s="236"/>
      <c r="BK10" s="236"/>
      <c r="BR10" s="240"/>
      <c r="BZ10" s="521"/>
    </row>
    <row r="11" spans="1:102">
      <c r="BA11" s="236"/>
      <c r="BB11" s="236"/>
      <c r="BC11" s="236"/>
      <c r="BD11" s="236"/>
      <c r="BE11" s="236"/>
      <c r="BF11" s="236"/>
      <c r="BG11" s="236"/>
      <c r="BH11" s="236"/>
      <c r="BJ11" s="236"/>
      <c r="BK11" s="236"/>
      <c r="BR11" s="240"/>
      <c r="BZ11" s="521"/>
      <c r="CS11" s="706"/>
    </row>
    <row r="12" spans="1:102">
      <c r="BR12" s="240"/>
      <c r="BZ12" s="521"/>
      <c r="CS12" s="706"/>
    </row>
    <row r="13" spans="1:102">
      <c r="BR13" s="240"/>
      <c r="BZ13" s="521"/>
      <c r="CS13" s="706"/>
    </row>
    <row r="14" spans="1:102">
      <c r="BZ14" s="521"/>
      <c r="CS14" s="706"/>
    </row>
    <row r="15" spans="1:102">
      <c r="BZ15" s="521"/>
    </row>
    <row r="16" spans="1:102">
      <c r="BZ16" s="521"/>
    </row>
    <row r="17" spans="64:78">
      <c r="BL17" s="236"/>
      <c r="BZ17" s="521"/>
    </row>
    <row r="18" spans="64:78">
      <c r="BL18" s="236"/>
      <c r="BZ18" s="521"/>
    </row>
    <row r="19" spans="64:78">
      <c r="BL19" s="236"/>
    </row>
    <row r="20" spans="64:78">
      <c r="BL20" s="236"/>
    </row>
    <row r="21" spans="64:78">
      <c r="BL21" s="236"/>
    </row>
    <row r="22" spans="64:78">
      <c r="BL22" s="236"/>
    </row>
  </sheetData>
  <phoneticPr fontId="5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E69A6-3A05-403A-997E-05BDF56D8AC3}">
  <sheetPr codeName="Hoja12">
    <tabColor rgb="FFF5B5E7"/>
  </sheetPr>
  <dimension ref="A1:X113"/>
  <sheetViews>
    <sheetView topLeftCell="A98" zoomScale="85" zoomScaleNormal="85" workbookViewId="0">
      <selection activeCell="R113" sqref="R113"/>
    </sheetView>
  </sheetViews>
  <sheetFormatPr baseColWidth="10" defaultColWidth="11.44140625" defaultRowHeight="14.4"/>
  <cols>
    <col min="11" max="11" width="10.33203125" customWidth="1"/>
    <col min="12" max="12" width="12" bestFit="1" customWidth="1"/>
    <col min="13" max="13" width="12.88671875" customWidth="1"/>
    <col min="14" max="14" width="9.44140625" customWidth="1"/>
    <col min="15" max="15" width="10.33203125" bestFit="1" customWidth="1"/>
    <col min="16" max="16" width="12.88671875" customWidth="1"/>
    <col min="17" max="17" width="9.44140625" customWidth="1"/>
    <col min="18" max="18" width="10.33203125" bestFit="1" customWidth="1"/>
    <col min="19" max="19" width="12.88671875" customWidth="1"/>
    <col min="20" max="20" width="9.44140625" customWidth="1"/>
    <col min="21" max="21" width="10.33203125" bestFit="1" customWidth="1"/>
    <col min="22" max="22" width="12.88671875" customWidth="1"/>
    <col min="23" max="23" width="9.44140625" customWidth="1"/>
  </cols>
  <sheetData>
    <row r="1" spans="11:23">
      <c r="L1" s="820" t="str">
        <f>Parameters!B21</f>
        <v>Households Low Voltage (Domestique Petite Puissance)</v>
      </c>
      <c r="M1" s="820"/>
      <c r="N1" s="820"/>
      <c r="O1" s="820"/>
      <c r="P1" s="820"/>
      <c r="Q1" s="820"/>
      <c r="R1" s="820"/>
      <c r="S1" s="820"/>
      <c r="T1" s="820"/>
      <c r="U1" s="820"/>
      <c r="V1" s="820"/>
      <c r="W1" s="820"/>
    </row>
    <row r="2" spans="11:23">
      <c r="L2" s="820" t="s">
        <v>14</v>
      </c>
      <c r="M2" s="820"/>
      <c r="N2" s="820"/>
      <c r="O2" s="820" t="s">
        <v>423</v>
      </c>
      <c r="P2" s="820"/>
      <c r="Q2" s="820"/>
      <c r="R2" s="820" t="s">
        <v>437</v>
      </c>
      <c r="S2" s="820"/>
      <c r="T2" s="820"/>
      <c r="U2" s="820" t="s">
        <v>447</v>
      </c>
      <c r="V2" s="820"/>
      <c r="W2" s="820"/>
    </row>
    <row r="3" spans="11:23" ht="32.4" customHeight="1">
      <c r="L3" s="419" t="s">
        <v>16</v>
      </c>
      <c r="M3" s="419" t="s">
        <v>559</v>
      </c>
      <c r="N3" s="419" t="s">
        <v>560</v>
      </c>
      <c r="O3" s="419" t="s">
        <v>16</v>
      </c>
      <c r="P3" s="419" t="s">
        <v>559</v>
      </c>
      <c r="Q3" s="419" t="s">
        <v>560</v>
      </c>
      <c r="R3" s="419" t="s">
        <v>16</v>
      </c>
      <c r="S3" s="419" t="s">
        <v>559</v>
      </c>
      <c r="T3" s="419" t="s">
        <v>560</v>
      </c>
      <c r="U3" s="419" t="s">
        <v>16</v>
      </c>
      <c r="V3" s="419" t="s">
        <v>559</v>
      </c>
      <c r="W3" s="419" t="s">
        <v>560</v>
      </c>
    </row>
    <row r="4" spans="11:23">
      <c r="K4" t="str">
        <f>Parameters!B22</f>
        <v>Prepaid</v>
      </c>
      <c r="L4" s="581">
        <f>L5</f>
        <v>91.17</v>
      </c>
      <c r="M4" s="582">
        <v>0</v>
      </c>
      <c r="N4" s="583">
        <f t="shared" ref="N4:N15" si="0">($L$18-L4)/$L$18</f>
        <v>0.42443181818181819</v>
      </c>
      <c r="O4" s="581">
        <f>O5</f>
        <v>91.17</v>
      </c>
      <c r="P4" s="582">
        <v>0</v>
      </c>
      <c r="Q4" s="583">
        <f t="shared" ref="Q4:Q15" si="1">($L$18-O4)/$L$18</f>
        <v>0.42443181818181819</v>
      </c>
      <c r="R4" s="581">
        <f>R5</f>
        <v>110.14</v>
      </c>
      <c r="S4" s="582">
        <v>0</v>
      </c>
      <c r="T4" s="583">
        <f t="shared" ref="T4:T15" si="2">($L$18-R4)/$L$18</f>
        <v>0.3046717171717172</v>
      </c>
      <c r="U4" s="581">
        <f>U5</f>
        <v>91.17</v>
      </c>
      <c r="V4" s="582">
        <v>0</v>
      </c>
      <c r="W4" s="583">
        <f t="shared" ref="W4:W15" si="3">($L$18-U4)/$L$18</f>
        <v>0.42443181818181819</v>
      </c>
    </row>
    <row r="5" spans="11:23">
      <c r="K5" t="str">
        <f>Parameters!B23</f>
        <v>Bracket 1</v>
      </c>
      <c r="L5" s="584">
        <f>Parameters!C23</f>
        <v>91.17</v>
      </c>
      <c r="M5" s="585">
        <f>Parameters!D23</f>
        <v>300</v>
      </c>
      <c r="N5" s="586">
        <f t="shared" si="0"/>
        <v>0.42443181818181819</v>
      </c>
      <c r="O5" s="584">
        <f>Parameters!E23</f>
        <v>91.17</v>
      </c>
      <c r="P5" s="585">
        <f>Parameters!F23</f>
        <v>300</v>
      </c>
      <c r="Q5" s="586">
        <f t="shared" si="1"/>
        <v>0.42443181818181819</v>
      </c>
      <c r="R5" s="584">
        <f>Parameters!G23</f>
        <v>110.14</v>
      </c>
      <c r="S5" s="585">
        <f>Parameters!H23</f>
        <v>300</v>
      </c>
      <c r="T5" s="586">
        <f t="shared" si="2"/>
        <v>0.3046717171717172</v>
      </c>
      <c r="U5" s="584">
        <f>Parameters!I23</f>
        <v>91.17</v>
      </c>
      <c r="V5" s="585">
        <f>Parameters!J23</f>
        <v>300</v>
      </c>
      <c r="W5" s="586">
        <f t="shared" si="3"/>
        <v>0.42443181818181819</v>
      </c>
    </row>
    <row r="6" spans="11:23">
      <c r="L6" s="587">
        <f>L7</f>
        <v>112.5</v>
      </c>
      <c r="M6" s="416">
        <f>M5</f>
        <v>300</v>
      </c>
      <c r="N6" s="586">
        <f t="shared" si="0"/>
        <v>0.28977272727272729</v>
      </c>
      <c r="O6" s="587">
        <f>O7</f>
        <v>136.49</v>
      </c>
      <c r="P6" s="416">
        <f>P5</f>
        <v>300</v>
      </c>
      <c r="Q6" s="586">
        <f t="shared" si="1"/>
        <v>0.13832070707070704</v>
      </c>
      <c r="R6" s="587">
        <f>R7</f>
        <v>136.49</v>
      </c>
      <c r="S6" s="416">
        <f>S5</f>
        <v>300</v>
      </c>
      <c r="T6" s="586">
        <f t="shared" si="2"/>
        <v>0.13832070707070704</v>
      </c>
      <c r="U6" s="587">
        <f>U7</f>
        <v>136.49</v>
      </c>
      <c r="V6" s="416">
        <f>V5</f>
        <v>300</v>
      </c>
      <c r="W6" s="586">
        <f t="shared" si="3"/>
        <v>0.13832070707070704</v>
      </c>
    </row>
    <row r="7" spans="11:23">
      <c r="K7" t="str">
        <f>Parameters!B24</f>
        <v>Bracket 2</v>
      </c>
      <c r="L7" s="584">
        <f>Parameters!C24</f>
        <v>112.5</v>
      </c>
      <c r="M7" s="585">
        <f>Parameters!D24</f>
        <v>500</v>
      </c>
      <c r="N7" s="586">
        <f t="shared" si="0"/>
        <v>0.28977272727272729</v>
      </c>
      <c r="O7" s="584">
        <f>Parameters!E24</f>
        <v>136.49</v>
      </c>
      <c r="P7" s="585">
        <f>Parameters!F24</f>
        <v>500</v>
      </c>
      <c r="Q7" s="586">
        <f t="shared" si="1"/>
        <v>0.13832070707070704</v>
      </c>
      <c r="R7" s="584">
        <f>Parameters!G24</f>
        <v>136.49</v>
      </c>
      <c r="S7" s="585">
        <f>Parameters!H24</f>
        <v>500</v>
      </c>
      <c r="T7" s="586">
        <f t="shared" si="2"/>
        <v>0.13832070707070704</v>
      </c>
      <c r="U7" s="584">
        <f>Parameters!I24</f>
        <v>136.49</v>
      </c>
      <c r="V7" s="585">
        <f>Parameters!J24</f>
        <v>500</v>
      </c>
      <c r="W7" s="586">
        <f t="shared" si="3"/>
        <v>0.13832070707070704</v>
      </c>
    </row>
    <row r="8" spans="11:23">
      <c r="L8" s="587">
        <f>L9</f>
        <v>112.5</v>
      </c>
      <c r="M8" s="416">
        <f>M7</f>
        <v>500</v>
      </c>
      <c r="N8" s="586">
        <f t="shared" si="0"/>
        <v>0.28977272727272729</v>
      </c>
      <c r="O8" s="587">
        <f>O9</f>
        <v>149.06</v>
      </c>
      <c r="P8" s="416">
        <f>P7</f>
        <v>500</v>
      </c>
      <c r="Q8" s="586">
        <f t="shared" si="1"/>
        <v>5.8964646464646484E-2</v>
      </c>
      <c r="R8" s="587">
        <f>R9</f>
        <v>149.06</v>
      </c>
      <c r="S8" s="416">
        <f>S7</f>
        <v>500</v>
      </c>
      <c r="T8" s="586">
        <f t="shared" si="2"/>
        <v>5.8964646464646484E-2</v>
      </c>
      <c r="U8" s="587">
        <f>U9</f>
        <v>149.06</v>
      </c>
      <c r="V8" s="416">
        <f>V7</f>
        <v>500</v>
      </c>
      <c r="W8" s="586">
        <f t="shared" si="3"/>
        <v>5.8964646464646484E-2</v>
      </c>
    </row>
    <row r="9" spans="11:23">
      <c r="K9" t="str">
        <f>Parameters!B25</f>
        <v>Bracket 3</v>
      </c>
      <c r="L9" s="588">
        <f>Parameters!C25</f>
        <v>112.5</v>
      </c>
      <c r="M9" s="589">
        <v>550</v>
      </c>
      <c r="N9" s="590">
        <f t="shared" si="0"/>
        <v>0.28977272727272729</v>
      </c>
      <c r="O9" s="588">
        <f>Parameters!E25</f>
        <v>149.06</v>
      </c>
      <c r="P9" s="589">
        <v>550</v>
      </c>
      <c r="Q9" s="590">
        <f t="shared" si="1"/>
        <v>5.8964646464646484E-2</v>
      </c>
      <c r="R9" s="588">
        <f>Parameters!G25</f>
        <v>149.06</v>
      </c>
      <c r="S9" s="589">
        <v>550</v>
      </c>
      <c r="T9" s="590">
        <f t="shared" si="2"/>
        <v>5.8964646464646484E-2</v>
      </c>
      <c r="U9" s="588">
        <f>Parameters!I25</f>
        <v>149.06</v>
      </c>
      <c r="V9" s="589">
        <v>550</v>
      </c>
      <c r="W9" s="590">
        <f t="shared" si="3"/>
        <v>5.8964646464646484E-2</v>
      </c>
    </row>
    <row r="10" spans="11:23">
      <c r="K10" t="str">
        <f>Parameters!B26</f>
        <v>Postpaid</v>
      </c>
      <c r="L10" s="581">
        <f>L11</f>
        <v>91.17</v>
      </c>
      <c r="M10" s="582">
        <v>0</v>
      </c>
      <c r="N10" s="583">
        <f t="shared" si="0"/>
        <v>0.42443181818181819</v>
      </c>
      <c r="O10" s="581">
        <f>O11</f>
        <v>91.17</v>
      </c>
      <c r="P10" s="582">
        <v>0</v>
      </c>
      <c r="Q10" s="583">
        <f t="shared" si="1"/>
        <v>0.42443181818181819</v>
      </c>
      <c r="R10" s="581">
        <f>R11</f>
        <v>110.14</v>
      </c>
      <c r="S10" s="582">
        <v>0</v>
      </c>
      <c r="T10" s="583">
        <f t="shared" si="2"/>
        <v>0.3046717171717172</v>
      </c>
      <c r="U10" s="581">
        <f>U11</f>
        <v>91.17</v>
      </c>
      <c r="V10" s="582">
        <v>0</v>
      </c>
      <c r="W10" s="583">
        <f t="shared" si="3"/>
        <v>0.42443181818181819</v>
      </c>
    </row>
    <row r="11" spans="11:23">
      <c r="K11" t="str">
        <f>Parameters!B27</f>
        <v>Bracket 1</v>
      </c>
      <c r="L11" s="584">
        <f>Parameters!C27</f>
        <v>91.17</v>
      </c>
      <c r="M11" s="585">
        <f>Parameters!D27</f>
        <v>150</v>
      </c>
      <c r="N11" s="586">
        <f t="shared" si="0"/>
        <v>0.42443181818181819</v>
      </c>
      <c r="O11" s="584">
        <f>Parameters!E27</f>
        <v>91.17</v>
      </c>
      <c r="P11" s="585">
        <f>Parameters!F27</f>
        <v>150</v>
      </c>
      <c r="Q11" s="586">
        <f t="shared" si="1"/>
        <v>0.42443181818181819</v>
      </c>
      <c r="R11" s="584">
        <f>Parameters!G27</f>
        <v>110.14</v>
      </c>
      <c r="S11" s="585">
        <f>Parameters!H27</f>
        <v>150</v>
      </c>
      <c r="T11" s="586">
        <f t="shared" si="2"/>
        <v>0.3046717171717172</v>
      </c>
      <c r="U11" s="584">
        <f>Parameters!I27</f>
        <v>91.17</v>
      </c>
      <c r="V11" s="585">
        <f>Parameters!J27</f>
        <v>150</v>
      </c>
      <c r="W11" s="586">
        <f t="shared" si="3"/>
        <v>0.42443181818181819</v>
      </c>
    </row>
    <row r="12" spans="11:23">
      <c r="L12" s="587">
        <f>L13</f>
        <v>112.5</v>
      </c>
      <c r="M12" s="416">
        <f>M11</f>
        <v>150</v>
      </c>
      <c r="N12" s="586">
        <f t="shared" si="0"/>
        <v>0.28977272727272729</v>
      </c>
      <c r="O12" s="587">
        <f>O13</f>
        <v>136.49</v>
      </c>
      <c r="P12" s="416">
        <f>P11</f>
        <v>150</v>
      </c>
      <c r="Q12" s="586">
        <f t="shared" si="1"/>
        <v>0.13832070707070704</v>
      </c>
      <c r="R12" s="587">
        <f>R13</f>
        <v>136.49</v>
      </c>
      <c r="S12" s="416">
        <f>S11</f>
        <v>150</v>
      </c>
      <c r="T12" s="586">
        <f t="shared" si="2"/>
        <v>0.13832070707070704</v>
      </c>
      <c r="U12" s="587">
        <f>U13</f>
        <v>136.49</v>
      </c>
      <c r="V12" s="416">
        <f>V11</f>
        <v>150</v>
      </c>
      <c r="W12" s="586">
        <f t="shared" si="3"/>
        <v>0.13832070707070704</v>
      </c>
    </row>
    <row r="13" spans="11:23">
      <c r="K13" t="str">
        <f>Parameters!B28</f>
        <v>Bracket 2</v>
      </c>
      <c r="L13" s="584">
        <f>Parameters!C28</f>
        <v>112.5</v>
      </c>
      <c r="M13" s="585">
        <f>Parameters!D28</f>
        <v>250</v>
      </c>
      <c r="N13" s="586">
        <f t="shared" si="0"/>
        <v>0.28977272727272729</v>
      </c>
      <c r="O13" s="584">
        <f>Parameters!E28</f>
        <v>136.49</v>
      </c>
      <c r="P13" s="585">
        <f>Parameters!F28</f>
        <v>250</v>
      </c>
      <c r="Q13" s="586">
        <f t="shared" si="1"/>
        <v>0.13832070707070704</v>
      </c>
      <c r="R13" s="584">
        <f>Parameters!G28</f>
        <v>136.49</v>
      </c>
      <c r="S13" s="585">
        <f>Parameters!H28</f>
        <v>250</v>
      </c>
      <c r="T13" s="586">
        <f t="shared" si="2"/>
        <v>0.13832070707070704</v>
      </c>
      <c r="U13" s="584">
        <f>Parameters!I28</f>
        <v>136.49</v>
      </c>
      <c r="V13" s="585">
        <f>Parameters!J28</f>
        <v>250</v>
      </c>
      <c r="W13" s="586">
        <f t="shared" si="3"/>
        <v>0.13832070707070704</v>
      </c>
    </row>
    <row r="14" spans="11:23">
      <c r="L14" s="587">
        <f>L15</f>
        <v>124.62</v>
      </c>
      <c r="M14" s="416">
        <f>M13</f>
        <v>250</v>
      </c>
      <c r="N14" s="586">
        <f t="shared" si="0"/>
        <v>0.21325757575757576</v>
      </c>
      <c r="O14" s="587">
        <f>O15</f>
        <v>159.36000000000001</v>
      </c>
      <c r="P14" s="416">
        <f>P13</f>
        <v>250</v>
      </c>
      <c r="Q14" s="586">
        <f t="shared" si="1"/>
        <v>-6.0606060606061109E-3</v>
      </c>
      <c r="R14" s="587">
        <f>R15</f>
        <v>159.36000000000001</v>
      </c>
      <c r="S14" s="416">
        <f>S13</f>
        <v>250</v>
      </c>
      <c r="T14" s="586">
        <f t="shared" si="2"/>
        <v>-6.0606060606061109E-3</v>
      </c>
      <c r="U14" s="587">
        <f>U15</f>
        <v>159.36000000000001</v>
      </c>
      <c r="V14" s="416">
        <f>V13</f>
        <v>250</v>
      </c>
      <c r="W14" s="586">
        <f t="shared" si="3"/>
        <v>-6.0606060606061109E-3</v>
      </c>
    </row>
    <row r="15" spans="11:23">
      <c r="K15" t="str">
        <f>Parameters!B29</f>
        <v>Bracket 3</v>
      </c>
      <c r="L15" s="588">
        <f>Parameters!C29</f>
        <v>124.62</v>
      </c>
      <c r="M15" s="589">
        <v>550</v>
      </c>
      <c r="N15" s="590">
        <f t="shared" si="0"/>
        <v>0.21325757575757576</v>
      </c>
      <c r="O15" s="588">
        <f>Parameters!E29</f>
        <v>159.36000000000001</v>
      </c>
      <c r="P15" s="589">
        <v>550</v>
      </c>
      <c r="Q15" s="590">
        <f t="shared" si="1"/>
        <v>-6.0606060606061109E-3</v>
      </c>
      <c r="R15" s="588">
        <f>Parameters!G29</f>
        <v>159.36000000000001</v>
      </c>
      <c r="S15" s="589">
        <v>550</v>
      </c>
      <c r="T15" s="590">
        <f t="shared" si="2"/>
        <v>-6.0606060606061109E-3</v>
      </c>
      <c r="U15" s="588">
        <f>Parameters!I29</f>
        <v>159.36000000000001</v>
      </c>
      <c r="V15" s="589">
        <v>550</v>
      </c>
      <c r="W15" s="590">
        <f t="shared" si="3"/>
        <v>-6.0606060606061109E-3</v>
      </c>
    </row>
    <row r="17" spans="11:24">
      <c r="L17" t="str">
        <f>Parameters!B43</f>
        <v>Production cost energy for firms</v>
      </c>
    </row>
    <row r="18" spans="11:24">
      <c r="L18" s="591">
        <v>158.4</v>
      </c>
    </row>
    <row r="20" spans="11:24">
      <c r="L20">
        <f>Parameters!C43</f>
        <v>142.39140180447515</v>
      </c>
    </row>
    <row r="21" spans="11:24">
      <c r="M21" s="808" t="s">
        <v>315</v>
      </c>
      <c r="N21" s="808"/>
      <c r="O21" s="808"/>
      <c r="P21" s="808"/>
      <c r="Q21" s="808" t="s">
        <v>561</v>
      </c>
      <c r="R21" s="808"/>
      <c r="S21" s="808"/>
      <c r="T21" s="808"/>
      <c r="U21" s="808" t="s">
        <v>315</v>
      </c>
      <c r="V21" s="808"/>
      <c r="W21" s="808"/>
      <c r="X21" s="808"/>
    </row>
    <row r="22" spans="11:24">
      <c r="M22" s="416" t="s">
        <v>14</v>
      </c>
      <c r="N22" s="416" t="s">
        <v>423</v>
      </c>
      <c r="O22" s="416" t="s">
        <v>437</v>
      </c>
      <c r="P22" s="416" t="s">
        <v>447</v>
      </c>
      <c r="Q22" s="416" t="s">
        <v>14</v>
      </c>
      <c r="R22" s="416" t="s">
        <v>423</v>
      </c>
      <c r="S22" s="416" t="s">
        <v>437</v>
      </c>
      <c r="T22" s="416" t="s">
        <v>447</v>
      </c>
      <c r="U22" s="416" t="s">
        <v>14</v>
      </c>
      <c r="V22" s="416" t="s">
        <v>423</v>
      </c>
      <c r="W22" s="416" t="s">
        <v>437</v>
      </c>
      <c r="X22" s="416" t="s">
        <v>447</v>
      </c>
    </row>
    <row r="23" spans="11:24">
      <c r="K23" s="821" t="s">
        <v>10</v>
      </c>
      <c r="L23" t="s">
        <v>562</v>
      </c>
      <c r="M23" s="416">
        <f>Parameters!C23</f>
        <v>91.17</v>
      </c>
      <c r="N23" s="416">
        <f>Parameters!E23</f>
        <v>91.17</v>
      </c>
      <c r="O23" s="416">
        <f>Parameters!G23</f>
        <v>110.14</v>
      </c>
      <c r="P23" s="416">
        <f>Parameters!I23</f>
        <v>91.17</v>
      </c>
      <c r="U23" s="416">
        <f t="shared" ref="U23:X28" si="4">M23-Q23</f>
        <v>91.17</v>
      </c>
      <c r="V23" s="416">
        <f t="shared" si="4"/>
        <v>91.17</v>
      </c>
      <c r="W23" s="416">
        <f t="shared" si="4"/>
        <v>110.14</v>
      </c>
      <c r="X23" s="416">
        <f t="shared" si="4"/>
        <v>91.17</v>
      </c>
    </row>
    <row r="24" spans="11:24">
      <c r="K24" s="821"/>
      <c r="L24" t="s">
        <v>563</v>
      </c>
      <c r="M24" s="416">
        <f>Parameters!C24</f>
        <v>112.5</v>
      </c>
      <c r="N24" s="416">
        <f>Parameters!E24</f>
        <v>136.49</v>
      </c>
      <c r="O24" s="416">
        <f>Parameters!G24</f>
        <v>136.49</v>
      </c>
      <c r="P24" s="416">
        <f>Parameters!I24</f>
        <v>136.49</v>
      </c>
      <c r="U24" s="416">
        <f t="shared" si="4"/>
        <v>112.5</v>
      </c>
      <c r="V24" s="416">
        <f t="shared" si="4"/>
        <v>136.49</v>
      </c>
      <c r="W24" s="416">
        <f t="shared" si="4"/>
        <v>136.49</v>
      </c>
      <c r="X24" s="416">
        <f t="shared" si="4"/>
        <v>136.49</v>
      </c>
    </row>
    <row r="25" spans="11:24">
      <c r="K25" s="821"/>
      <c r="L25" t="s">
        <v>564</v>
      </c>
      <c r="M25" s="416">
        <f>Parameters!C25</f>
        <v>112.5</v>
      </c>
      <c r="N25" s="416">
        <f>Parameters!E25</f>
        <v>149.06</v>
      </c>
      <c r="O25" s="416">
        <f>Parameters!G25</f>
        <v>149.06</v>
      </c>
      <c r="P25" s="416">
        <f>Parameters!I25</f>
        <v>149.06</v>
      </c>
      <c r="Q25">
        <f>M25*0.18</f>
        <v>20.25</v>
      </c>
      <c r="R25">
        <f>N25*0.18</f>
        <v>26.8308</v>
      </c>
      <c r="S25">
        <f>O25*0.18</f>
        <v>26.8308</v>
      </c>
      <c r="T25">
        <f>P25*0.18</f>
        <v>26.8308</v>
      </c>
      <c r="U25" s="416">
        <f t="shared" si="4"/>
        <v>92.25</v>
      </c>
      <c r="V25" s="416">
        <f t="shared" si="4"/>
        <v>122.22920000000001</v>
      </c>
      <c r="W25" s="416">
        <f t="shared" si="4"/>
        <v>122.22920000000001</v>
      </c>
      <c r="X25" s="416">
        <f t="shared" si="4"/>
        <v>122.22920000000001</v>
      </c>
    </row>
    <row r="26" spans="11:24">
      <c r="K26" s="821" t="s">
        <v>7</v>
      </c>
      <c r="L26" t="s">
        <v>565</v>
      </c>
      <c r="M26" s="416">
        <f>Parameters!C27</f>
        <v>91.17</v>
      </c>
      <c r="N26" s="416">
        <f>Parameters!E27</f>
        <v>91.17</v>
      </c>
      <c r="O26" s="416">
        <f>Parameters!G27</f>
        <v>110.14</v>
      </c>
      <c r="P26" s="416">
        <f>Parameters!I27</f>
        <v>91.17</v>
      </c>
      <c r="U26" s="416">
        <f t="shared" si="4"/>
        <v>91.17</v>
      </c>
      <c r="V26" s="416">
        <f t="shared" si="4"/>
        <v>91.17</v>
      </c>
      <c r="W26" s="416">
        <f t="shared" si="4"/>
        <v>110.14</v>
      </c>
      <c r="X26" s="416">
        <f t="shared" si="4"/>
        <v>91.17</v>
      </c>
    </row>
    <row r="27" spans="11:24">
      <c r="K27" s="821"/>
      <c r="L27" t="s">
        <v>566</v>
      </c>
      <c r="M27" s="416">
        <f>Parameters!C28</f>
        <v>112.5</v>
      </c>
      <c r="N27" s="416">
        <f>Parameters!E28</f>
        <v>136.49</v>
      </c>
      <c r="O27" s="416">
        <f>Parameters!G28</f>
        <v>136.49</v>
      </c>
      <c r="P27" s="416">
        <f>Parameters!I28</f>
        <v>136.49</v>
      </c>
      <c r="U27" s="416">
        <f t="shared" si="4"/>
        <v>112.5</v>
      </c>
      <c r="V27" s="416">
        <f t="shared" si="4"/>
        <v>136.49</v>
      </c>
      <c r="W27" s="416">
        <f t="shared" si="4"/>
        <v>136.49</v>
      </c>
      <c r="X27" s="416">
        <f t="shared" si="4"/>
        <v>136.49</v>
      </c>
    </row>
    <row r="28" spans="11:24">
      <c r="K28" s="821"/>
      <c r="L28" t="s">
        <v>567</v>
      </c>
      <c r="M28" s="416">
        <f>Parameters!C29</f>
        <v>124.62</v>
      </c>
      <c r="N28" s="416">
        <f>Parameters!E29</f>
        <v>159.36000000000001</v>
      </c>
      <c r="O28" s="416">
        <f>Parameters!G29</f>
        <v>159.36000000000001</v>
      </c>
      <c r="P28" s="416">
        <f>Parameters!I29</f>
        <v>159.36000000000001</v>
      </c>
      <c r="Q28">
        <f>M28*0.18</f>
        <v>22.4316</v>
      </c>
      <c r="R28">
        <f>N28*0.18</f>
        <v>28.684800000000003</v>
      </c>
      <c r="S28">
        <f>O28*0.18</f>
        <v>28.684800000000003</v>
      </c>
      <c r="T28">
        <f>P28*0.18</f>
        <v>28.684800000000003</v>
      </c>
      <c r="U28" s="416">
        <f t="shared" si="4"/>
        <v>102.1884</v>
      </c>
      <c r="V28" s="416">
        <f t="shared" si="4"/>
        <v>130.67520000000002</v>
      </c>
      <c r="W28" s="416">
        <f t="shared" si="4"/>
        <v>130.67520000000002</v>
      </c>
      <c r="X28" s="416">
        <f t="shared" si="4"/>
        <v>130.67520000000002</v>
      </c>
    </row>
    <row r="66" spans="12:20">
      <c r="M66" s="416" t="s">
        <v>14</v>
      </c>
      <c r="N66" s="416" t="s">
        <v>423</v>
      </c>
      <c r="O66" s="416" t="s">
        <v>437</v>
      </c>
      <c r="P66" s="416" t="s">
        <v>447</v>
      </c>
      <c r="Q66" s="416" t="s">
        <v>14</v>
      </c>
      <c r="R66" s="416" t="s">
        <v>423</v>
      </c>
      <c r="S66" s="416" t="s">
        <v>437</v>
      </c>
      <c r="T66" s="416" t="s">
        <v>447</v>
      </c>
    </row>
    <row r="67" spans="12:20">
      <c r="L67" t="str">
        <f>Parameters!B6</f>
        <v>LPG (Butane)</v>
      </c>
      <c r="M67">
        <f>Parameters!E6</f>
        <v>0.257594544971531</v>
      </c>
      <c r="N67">
        <f>Parameters!H6</f>
        <v>0.257594544971531</v>
      </c>
      <c r="O67">
        <f>Parameters!K6</f>
        <v>0.257594544971531</v>
      </c>
      <c r="P67">
        <f>Parameters!N6</f>
        <v>0.257594544971531</v>
      </c>
      <c r="Q67" s="292">
        <f>M67*100</f>
        <v>25.759454497153101</v>
      </c>
      <c r="R67" s="292">
        <f>N67*100</f>
        <v>25.759454497153101</v>
      </c>
      <c r="S67" s="292">
        <f>O67*100</f>
        <v>25.759454497153101</v>
      </c>
      <c r="T67" s="292">
        <f>P67*100</f>
        <v>25.759454497153101</v>
      </c>
    </row>
    <row r="68" spans="12:20">
      <c r="L68" t="str">
        <f>Parameters!B7</f>
        <v>Kerosene (Pétrole Lampant)</v>
      </c>
      <c r="M68">
        <f>Parameters!E7</f>
        <v>0.46872687776634153</v>
      </c>
      <c r="N68">
        <f>Parameters!H7</f>
        <v>0.46872687776634153</v>
      </c>
      <c r="O68">
        <f>Parameters!K7</f>
        <v>0.46872687776634153</v>
      </c>
      <c r="P68">
        <f>Parameters!N7</f>
        <v>0.46872687776634153</v>
      </c>
      <c r="Q68" s="292">
        <f t="shared" ref="Q68:Q74" si="5">M68*100</f>
        <v>46.872687776634152</v>
      </c>
      <c r="R68" s="292">
        <f t="shared" ref="R68:R74" si="6">N68*100</f>
        <v>46.872687776634152</v>
      </c>
      <c r="S68" s="292">
        <f t="shared" ref="S68:S74" si="7">O68*100</f>
        <v>46.872687776634152</v>
      </c>
      <c r="T68" s="292">
        <f t="shared" ref="T68:T74" si="8">P68*100</f>
        <v>46.872687776634152</v>
      </c>
    </row>
    <row r="69" spans="12:20">
      <c r="L69" t="str">
        <f>Parameters!B8</f>
        <v>Diesel (Gasoil)</v>
      </c>
      <c r="M69">
        <f>Parameters!E8</f>
        <v>0.29020491337609816</v>
      </c>
      <c r="N69">
        <f>Parameters!H8</f>
        <v>0.18183972810502336</v>
      </c>
      <c r="O69">
        <f>Parameters!K8</f>
        <v>0.18183972810502336</v>
      </c>
      <c r="P69">
        <f>Parameters!N8</f>
        <v>0.18183972810502336</v>
      </c>
      <c r="Q69" s="292">
        <f t="shared" si="5"/>
        <v>29.020491337609815</v>
      </c>
      <c r="R69" s="292">
        <f t="shared" si="6"/>
        <v>18.183972810502336</v>
      </c>
      <c r="S69" s="292">
        <f t="shared" si="7"/>
        <v>18.183972810502336</v>
      </c>
      <c r="T69" s="292">
        <f t="shared" si="8"/>
        <v>18.183972810502336</v>
      </c>
    </row>
    <row r="70" spans="12:20">
      <c r="L70" t="str">
        <f>Parameters!B9</f>
        <v>Regular Gasoline (Essence Ordinaire)</v>
      </c>
      <c r="M70">
        <f>Parameters!E9</f>
        <v>0.23794853746758995</v>
      </c>
      <c r="N70">
        <f>Parameters!H9</f>
        <v>0.23794853746758995</v>
      </c>
      <c r="O70">
        <f>Parameters!K9</f>
        <v>0.23794853746758995</v>
      </c>
      <c r="P70">
        <f>Parameters!N9</f>
        <v>0.23794853746758995</v>
      </c>
      <c r="Q70" s="292">
        <f t="shared" si="5"/>
        <v>23.794853746758996</v>
      </c>
      <c r="R70" s="292">
        <f t="shared" si="6"/>
        <v>23.794853746758996</v>
      </c>
      <c r="S70" s="292">
        <f t="shared" si="7"/>
        <v>23.794853746758996</v>
      </c>
      <c r="T70" s="292">
        <f t="shared" si="8"/>
        <v>23.794853746758996</v>
      </c>
    </row>
    <row r="71" spans="12:20">
      <c r="L71" t="str">
        <f>Parameters!B10</f>
        <v>Boat Gasoline (Essence Pirogue)</v>
      </c>
      <c r="M71">
        <f>Parameters!E10</f>
        <v>0.31031555231605862</v>
      </c>
      <c r="N71">
        <f>Parameters!H10</f>
        <v>0.31031555231605862</v>
      </c>
      <c r="O71">
        <f>Parameters!K10</f>
        <v>0.31031555231605862</v>
      </c>
      <c r="P71">
        <f>Parameters!N10</f>
        <v>0.31031555231605862</v>
      </c>
      <c r="Q71" s="292">
        <f t="shared" si="5"/>
        <v>31.031555231605861</v>
      </c>
      <c r="R71" s="292">
        <f t="shared" si="6"/>
        <v>31.031555231605861</v>
      </c>
      <c r="S71" s="292">
        <f t="shared" si="7"/>
        <v>31.031555231605861</v>
      </c>
      <c r="T71" s="292">
        <f t="shared" si="8"/>
        <v>31.031555231605861</v>
      </c>
    </row>
    <row r="72" spans="12:20">
      <c r="L72" t="str">
        <f>Parameters!B11</f>
        <v>Premium Gasoline  (Super Carburant)</v>
      </c>
      <c r="M72">
        <f>Parameters!E11</f>
        <v>0.1010104555400574</v>
      </c>
      <c r="N72">
        <f>Parameters!H11</f>
        <v>2.9335471873669534E-7</v>
      </c>
      <c r="O72">
        <f>Parameters!K11</f>
        <v>2.9335471873669534E-7</v>
      </c>
      <c r="P72">
        <f>Parameters!N11</f>
        <v>2.9335471873669534E-7</v>
      </c>
      <c r="Q72" s="292">
        <f t="shared" si="5"/>
        <v>10.10104555400574</v>
      </c>
      <c r="R72" s="292">
        <f t="shared" si="6"/>
        <v>2.9335471873669536E-5</v>
      </c>
      <c r="S72" s="292">
        <f t="shared" si="7"/>
        <v>2.9335471873669536E-5</v>
      </c>
      <c r="T72" s="292">
        <f t="shared" si="8"/>
        <v>2.9335471873669536E-5</v>
      </c>
    </row>
    <row r="73" spans="12:20">
      <c r="L73" t="str">
        <f>Parameters!B12</f>
        <v>Household Gasoline</v>
      </c>
      <c r="M73">
        <f>Parameters!E12</f>
        <v>0.27919844772883534</v>
      </c>
      <c r="N73">
        <f>Parameters!H12</f>
        <v>0.18983074699255686</v>
      </c>
      <c r="O73">
        <f>Parameters!K12</f>
        <v>0.18983074699255686</v>
      </c>
      <c r="P73">
        <f>Parameters!N12</f>
        <v>0.18983074699255686</v>
      </c>
      <c r="Q73" s="292">
        <f t="shared" si="5"/>
        <v>27.919844772883533</v>
      </c>
      <c r="R73" s="292">
        <f t="shared" si="6"/>
        <v>18.983074699255688</v>
      </c>
      <c r="S73" s="292">
        <f t="shared" si="7"/>
        <v>18.983074699255688</v>
      </c>
      <c r="T73" s="292">
        <f t="shared" si="8"/>
        <v>18.983074699255688</v>
      </c>
    </row>
    <row r="74" spans="12:20">
      <c r="L74" t="str">
        <f>Parameters!B13</f>
        <v>Industry Fuel Mix</v>
      </c>
      <c r="M74">
        <f>Parameters!E13</f>
        <v>0.24261047771763</v>
      </c>
      <c r="N74">
        <f>Parameters!H13</f>
        <v>0.1412439765790047</v>
      </c>
      <c r="O74">
        <f>Parameters!K13</f>
        <v>0.1412439765790047</v>
      </c>
      <c r="P74">
        <f>Parameters!N13</f>
        <v>0.1412439765790047</v>
      </c>
      <c r="Q74" s="292">
        <f t="shared" si="5"/>
        <v>24.261047771763</v>
      </c>
      <c r="R74" s="292">
        <f t="shared" si="6"/>
        <v>14.12439765790047</v>
      </c>
      <c r="S74" s="292">
        <f t="shared" si="7"/>
        <v>14.12439765790047</v>
      </c>
      <c r="T74" s="292">
        <f t="shared" si="8"/>
        <v>14.12439765790047</v>
      </c>
    </row>
    <row r="79" spans="12:20">
      <c r="M79" s="416" t="s">
        <v>568</v>
      </c>
      <c r="N79" s="416" t="s">
        <v>569</v>
      </c>
      <c r="O79" s="416" t="s">
        <v>570</v>
      </c>
    </row>
    <row r="80" spans="12:20">
      <c r="L80" t="s">
        <v>33</v>
      </c>
      <c r="M80" s="593">
        <f>[3]Parameters!E6</f>
        <v>0.41957356893675063</v>
      </c>
      <c r="N80" s="593">
        <f>[4]Parameters!E6</f>
        <v>0.41957356893675063</v>
      </c>
      <c r="O80" s="592">
        <f>[2]Parameters!E6</f>
        <v>0.257594544971531</v>
      </c>
    </row>
    <row r="81" spans="12:15">
      <c r="L81" t="s">
        <v>113</v>
      </c>
      <c r="M81" s="593">
        <f>[3]Parameters!E7</f>
        <v>0.53276345251792612</v>
      </c>
      <c r="N81" s="593">
        <f>[4]Parameters!E7</f>
        <v>0.53276345251792612</v>
      </c>
      <c r="O81" s="592">
        <f>[2]Parameters!E7</f>
        <v>0.46872687776634153</v>
      </c>
    </row>
    <row r="82" spans="12:15">
      <c r="L82" t="s">
        <v>38</v>
      </c>
      <c r="M82" s="593">
        <f>[3]Parameters!E8</f>
        <v>0.35606192216405236</v>
      </c>
      <c r="N82" s="593">
        <f>[4]Parameters!E8</f>
        <v>0.36574475609915563</v>
      </c>
      <c r="O82" s="592">
        <f>[2]Parameters!E8</f>
        <v>0.29020491337609816</v>
      </c>
    </row>
    <row r="83" spans="12:15">
      <c r="L83" t="s">
        <v>35</v>
      </c>
      <c r="M83" s="593">
        <f>[3]Parameters!E9</f>
        <v>0.34502068718767648</v>
      </c>
      <c r="N83" s="593">
        <f>[4]Parameters!E9</f>
        <v>0.34502068718767648</v>
      </c>
      <c r="O83" s="592">
        <f>[2]Parameters!E9</f>
        <v>0.23794853746758995</v>
      </c>
    </row>
    <row r="84" spans="12:15">
      <c r="L84" t="s">
        <v>36</v>
      </c>
      <c r="M84" s="593">
        <f>[3]Parameters!E10</f>
        <v>0.41223391430401857</v>
      </c>
      <c r="N84" s="593">
        <f>[4]Parameters!E10</f>
        <v>0.41223391430401857</v>
      </c>
      <c r="O84" s="592">
        <f>[2]Parameters!E10</f>
        <v>0.31031555231605862</v>
      </c>
    </row>
    <row r="85" spans="12:15">
      <c r="L85" t="s">
        <v>116</v>
      </c>
      <c r="M85" s="593">
        <f>[3]Parameters!E11</f>
        <v>0.15661218949068106</v>
      </c>
      <c r="N85" s="593">
        <f>[4]Parameters!E11</f>
        <v>0.15661218949068106</v>
      </c>
      <c r="O85" s="592">
        <f>[2]Parameters!E11</f>
        <v>0.1010104555400574</v>
      </c>
    </row>
    <row r="86" spans="12:15">
      <c r="L86" t="s">
        <v>571</v>
      </c>
      <c r="M86" s="593">
        <f>[3]Parameters!E12</f>
        <v>0.25081643833917877</v>
      </c>
      <c r="N86" s="593">
        <f>[4]Parameters!E12</f>
        <v>0.36004674798666247</v>
      </c>
      <c r="O86" s="592">
        <f>[2]Parameters!E12</f>
        <v>0.27919844772883534</v>
      </c>
    </row>
    <row r="87" spans="12:15">
      <c r="L87" t="s">
        <v>572</v>
      </c>
      <c r="M87" s="593">
        <f>[3]Parameters!E13</f>
        <v>0.35999396161385006</v>
      </c>
      <c r="N87" s="593">
        <f>[4]Parameters!E13</f>
        <v>0.31421807050484601</v>
      </c>
      <c r="O87" s="592">
        <f>[2]Parameters!E13</f>
        <v>0.24261047771763</v>
      </c>
    </row>
    <row r="99" spans="1:10">
      <c r="H99" t="s">
        <v>573</v>
      </c>
    </row>
    <row r="100" spans="1:10">
      <c r="G100" t="s">
        <v>574</v>
      </c>
      <c r="H100" t="s">
        <v>575</v>
      </c>
      <c r="I100" t="s">
        <v>576</v>
      </c>
      <c r="J100" t="s">
        <v>577</v>
      </c>
    </row>
    <row r="101" spans="1:10">
      <c r="H101" t="s">
        <v>578</v>
      </c>
    </row>
    <row r="109" spans="1:10">
      <c r="B109" t="s">
        <v>243</v>
      </c>
      <c r="C109" t="s">
        <v>244</v>
      </c>
      <c r="D109" t="s">
        <v>922</v>
      </c>
      <c r="E109" t="s">
        <v>245</v>
      </c>
      <c r="F109" t="s">
        <v>246</v>
      </c>
      <c r="G109" t="s">
        <v>247</v>
      </c>
      <c r="H109" t="s">
        <v>248</v>
      </c>
    </row>
    <row r="111" spans="1:10">
      <c r="A111" t="s">
        <v>886</v>
      </c>
      <c r="B111" t="s">
        <v>923</v>
      </c>
      <c r="C111" s="397">
        <v>7156</v>
      </c>
      <c r="D111">
        <v>17258998.5</v>
      </c>
      <c r="E111" s="455">
        <v>0.13981260000000001</v>
      </c>
      <c r="F111">
        <v>0.34681669999999998</v>
      </c>
      <c r="G111">
        <v>0</v>
      </c>
      <c r="H111">
        <v>1</v>
      </c>
    </row>
    <row r="112" spans="1:10">
      <c r="A112" t="s">
        <v>165</v>
      </c>
      <c r="B112" t="s">
        <v>924</v>
      </c>
      <c r="C112" s="397">
        <v>7156</v>
      </c>
      <c r="D112">
        <v>17258998.5</v>
      </c>
      <c r="E112" s="455">
        <v>2.7185999999999998E-3</v>
      </c>
      <c r="F112">
        <v>5.2072599999999997E-2</v>
      </c>
      <c r="G112">
        <v>0</v>
      </c>
      <c r="H112">
        <v>1</v>
      </c>
    </row>
    <row r="113" spans="1:8">
      <c r="A113" t="s">
        <v>214</v>
      </c>
      <c r="B113" t="s">
        <v>925</v>
      </c>
      <c r="C113" s="397">
        <v>7156</v>
      </c>
      <c r="D113">
        <v>17258998.5</v>
      </c>
      <c r="E113" s="455">
        <v>0.47765170000000001</v>
      </c>
      <c r="F113">
        <v>0.49953520000000001</v>
      </c>
      <c r="G113">
        <v>0</v>
      </c>
      <c r="H113">
        <v>1</v>
      </c>
    </row>
  </sheetData>
  <mergeCells count="10">
    <mergeCell ref="L1:W1"/>
    <mergeCell ref="K23:K25"/>
    <mergeCell ref="K26:K28"/>
    <mergeCell ref="M21:P21"/>
    <mergeCell ref="Q21:T21"/>
    <mergeCell ref="U21:X21"/>
    <mergeCell ref="L2:N2"/>
    <mergeCell ref="O2:Q2"/>
    <mergeCell ref="R2:T2"/>
    <mergeCell ref="U2:W2"/>
  </mergeCells>
  <phoneticPr fontId="50" type="noConversion"/>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A4950-9674-402D-805D-1686AAED5D20}">
  <sheetPr codeName="Hoja13">
    <tabColor rgb="FFA0CAF4"/>
  </sheetPr>
  <dimension ref="A1:I34"/>
  <sheetViews>
    <sheetView workbookViewId="0">
      <selection activeCell="I10" sqref="I10"/>
    </sheetView>
  </sheetViews>
  <sheetFormatPr baseColWidth="10" defaultColWidth="11.44140625" defaultRowHeight="14.4"/>
  <sheetData>
    <row r="1" spans="1:1">
      <c r="A1" s="443" t="s">
        <v>579</v>
      </c>
    </row>
    <row r="2" spans="1:1">
      <c r="A2" t="s">
        <v>580</v>
      </c>
    </row>
    <row r="3" spans="1:1">
      <c r="A3" t="s">
        <v>581</v>
      </c>
    </row>
    <row r="4" spans="1:1">
      <c r="A4" t="s">
        <v>582</v>
      </c>
    </row>
    <row r="5" spans="1:1">
      <c r="A5" t="s">
        <v>583</v>
      </c>
    </row>
    <row r="6" spans="1:1">
      <c r="A6" t="s">
        <v>584</v>
      </c>
    </row>
    <row r="7" spans="1:1">
      <c r="A7" t="s">
        <v>585</v>
      </c>
    </row>
    <row r="10" spans="1:1">
      <c r="A10" s="1" t="s">
        <v>586</v>
      </c>
    </row>
    <row r="11" spans="1:1">
      <c r="A11" s="1" t="s">
        <v>587</v>
      </c>
    </row>
    <row r="13" spans="1:1">
      <c r="A13" t="s">
        <v>588</v>
      </c>
    </row>
    <row r="17" spans="1:9">
      <c r="A17" t="s">
        <v>589</v>
      </c>
    </row>
    <row r="19" spans="1:9">
      <c r="A19" t="s">
        <v>590</v>
      </c>
    </row>
    <row r="24" spans="1:9">
      <c r="A24" s="443" t="s">
        <v>591</v>
      </c>
    </row>
    <row r="25" spans="1:9">
      <c r="A25" t="s">
        <v>592</v>
      </c>
      <c r="I25" t="s">
        <v>593</v>
      </c>
    </row>
    <row r="26" spans="1:9">
      <c r="A26" t="s">
        <v>594</v>
      </c>
    </row>
    <row r="29" spans="1:9">
      <c r="A29" s="443" t="s">
        <v>595</v>
      </c>
    </row>
    <row r="30" spans="1:9">
      <c r="A30" t="s">
        <v>596</v>
      </c>
      <c r="I30">
        <f>398114/4167</f>
        <v>95.539716822654185</v>
      </c>
    </row>
    <row r="31" spans="1:9">
      <c r="A31" t="s">
        <v>597</v>
      </c>
    </row>
    <row r="32" spans="1:9">
      <c r="A32" t="s">
        <v>598</v>
      </c>
    </row>
    <row r="33" spans="1:1">
      <c r="A33" t="s">
        <v>599</v>
      </c>
    </row>
    <row r="34" spans="1:1">
      <c r="A34" t="s">
        <v>600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4062E-C19E-413A-8CB8-B69B6D2CBCE6}">
  <sheetPr codeName="Hoja14">
    <tabColor rgb="FFA0CAF4"/>
  </sheetPr>
  <dimension ref="B2:P77"/>
  <sheetViews>
    <sheetView topLeftCell="A45" zoomScaleNormal="100" workbookViewId="0">
      <selection activeCell="G67" sqref="G67"/>
    </sheetView>
  </sheetViews>
  <sheetFormatPr baseColWidth="10" defaultColWidth="11.5546875" defaultRowHeight="14.4"/>
  <cols>
    <col min="1" max="1" width="3.6640625" style="1" customWidth="1"/>
    <col min="2" max="2" width="42.33203125" style="1" customWidth="1"/>
    <col min="3" max="11" width="11.5546875" style="1"/>
    <col min="12" max="12" width="13" style="1" customWidth="1"/>
    <col min="13" max="16384" width="11.5546875" style="1"/>
  </cols>
  <sheetData>
    <row r="2" spans="2:14" ht="23.4">
      <c r="B2" s="231" t="s">
        <v>601</v>
      </c>
      <c r="C2" s="232"/>
      <c r="D2" s="232"/>
      <c r="E2" s="232"/>
      <c r="F2" s="233"/>
      <c r="G2" s="230"/>
      <c r="H2" s="230"/>
      <c r="I2" s="230"/>
      <c r="J2" s="230"/>
      <c r="K2" s="230"/>
    </row>
    <row r="3" spans="2:14" ht="23.4">
      <c r="B3" s="2"/>
      <c r="C3" s="3"/>
      <c r="D3" s="3"/>
      <c r="E3" s="3"/>
      <c r="F3" s="4"/>
    </row>
    <row r="4" spans="2:14" ht="15" customHeight="1" thickBot="1">
      <c r="B4" s="5"/>
      <c r="C4" s="823" t="s">
        <v>14</v>
      </c>
      <c r="D4" s="822"/>
      <c r="E4" s="825"/>
      <c r="F4" s="823" t="s">
        <v>423</v>
      </c>
      <c r="G4" s="822"/>
      <c r="H4" s="825"/>
      <c r="I4" s="822" t="s">
        <v>437</v>
      </c>
      <c r="J4" s="822"/>
      <c r="K4" s="822"/>
      <c r="L4" s="823" t="s">
        <v>447</v>
      </c>
      <c r="M4" s="822"/>
      <c r="N4" s="822"/>
    </row>
    <row r="5" spans="2:14" ht="43.8" thickTop="1">
      <c r="B5" s="7"/>
      <c r="C5" s="8" t="s">
        <v>602</v>
      </c>
      <c r="D5" s="8" t="s">
        <v>603</v>
      </c>
      <c r="E5" s="97" t="s">
        <v>604</v>
      </c>
      <c r="F5" s="8" t="s">
        <v>602</v>
      </c>
      <c r="G5" s="8" t="s">
        <v>603</v>
      </c>
      <c r="H5" s="97" t="s">
        <v>604</v>
      </c>
      <c r="I5" s="8" t="s">
        <v>602</v>
      </c>
      <c r="J5" s="8" t="s">
        <v>603</v>
      </c>
      <c r="K5" s="8" t="s">
        <v>604</v>
      </c>
      <c r="L5" s="8" t="s">
        <v>602</v>
      </c>
      <c r="M5" s="8" t="s">
        <v>603</v>
      </c>
      <c r="N5" s="8" t="s">
        <v>604</v>
      </c>
    </row>
    <row r="6" spans="2:14">
      <c r="B6" s="190" t="s">
        <v>605</v>
      </c>
      <c r="C6" s="9">
        <f>Fuel_prices_info!L12</f>
        <v>476.32255555555554</v>
      </c>
      <c r="D6" s="9">
        <f>Fuel_prices_info!L5</f>
        <v>641.59355555555555</v>
      </c>
      <c r="E6" s="383">
        <f t="shared" ref="E6:E11" si="0">+(D6-C6)/D6</f>
        <v>0.257594544971531</v>
      </c>
      <c r="F6" s="9">
        <f>Fuel_prices_info!L19</f>
        <v>476.32255555555554</v>
      </c>
      <c r="G6" s="9">
        <f t="shared" ref="G6:G11" si="1">D6</f>
        <v>641.59355555555555</v>
      </c>
      <c r="H6" s="383">
        <f t="shared" ref="H6:H11" si="2">+(G6-F6)/G6</f>
        <v>0.257594544971531</v>
      </c>
      <c r="I6" s="9">
        <f t="shared" ref="I6:I11" si="3">F6</f>
        <v>476.32255555555554</v>
      </c>
      <c r="J6" s="9">
        <f t="shared" ref="J6:J11" si="4">D6</f>
        <v>641.59355555555555</v>
      </c>
      <c r="K6" s="383">
        <f t="shared" ref="K6:K11" si="5">+(J6-I6)/J6</f>
        <v>0.257594544971531</v>
      </c>
      <c r="L6" s="9">
        <f>I6</f>
        <v>476.32255555555554</v>
      </c>
      <c r="M6" s="9">
        <f t="shared" ref="M6:M11" si="6">G6</f>
        <v>641.59355555555555</v>
      </c>
      <c r="N6" s="383">
        <f t="shared" ref="N6:N11" si="7">+(M6-L6)/M6</f>
        <v>0.257594544971531</v>
      </c>
    </row>
    <row r="7" spans="2:14">
      <c r="B7" s="191" t="s">
        <v>606</v>
      </c>
      <c r="C7" s="9">
        <f>Fuel_prices_info!L16</f>
        <v>409.99941999999999</v>
      </c>
      <c r="D7" s="9">
        <f>Fuel_prices_info!L9</f>
        <v>771.7300251821863</v>
      </c>
      <c r="E7" s="383">
        <f t="shared" si="0"/>
        <v>0.46872687776634153</v>
      </c>
      <c r="F7" s="9">
        <f>Fuel_prices_info!L23</f>
        <v>409.99941999999999</v>
      </c>
      <c r="G7" s="9">
        <f t="shared" si="1"/>
        <v>771.7300251821863</v>
      </c>
      <c r="H7" s="383">
        <f t="shared" si="2"/>
        <v>0.46872687776634153</v>
      </c>
      <c r="I7" s="9">
        <f t="shared" si="3"/>
        <v>409.99941999999999</v>
      </c>
      <c r="J7" s="9">
        <f t="shared" si="4"/>
        <v>771.7300251821863</v>
      </c>
      <c r="K7" s="383">
        <f t="shared" si="5"/>
        <v>0.46872687776634153</v>
      </c>
      <c r="L7" s="9">
        <f t="shared" ref="L7:L13" si="8">I7</f>
        <v>409.99941999999999</v>
      </c>
      <c r="M7" s="9">
        <f t="shared" si="6"/>
        <v>771.7300251821863</v>
      </c>
      <c r="N7" s="383">
        <f t="shared" si="7"/>
        <v>0.46872687776634153</v>
      </c>
    </row>
    <row r="8" spans="2:14">
      <c r="B8" s="190" t="s">
        <v>607</v>
      </c>
      <c r="C8" s="212">
        <f>Fuel_prices_info!L17</f>
        <v>654.99999999999784</v>
      </c>
      <c r="D8" s="9">
        <f>Fuel_prices_info!L10</f>
        <v>922.80154137931049</v>
      </c>
      <c r="E8" s="383">
        <f t="shared" si="0"/>
        <v>0.29020491337609816</v>
      </c>
      <c r="F8" s="212">
        <f>Fuel_prices_info!L24</f>
        <v>754.9995600000002</v>
      </c>
      <c r="G8" s="9">
        <f t="shared" si="1"/>
        <v>922.80154137931049</v>
      </c>
      <c r="H8" s="383">
        <f t="shared" si="2"/>
        <v>0.18183972810502336</v>
      </c>
      <c r="I8" s="212">
        <f t="shared" si="3"/>
        <v>754.9995600000002</v>
      </c>
      <c r="J8" s="9">
        <f t="shared" si="4"/>
        <v>922.80154137931049</v>
      </c>
      <c r="K8" s="383">
        <f t="shared" si="5"/>
        <v>0.18183972810502336</v>
      </c>
      <c r="L8" s="212">
        <f t="shared" si="8"/>
        <v>754.9995600000002</v>
      </c>
      <c r="M8" s="9">
        <f t="shared" si="6"/>
        <v>922.80154137931049</v>
      </c>
      <c r="N8" s="383">
        <f t="shared" si="7"/>
        <v>0.18183972810502336</v>
      </c>
    </row>
    <row r="9" spans="2:14">
      <c r="B9" s="11" t="s">
        <v>608</v>
      </c>
      <c r="C9" s="12">
        <f>Fuel_prices_info!L14</f>
        <v>664.9997800000001</v>
      </c>
      <c r="D9" s="12">
        <f>Fuel_prices_info!L7</f>
        <v>872.64418834668618</v>
      </c>
      <c r="E9" s="487">
        <f t="shared" si="0"/>
        <v>0.23794853746758995</v>
      </c>
      <c r="F9" s="12">
        <f>Fuel_prices_info!L21</f>
        <v>664.9997800000001</v>
      </c>
      <c r="G9" s="12">
        <f t="shared" si="1"/>
        <v>872.64418834668618</v>
      </c>
      <c r="H9" s="487">
        <f t="shared" si="2"/>
        <v>0.23794853746758995</v>
      </c>
      <c r="I9" s="12">
        <f t="shared" si="3"/>
        <v>664.9997800000001</v>
      </c>
      <c r="J9" s="12">
        <f t="shared" si="4"/>
        <v>872.64418834668618</v>
      </c>
      <c r="K9" s="487">
        <f t="shared" si="5"/>
        <v>0.23794853746758995</v>
      </c>
      <c r="L9" s="12">
        <f t="shared" si="8"/>
        <v>664.9997800000001</v>
      </c>
      <c r="M9" s="12">
        <f t="shared" si="6"/>
        <v>872.64418834668618</v>
      </c>
      <c r="N9" s="487">
        <f t="shared" si="7"/>
        <v>0.23794853746758995</v>
      </c>
    </row>
    <row r="10" spans="2:14">
      <c r="B10" s="11" t="s">
        <v>609</v>
      </c>
      <c r="C10" s="12">
        <f>Fuel_prices_info!L15</f>
        <v>496.99964</v>
      </c>
      <c r="D10" s="12">
        <f>Fuel_prices_info!L8</f>
        <v>720.61888834668605</v>
      </c>
      <c r="E10" s="383">
        <f t="shared" si="0"/>
        <v>0.31031555231605862</v>
      </c>
      <c r="F10" s="12">
        <f>Fuel_prices_info!L22</f>
        <v>496.99964</v>
      </c>
      <c r="G10" s="12">
        <f t="shared" si="1"/>
        <v>720.61888834668605</v>
      </c>
      <c r="H10" s="383">
        <f t="shared" si="2"/>
        <v>0.31031555231605862</v>
      </c>
      <c r="I10" s="12">
        <f t="shared" si="3"/>
        <v>496.99964</v>
      </c>
      <c r="J10" s="12">
        <f t="shared" si="4"/>
        <v>720.61888834668605</v>
      </c>
      <c r="K10" s="383">
        <f t="shared" si="5"/>
        <v>0.31031555231605862</v>
      </c>
      <c r="L10" s="12">
        <f t="shared" si="8"/>
        <v>496.99964</v>
      </c>
      <c r="M10" s="12">
        <f t="shared" si="6"/>
        <v>720.61888834668605</v>
      </c>
      <c r="N10" s="383">
        <f t="shared" si="7"/>
        <v>0.31031555231605862</v>
      </c>
    </row>
    <row r="11" spans="2:14">
      <c r="B11" s="11" t="s">
        <v>610</v>
      </c>
      <c r="C11" s="213">
        <f>Fuel_prices_info!L13</f>
        <v>889.99999999999727</v>
      </c>
      <c r="D11" s="12">
        <f>Fuel_prices_info!L6</f>
        <v>990.00039042128606</v>
      </c>
      <c r="E11" s="383">
        <f t="shared" si="0"/>
        <v>0.1010104555400574</v>
      </c>
      <c r="F11" s="213">
        <f>Fuel_prices_info!L20</f>
        <v>990.00009999999997</v>
      </c>
      <c r="G11" s="12">
        <f t="shared" si="1"/>
        <v>990.00039042128606</v>
      </c>
      <c r="H11" s="383">
        <f t="shared" si="2"/>
        <v>2.9335471873669534E-7</v>
      </c>
      <c r="I11" s="213">
        <f t="shared" si="3"/>
        <v>990.00009999999997</v>
      </c>
      <c r="J11" s="12">
        <f t="shared" si="4"/>
        <v>990.00039042128606</v>
      </c>
      <c r="K11" s="383">
        <f t="shared" si="5"/>
        <v>2.9335471873669534E-7</v>
      </c>
      <c r="L11" s="213">
        <f t="shared" si="8"/>
        <v>990.00009999999997</v>
      </c>
      <c r="M11" s="12">
        <f t="shared" si="6"/>
        <v>990.00039042128606</v>
      </c>
      <c r="N11" s="383">
        <f t="shared" si="7"/>
        <v>2.9335471873669534E-7</v>
      </c>
    </row>
    <row r="12" spans="2:14">
      <c r="B12" s="524" t="s">
        <v>571</v>
      </c>
      <c r="C12" s="579">
        <f>+C8*'Uprating pmts'!$D$17+C10*'Uprating pmts'!$D$19+C11*'Uprating pmts'!$D$20+C9*'Uprating pmts'!$D$18</f>
        <v>659.08230213388765</v>
      </c>
      <c r="D12" s="492">
        <f>+D8*'Uprating pmts'!$D$17+D10*'Uprating pmts'!$D$19+D11*'Uprating pmts'!$D$20+D9*'Uprating pmts'!$D$18</f>
        <v>914.7102853394066</v>
      </c>
      <c r="E12" s="518">
        <f>+E8*'Uprating pmts'!$D$17+E10*'Uprating pmts'!$D$19+E11*'Uprating pmts'!$D$20+E9*'Uprating pmts'!$D$18</f>
        <v>0.27919844772883534</v>
      </c>
      <c r="F12" s="579">
        <f>+F8*'Uprating pmts'!$D$17+F10*'Uprating pmts'!$D$19+F11*'Uprating pmts'!$D$20+F9*'Uprating pmts'!$D$18</f>
        <v>741.61842708898575</v>
      </c>
      <c r="G12" s="492">
        <f>+G8*'Uprating pmts'!$D$17+G10*'Uprating pmts'!$D$19+G11*'Uprating pmts'!$D$20+G9*'Uprating pmts'!$D$18</f>
        <v>914.7102853394066</v>
      </c>
      <c r="H12" s="518">
        <f>+H8*'Uprating pmts'!$D$17+H10*'Uprating pmts'!$D$19+H11*'Uprating pmts'!$D$20+H9*'Uprating pmts'!$D$18</f>
        <v>0.18983074699255686</v>
      </c>
      <c r="I12" s="579">
        <f>+I8*'Uprating pmts'!$D$17+I10*'Uprating pmts'!$D$19+I11*'Uprating pmts'!$D$20+I9*'Uprating pmts'!$D$18</f>
        <v>741.61842708898575</v>
      </c>
      <c r="J12" s="492">
        <f>+J8*'Uprating pmts'!$D$17+J10*'Uprating pmts'!$D$19+J11*'Uprating pmts'!$D$20+J9*'Uprating pmts'!$D$18</f>
        <v>914.7102853394066</v>
      </c>
      <c r="K12" s="518">
        <f>+K8*'Uprating pmts'!$D$17+K10*'Uprating pmts'!$D$19+K11*'Uprating pmts'!$D$20+K9*'Uprating pmts'!$D$18</f>
        <v>0.18983074699255686</v>
      </c>
      <c r="L12" s="579">
        <f t="shared" si="8"/>
        <v>741.61842708898575</v>
      </c>
      <c r="M12" s="492">
        <f>+M8*'Uprating pmts'!$D$17+M10*'Uprating pmts'!$D$19+M11*'Uprating pmts'!$D$20+M9*'Uprating pmts'!$D$18</f>
        <v>914.7102853394066</v>
      </c>
      <c r="N12" s="518">
        <f>+N8*'Uprating pmts'!$D$17+N10*'Uprating pmts'!$D$19+N11*'Uprating pmts'!$D$20+N9*'Uprating pmts'!$D$18</f>
        <v>0.18983074699255686</v>
      </c>
    </row>
    <row r="13" spans="2:14" ht="15" thickBot="1">
      <c r="B13" s="523" t="s">
        <v>572</v>
      </c>
      <c r="C13" s="580">
        <f>SUMPRODUCT(C6:C11,'Uprating pmts'!$C$15:$C$20)</f>
        <v>707.97043738324305</v>
      </c>
      <c r="D13" s="15">
        <f>SUMPRODUCT(D6:D11,'Uprating pmts'!$C$15:$C$20)</f>
        <v>930.63511760587903</v>
      </c>
      <c r="E13" s="384">
        <f>SUMPRODUCT(E6:E11,'Uprating pmts'!$C$15:$C$20)</f>
        <v>0.24261047771763</v>
      </c>
      <c r="F13" s="580">
        <f>SUMPRODUCT(F6:F11,'Uprating pmts'!$C$15:$C$20)</f>
        <v>803.25932625288556</v>
      </c>
      <c r="G13" s="15">
        <f>SUMPRODUCT(G6:G11,'Uprating pmts'!$C$15:$C$20)</f>
        <v>930.63511760587903</v>
      </c>
      <c r="H13" s="384">
        <f>SUMPRODUCT(H6:H11,'Uprating pmts'!$C$15:$C$20)</f>
        <v>0.1412439765790047</v>
      </c>
      <c r="I13" s="580">
        <f>SUMPRODUCT(I6:I11,'Uprating pmts'!$C$15:$C$20)</f>
        <v>803.25932625288556</v>
      </c>
      <c r="J13" s="15">
        <f>SUMPRODUCT(J6:J11,'Uprating pmts'!$C$15:$C$20)</f>
        <v>930.63511760587903</v>
      </c>
      <c r="K13" s="384">
        <f>SUMPRODUCT(K6:K11,'Uprating pmts'!$C$15:$C$20)</f>
        <v>0.1412439765790047</v>
      </c>
      <c r="L13" s="580">
        <f t="shared" si="8"/>
        <v>803.25932625288556</v>
      </c>
      <c r="M13" s="15">
        <f>SUMPRODUCT(M6:M11,'Uprating pmts'!$C$15:$C$20)</f>
        <v>930.63511760587903</v>
      </c>
      <c r="N13" s="384">
        <f>SUMPRODUCT(N6:N11,'Uprating pmts'!$C$15:$C$20)</f>
        <v>0.1412439765790047</v>
      </c>
    </row>
    <row r="14" spans="2:14" ht="15" thickTop="1">
      <c r="B14" s="4" t="s">
        <v>611</v>
      </c>
      <c r="C14" s="3"/>
      <c r="D14" s="3"/>
      <c r="E14" s="3"/>
      <c r="F14" s="4"/>
    </row>
    <row r="15" spans="2:14">
      <c r="B15" s="4"/>
      <c r="C15" s="3"/>
      <c r="D15" s="3"/>
      <c r="E15" s="3"/>
      <c r="F15" s="4"/>
      <c r="G15" s="214"/>
    </row>
    <row r="16" spans="2:14">
      <c r="G16" s="214"/>
    </row>
    <row r="17" spans="2:16" ht="23.4">
      <c r="B17" s="231" t="s">
        <v>612</v>
      </c>
      <c r="C17" s="230"/>
      <c r="D17" s="230"/>
      <c r="E17" s="230"/>
      <c r="F17" s="230"/>
      <c r="G17" s="234"/>
      <c r="H17" s="230"/>
      <c r="I17" s="230"/>
      <c r="J17" s="230"/>
      <c r="K17" s="230"/>
    </row>
    <row r="18" spans="2:16">
      <c r="C18" s="3"/>
      <c r="D18" s="3"/>
      <c r="G18" s="214"/>
    </row>
    <row r="19" spans="2:16" ht="15" thickBot="1">
      <c r="B19" s="5"/>
      <c r="C19" s="822" t="s">
        <v>14</v>
      </c>
      <c r="D19" s="822"/>
      <c r="E19" s="822" t="s">
        <v>423</v>
      </c>
      <c r="F19" s="822"/>
      <c r="G19" s="822" t="s">
        <v>437</v>
      </c>
      <c r="H19" s="822"/>
      <c r="I19" s="822" t="s">
        <v>447</v>
      </c>
      <c r="J19" s="822"/>
    </row>
    <row r="20" spans="2:16" ht="73.2" thickTop="1" thickBot="1">
      <c r="B20" s="215"/>
      <c r="C20" s="216" t="s">
        <v>16</v>
      </c>
      <c r="D20" s="216" t="s">
        <v>17</v>
      </c>
      <c r="E20" s="216" t="s">
        <v>16</v>
      </c>
      <c r="F20" s="216" t="s">
        <v>17</v>
      </c>
      <c r="G20" s="216" t="s">
        <v>16</v>
      </c>
      <c r="H20" s="216" t="s">
        <v>17</v>
      </c>
      <c r="I20" s="216" t="s">
        <v>16</v>
      </c>
      <c r="J20" s="216" t="s">
        <v>17</v>
      </c>
    </row>
    <row r="21" spans="2:16" ht="15" thickTop="1">
      <c r="B21" s="410" t="s">
        <v>18</v>
      </c>
      <c r="C21" s="410"/>
      <c r="D21" s="410"/>
      <c r="E21" s="410"/>
      <c r="F21" s="410"/>
      <c r="G21" s="410"/>
      <c r="H21" s="410"/>
      <c r="I21" s="410"/>
      <c r="J21" s="410"/>
    </row>
    <row r="22" spans="2:16">
      <c r="B22" s="193" t="s">
        <v>10</v>
      </c>
      <c r="C22" s="3"/>
      <c r="D22" s="3"/>
      <c r="E22" s="3"/>
      <c r="F22" s="3"/>
      <c r="G22" s="3"/>
      <c r="H22" s="3"/>
      <c r="I22" s="3"/>
      <c r="J22" s="3"/>
    </row>
    <row r="23" spans="2:16">
      <c r="B23" s="14" t="s">
        <v>19</v>
      </c>
      <c r="C23" s="217">
        <v>91.17</v>
      </c>
      <c r="D23" s="3">
        <v>300</v>
      </c>
      <c r="E23" s="488">
        <v>91.17</v>
      </c>
      <c r="F23" s="3">
        <v>300</v>
      </c>
      <c r="G23" s="489">
        <f>91.17+18.97</f>
        <v>110.14</v>
      </c>
      <c r="H23" s="3">
        <v>300</v>
      </c>
      <c r="I23" s="488">
        <v>91.17</v>
      </c>
      <c r="J23" s="3">
        <v>300</v>
      </c>
      <c r="L23" s="496"/>
      <c r="M23" s="355"/>
    </row>
    <row r="24" spans="2:16">
      <c r="B24" s="14" t="s">
        <v>21</v>
      </c>
      <c r="C24" s="224">
        <v>112.5</v>
      </c>
      <c r="D24" s="3">
        <v>500</v>
      </c>
      <c r="E24" s="489">
        <v>136.49</v>
      </c>
      <c r="F24" s="3">
        <v>500</v>
      </c>
      <c r="G24" s="489">
        <v>136.49</v>
      </c>
      <c r="H24" s="3">
        <v>500</v>
      </c>
      <c r="I24" s="489">
        <v>136.49</v>
      </c>
      <c r="J24" s="3">
        <v>500</v>
      </c>
      <c r="L24" s="496"/>
      <c r="M24" s="355"/>
      <c r="N24" s="235"/>
      <c r="O24" s="355"/>
    </row>
    <row r="25" spans="2:16">
      <c r="B25" s="218" t="s">
        <v>23</v>
      </c>
      <c r="C25" s="225">
        <v>112.5</v>
      </c>
      <c r="D25" s="219"/>
      <c r="E25" s="490">
        <v>149.06</v>
      </c>
      <c r="F25" s="219"/>
      <c r="G25" s="490">
        <v>149.06</v>
      </c>
      <c r="H25" s="219"/>
      <c r="I25" s="490">
        <v>149.06</v>
      </c>
      <c r="J25" s="219"/>
      <c r="L25" s="496"/>
      <c r="M25" s="355"/>
      <c r="N25" s="235"/>
    </row>
    <row r="26" spans="2:16">
      <c r="B26" s="193" t="s">
        <v>7</v>
      </c>
      <c r="C26" s="3"/>
      <c r="D26" s="3"/>
      <c r="E26" s="3"/>
      <c r="F26" s="3"/>
      <c r="G26" s="3"/>
      <c r="H26" s="3"/>
      <c r="I26" s="3"/>
      <c r="J26" s="3"/>
      <c r="L26" s="496"/>
      <c r="M26" s="355"/>
      <c r="N26" s="235"/>
    </row>
    <row r="27" spans="2:16">
      <c r="B27" s="14" t="s">
        <v>19</v>
      </c>
      <c r="C27" s="217">
        <v>91.17</v>
      </c>
      <c r="D27" s="3">
        <v>150</v>
      </c>
      <c r="E27" s="488">
        <v>91.17</v>
      </c>
      <c r="F27" s="3">
        <v>150</v>
      </c>
      <c r="G27" s="489">
        <f>91.17+18.97</f>
        <v>110.14</v>
      </c>
      <c r="H27" s="3">
        <v>150</v>
      </c>
      <c r="I27" s="488">
        <v>91.17</v>
      </c>
      <c r="J27" s="3">
        <v>150</v>
      </c>
      <c r="L27" s="496"/>
      <c r="M27" s="355"/>
      <c r="N27" s="235"/>
    </row>
    <row r="28" spans="2:16">
      <c r="B28" s="14" t="s">
        <v>21</v>
      </c>
      <c r="C28" s="224">
        <v>112.5</v>
      </c>
      <c r="D28" s="3">
        <v>250</v>
      </c>
      <c r="E28" s="489">
        <v>136.49</v>
      </c>
      <c r="F28" s="3">
        <v>250</v>
      </c>
      <c r="G28" s="489">
        <v>136.49</v>
      </c>
      <c r="H28" s="3">
        <v>250</v>
      </c>
      <c r="I28" s="489">
        <v>136.49</v>
      </c>
      <c r="J28" s="3">
        <v>250</v>
      </c>
      <c r="L28" s="496"/>
      <c r="M28" s="355"/>
      <c r="N28" s="235"/>
    </row>
    <row r="29" spans="2:16" ht="15" thickBot="1">
      <c r="B29" s="220" t="s">
        <v>23</v>
      </c>
      <c r="C29" s="226">
        <v>124.62</v>
      </c>
      <c r="D29" s="6"/>
      <c r="E29" s="490">
        <v>159.36000000000001</v>
      </c>
      <c r="F29" s="6"/>
      <c r="G29" s="490">
        <v>159.36000000000001</v>
      </c>
      <c r="H29" s="6"/>
      <c r="I29" s="490">
        <v>159.36000000000001</v>
      </c>
      <c r="J29" s="6"/>
      <c r="L29" s="496"/>
      <c r="M29" s="355"/>
    </row>
    <row r="30" spans="2:16" ht="15" thickTop="1">
      <c r="B30" s="410" t="s">
        <v>613</v>
      </c>
      <c r="C30" s="410"/>
      <c r="D30" s="410"/>
      <c r="E30" s="410"/>
      <c r="F30" s="410"/>
      <c r="G30" s="410"/>
      <c r="H30" s="410"/>
      <c r="I30" s="410"/>
      <c r="J30" s="410"/>
      <c r="L30" s="496"/>
      <c r="M30" s="355"/>
    </row>
    <row r="31" spans="2:16">
      <c r="B31" s="193" t="s">
        <v>27</v>
      </c>
      <c r="C31" s="3"/>
      <c r="D31" s="3"/>
      <c r="E31" s="3"/>
      <c r="F31" s="3"/>
      <c r="G31" s="3"/>
      <c r="H31" s="3"/>
      <c r="I31" s="3"/>
      <c r="J31" s="3"/>
      <c r="L31" s="496"/>
      <c r="M31" s="355"/>
      <c r="P31" s="355"/>
    </row>
    <row r="32" spans="2:16">
      <c r="B32" s="14" t="s">
        <v>19</v>
      </c>
      <c r="C32" s="221">
        <v>96.72</v>
      </c>
      <c r="D32" s="222">
        <v>100</v>
      </c>
      <c r="E32" s="489">
        <v>111.23</v>
      </c>
      <c r="F32" s="222">
        <v>100</v>
      </c>
      <c r="G32" s="489">
        <v>111.23</v>
      </c>
      <c r="H32" s="222">
        <v>100</v>
      </c>
      <c r="I32" s="489">
        <v>111.23</v>
      </c>
      <c r="J32" s="222">
        <v>100</v>
      </c>
      <c r="L32" s="496"/>
      <c r="M32" s="355"/>
    </row>
    <row r="33" spans="2:14">
      <c r="B33" s="14" t="s">
        <v>21</v>
      </c>
      <c r="C33" s="227">
        <v>113.38</v>
      </c>
      <c r="D33" s="222">
        <v>600</v>
      </c>
      <c r="E33" s="489">
        <v>143.54</v>
      </c>
      <c r="F33" s="222">
        <v>600</v>
      </c>
      <c r="G33" s="489">
        <v>143.54</v>
      </c>
      <c r="H33" s="222">
        <v>600</v>
      </c>
      <c r="I33" s="489">
        <v>143.54</v>
      </c>
      <c r="J33" s="222">
        <v>600</v>
      </c>
      <c r="L33" s="496"/>
      <c r="M33" s="355"/>
    </row>
    <row r="34" spans="2:14">
      <c r="B34" s="218" t="s">
        <v>23</v>
      </c>
      <c r="C34" s="228">
        <v>113.38</v>
      </c>
      <c r="D34" s="219"/>
      <c r="E34" s="490">
        <v>150.22999999999999</v>
      </c>
      <c r="F34" s="219"/>
      <c r="G34" s="490">
        <v>150.22999999999999</v>
      </c>
      <c r="H34" s="219"/>
      <c r="I34" s="490">
        <v>150.22999999999999</v>
      </c>
      <c r="J34" s="219"/>
      <c r="L34" s="496"/>
      <c r="M34" s="355"/>
    </row>
    <row r="35" spans="2:14">
      <c r="B35" s="193" t="s">
        <v>28</v>
      </c>
      <c r="C35" s="3"/>
      <c r="D35" s="3"/>
      <c r="E35" s="3"/>
      <c r="F35" s="3"/>
      <c r="G35" s="3"/>
      <c r="H35" s="3"/>
      <c r="I35" s="3"/>
      <c r="J35" s="3"/>
      <c r="L35" s="496"/>
      <c r="M35" s="355"/>
    </row>
    <row r="36" spans="2:14">
      <c r="B36" s="14" t="s">
        <v>19</v>
      </c>
      <c r="C36" s="221">
        <v>96.72</v>
      </c>
      <c r="D36" s="222">
        <v>50</v>
      </c>
      <c r="E36" s="489">
        <v>111.23</v>
      </c>
      <c r="F36" s="222">
        <v>50</v>
      </c>
      <c r="G36" s="489">
        <v>111.23</v>
      </c>
      <c r="H36" s="222">
        <v>50</v>
      </c>
      <c r="I36" s="489">
        <v>111.23</v>
      </c>
      <c r="J36" s="222">
        <v>50</v>
      </c>
      <c r="L36" s="496"/>
      <c r="M36" s="355"/>
    </row>
    <row r="37" spans="2:14">
      <c r="B37" s="14" t="s">
        <v>21</v>
      </c>
      <c r="C37" s="227">
        <v>113.38</v>
      </c>
      <c r="D37" s="222">
        <v>300</v>
      </c>
      <c r="E37" s="489">
        <v>143.54</v>
      </c>
      <c r="F37" s="222">
        <v>300</v>
      </c>
      <c r="G37" s="489">
        <v>143.54</v>
      </c>
      <c r="H37" s="222">
        <v>300</v>
      </c>
      <c r="I37" s="489">
        <v>143.54</v>
      </c>
      <c r="J37" s="222">
        <v>300</v>
      </c>
      <c r="L37" s="496"/>
      <c r="M37" s="355"/>
    </row>
    <row r="38" spans="2:14" ht="15" thickBot="1">
      <c r="B38" s="220" t="s">
        <v>23</v>
      </c>
      <c r="C38" s="748">
        <v>123.92</v>
      </c>
      <c r="D38" s="6"/>
      <c r="E38" s="490">
        <v>158.46</v>
      </c>
      <c r="F38" s="6"/>
      <c r="G38" s="490">
        <v>158.46</v>
      </c>
      <c r="H38" s="6"/>
      <c r="I38" s="490">
        <v>158.46</v>
      </c>
      <c r="J38" s="6"/>
      <c r="L38" s="496"/>
      <c r="M38" s="355"/>
    </row>
    <row r="39" spans="2:14" ht="15" customHeight="1" thickTop="1">
      <c r="B39" s="411" t="s">
        <v>614</v>
      </c>
      <c r="C39" s="411"/>
      <c r="D39" s="411"/>
      <c r="E39" s="411"/>
      <c r="F39" s="411"/>
      <c r="G39" s="411"/>
      <c r="H39" s="411"/>
      <c r="I39" s="411"/>
      <c r="J39" s="411"/>
      <c r="L39" s="235"/>
      <c r="M39" s="355"/>
    </row>
    <row r="40" spans="2:14" ht="15" thickBot="1">
      <c r="B40" s="104"/>
      <c r="C40" s="104">
        <v>114</v>
      </c>
      <c r="D40" s="6"/>
      <c r="E40" s="570">
        <f>0.5*118.37+0.5*170.53</f>
        <v>144.44999999999999</v>
      </c>
      <c r="F40" s="6"/>
      <c r="G40" s="703">
        <f>E40</f>
        <v>144.44999999999999</v>
      </c>
      <c r="H40" s="6"/>
      <c r="I40" s="703">
        <f>G40</f>
        <v>144.44999999999999</v>
      </c>
      <c r="J40" s="6"/>
      <c r="L40" s="235"/>
      <c r="M40" s="355"/>
      <c r="N40" s="409"/>
    </row>
    <row r="41" spans="2:14" ht="15" thickTop="1"/>
    <row r="42" spans="2:14">
      <c r="B42" s="194" t="s">
        <v>615</v>
      </c>
      <c r="C42" s="208" t="s">
        <v>14</v>
      </c>
      <c r="D42" s="209" t="s">
        <v>423</v>
      </c>
      <c r="E42" s="210" t="s">
        <v>437</v>
      </c>
      <c r="F42" s="210" t="s">
        <v>447</v>
      </c>
    </row>
    <row r="43" spans="2:14">
      <c r="B43" s="204" t="s">
        <v>616</v>
      </c>
      <c r="C43" s="205">
        <f>elec_pmts_info!T9</f>
        <v>142.39140180447515</v>
      </c>
      <c r="D43" s="205">
        <f>C43</f>
        <v>142.39140180447515</v>
      </c>
      <c r="E43" s="205">
        <f>D43</f>
        <v>142.39140180447515</v>
      </c>
      <c r="F43" s="205">
        <f>E43</f>
        <v>142.39140180447515</v>
      </c>
    </row>
    <row r="44" spans="2:14">
      <c r="B44" s="206" t="s">
        <v>617</v>
      </c>
      <c r="C44" s="211">
        <f>elec_pmts_info!Q9</f>
        <v>122.0362669208306</v>
      </c>
      <c r="D44" s="554">
        <f>elec_pmts_info!S9</f>
        <v>152.93268110082869</v>
      </c>
      <c r="E44" s="554">
        <f>D44</f>
        <v>152.93268110082869</v>
      </c>
      <c r="F44" s="554">
        <f>E44</f>
        <v>152.93268110082869</v>
      </c>
    </row>
    <row r="45" spans="2:14">
      <c r="B45" s="206" t="s">
        <v>618</v>
      </c>
      <c r="C45" s="10">
        <f>+(C43-C44)/C43</f>
        <v>0.14295199447221693</v>
      </c>
      <c r="D45" s="10">
        <f>+(D43-D44)/D43</f>
        <v>-7.4030307748696095E-2</v>
      </c>
      <c r="E45" s="10">
        <f>+(E43-E44)/E43</f>
        <v>-7.4030307748696095E-2</v>
      </c>
      <c r="F45" s="10">
        <f>+(F43-F44)/F43</f>
        <v>-7.4030307748696095E-2</v>
      </c>
      <c r="H45" s="390"/>
    </row>
    <row r="46" spans="2:14" ht="15" thickBot="1">
      <c r="B46" s="195" t="s">
        <v>619</v>
      </c>
      <c r="C46" s="6">
        <v>0.66400000000000003</v>
      </c>
      <c r="D46" s="6">
        <v>0.66400000000000003</v>
      </c>
      <c r="E46" s="6">
        <v>0.66400000000000003</v>
      </c>
      <c r="F46" s="6">
        <v>0.66400000000000003</v>
      </c>
    </row>
    <row r="47" spans="2:14" ht="15" customHeight="1" thickTop="1">
      <c r="B47" s="1" t="s">
        <v>620</v>
      </c>
      <c r="I47" s="291"/>
      <c r="J47" s="291"/>
      <c r="K47" s="507"/>
    </row>
    <row r="48" spans="2:14" ht="15" customHeight="1">
      <c r="I48" s="291"/>
      <c r="J48" s="291"/>
      <c r="K48" s="507"/>
    </row>
    <row r="49" spans="2:11">
      <c r="B49" s="192" t="s">
        <v>621</v>
      </c>
      <c r="C49" s="208" t="s">
        <v>14</v>
      </c>
      <c r="D49" s="209" t="s">
        <v>423</v>
      </c>
      <c r="E49" s="210" t="s">
        <v>437</v>
      </c>
      <c r="F49" s="210" t="s">
        <v>447</v>
      </c>
      <c r="I49" s="291"/>
      <c r="J49" s="291"/>
      <c r="K49" s="507"/>
    </row>
    <row r="50" spans="2:11">
      <c r="B50" s="201" t="s">
        <v>622</v>
      </c>
      <c r="C50" s="207" t="s">
        <v>1036</v>
      </c>
      <c r="D50" s="207" t="s">
        <v>1036</v>
      </c>
      <c r="E50" s="207" t="s">
        <v>1036</v>
      </c>
      <c r="F50" s="207" t="s">
        <v>1036</v>
      </c>
    </row>
    <row r="51" spans="2:11" ht="15" thickBot="1">
      <c r="B51" s="380" t="s">
        <v>623</v>
      </c>
      <c r="C51" s="104">
        <v>158.4</v>
      </c>
      <c r="D51" s="104">
        <v>158.4</v>
      </c>
      <c r="E51" s="104">
        <v>158.4</v>
      </c>
      <c r="F51" s="104">
        <v>158.4</v>
      </c>
    </row>
    <row r="52" spans="2:11" ht="15" hidden="1" thickBot="1">
      <c r="B52" s="203" t="s">
        <v>624</v>
      </c>
      <c r="C52" s="237">
        <v>14.5</v>
      </c>
      <c r="D52" s="237">
        <v>14.5</v>
      </c>
      <c r="E52" s="237">
        <v>14.5</v>
      </c>
      <c r="F52" s="237">
        <v>14.5</v>
      </c>
    </row>
    <row r="53" spans="2:11" ht="15" thickTop="1">
      <c r="B53" s="824" t="s">
        <v>625</v>
      </c>
      <c r="C53" s="824"/>
      <c r="D53" s="824"/>
      <c r="E53" s="824"/>
      <c r="F53" s="824"/>
      <c r="G53" s="824"/>
      <c r="H53" s="824"/>
    </row>
    <row r="54" spans="2:11">
      <c r="B54" s="824"/>
      <c r="C54" s="824"/>
      <c r="D54" s="824"/>
      <c r="E54" s="824"/>
      <c r="F54" s="824"/>
      <c r="G54" s="824"/>
      <c r="H54" s="824"/>
    </row>
    <row r="57" spans="2:11" ht="23.4">
      <c r="B57" s="231" t="s">
        <v>995</v>
      </c>
      <c r="C57" s="230"/>
      <c r="D57" s="230"/>
      <c r="E57" s="230"/>
      <c r="F57" s="230"/>
      <c r="G57" s="234"/>
      <c r="H57" s="230"/>
      <c r="I57" s="230"/>
      <c r="J57" s="230"/>
      <c r="K57" s="230"/>
    </row>
    <row r="59" spans="2:11">
      <c r="B59" s="194" t="s">
        <v>996</v>
      </c>
      <c r="C59" s="208" t="s">
        <v>14</v>
      </c>
      <c r="D59" s="209" t="s">
        <v>423</v>
      </c>
      <c r="E59" s="210" t="s">
        <v>437</v>
      </c>
      <c r="F59" s="210" t="s">
        <v>447</v>
      </c>
    </row>
    <row r="60" spans="2:11">
      <c r="B60" s="204" t="s">
        <v>997</v>
      </c>
      <c r="C60" s="734">
        <v>0</v>
      </c>
      <c r="D60" s="734">
        <v>0</v>
      </c>
      <c r="E60" s="734">
        <v>0</v>
      </c>
      <c r="F60" s="734">
        <v>40000</v>
      </c>
    </row>
    <row r="61" spans="2:11">
      <c r="B61" s="206" t="s">
        <v>1026</v>
      </c>
      <c r="C61" s="12">
        <v>1</v>
      </c>
      <c r="D61" s="12">
        <v>1</v>
      </c>
      <c r="E61" s="12">
        <v>1</v>
      </c>
      <c r="F61" s="711">
        <f>100000/300551+1</f>
        <v>1.3327222334978091</v>
      </c>
    </row>
    <row r="62" spans="2:11">
      <c r="B62" s="206" t="s">
        <v>1025</v>
      </c>
      <c r="C62" s="102" t="s">
        <v>1024</v>
      </c>
      <c r="D62" s="102" t="s">
        <v>1024</v>
      </c>
      <c r="E62" s="102" t="s">
        <v>1024</v>
      </c>
      <c r="F62" s="710" t="s">
        <v>1024</v>
      </c>
    </row>
    <row r="63" spans="2:11">
      <c r="B63" s="206" t="s">
        <v>1000</v>
      </c>
      <c r="C63" s="102" t="s">
        <v>1002</v>
      </c>
      <c r="D63" s="102" t="s">
        <v>1002</v>
      </c>
      <c r="E63" s="102" t="s">
        <v>1002</v>
      </c>
      <c r="F63" s="710" t="s">
        <v>1001</v>
      </c>
    </row>
    <row r="64" spans="2:11">
      <c r="B64" s="206" t="s">
        <v>1045</v>
      </c>
      <c r="C64" s="102" t="s">
        <v>1002</v>
      </c>
      <c r="D64" s="102" t="s">
        <v>1002</v>
      </c>
      <c r="E64" s="102" t="s">
        <v>1002</v>
      </c>
      <c r="F64" s="710" t="s">
        <v>1002</v>
      </c>
    </row>
    <row r="65" spans="2:7" ht="15" thickBot="1">
      <c r="B65" s="195" t="s">
        <v>1046</v>
      </c>
      <c r="C65" s="491">
        <f>C23</f>
        <v>91.17</v>
      </c>
      <c r="D65" s="491">
        <f>G23</f>
        <v>110.14</v>
      </c>
      <c r="E65" s="491">
        <f>D65</f>
        <v>110.14</v>
      </c>
      <c r="F65" s="749">
        <f>E65</f>
        <v>110.14</v>
      </c>
    </row>
    <row r="66" spans="2:7" ht="15" thickTop="1"/>
    <row r="68" spans="2:7">
      <c r="G68" s="713"/>
    </row>
    <row r="69" spans="2:7">
      <c r="G69" s="713"/>
    </row>
    <row r="70" spans="2:7">
      <c r="F70" s="713"/>
      <c r="G70" s="713"/>
    </row>
    <row r="71" spans="2:7">
      <c r="G71" s="712"/>
    </row>
    <row r="74" spans="2:7">
      <c r="F74" s="713"/>
    </row>
    <row r="75" spans="2:7">
      <c r="G75" s="712"/>
    </row>
    <row r="76" spans="2:7">
      <c r="F76" s="713"/>
    </row>
    <row r="77" spans="2:7">
      <c r="F77" s="713"/>
    </row>
  </sheetData>
  <protectedRanges>
    <protectedRange sqref="C36 C23:D25 C27 C32" name="Range1"/>
    <protectedRange sqref="D27 C28:D29" name="Range2"/>
    <protectedRange sqref="E32 E36 G32 G36 I32 I36" name="Range1_1"/>
    <protectedRange sqref="E33:E34 E37:E38 G40 G33:G34 G37:G38 I27:I29 I33:I34 I37:I38 I40 E27:E29 E23:J25 G27:G29" name="Range1_2"/>
    <protectedRange sqref="F27:F29 H27:H29 J27:J29" name="Range2_1"/>
  </protectedRanges>
  <mergeCells count="9">
    <mergeCell ref="I4:K4"/>
    <mergeCell ref="C19:D19"/>
    <mergeCell ref="I19:J19"/>
    <mergeCell ref="L4:N4"/>
    <mergeCell ref="B53:H54"/>
    <mergeCell ref="E19:F19"/>
    <mergeCell ref="G19:H19"/>
    <mergeCell ref="C4:E4"/>
    <mergeCell ref="F4:H4"/>
  </mergeCells>
  <phoneticPr fontId="50" type="noConversion"/>
  <dataValidations count="4">
    <dataValidation type="list" allowBlank="1" showInputMessage="1" showErrorMessage="1" sqref="C50:F50" xr:uid="{00000000-0002-0000-0D00-000000000000}">
      <formula1>"00,01,12"</formula1>
    </dataValidation>
    <dataValidation type="list" allowBlank="1" showInputMessage="1" showErrorMessage="1" sqref="C63:F64" xr:uid="{00000000-0002-0000-0D00-000001000000}">
      <formula1>Y_N</formula1>
    </dataValidation>
    <dataValidation type="list" allowBlank="1" showInputMessage="1" showErrorMessage="1" sqref="C62:F62" xr:uid="{00000000-0002-0000-0D00-000002000000}">
      <formula1>PNBSF_assign</formula1>
    </dataValidation>
    <dataValidation type="custom" allowBlank="1" showInputMessage="1" showErrorMessage="1" sqref="C61:F61" xr:uid="{00000000-0002-0000-0D00-000003000000}">
      <formula1>C61&gt;=1</formula1>
    </dataValidation>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D88E6-5FCD-4014-A70F-08B5A416B410}">
  <sheetPr codeName="Hoja16"/>
  <dimension ref="B2:E64"/>
  <sheetViews>
    <sheetView workbookViewId="0">
      <selection activeCell="F31" sqref="F31"/>
    </sheetView>
  </sheetViews>
  <sheetFormatPr baseColWidth="10" defaultColWidth="19.44140625" defaultRowHeight="14.4"/>
  <cols>
    <col min="2" max="2" width="29.44140625" bestFit="1" customWidth="1"/>
    <col min="4" max="4" width="15" customWidth="1"/>
    <col min="5" max="5" width="14.33203125" bestFit="1" customWidth="1"/>
  </cols>
  <sheetData>
    <row r="2" spans="2:5" ht="20.399999999999999">
      <c r="B2" s="826" t="s">
        <v>994</v>
      </c>
      <c r="C2" s="826"/>
      <c r="D2" s="826"/>
      <c r="E2" s="826"/>
    </row>
    <row r="3" spans="2:5" ht="15" thickBot="1">
      <c r="B3" s="687"/>
      <c r="C3" s="688"/>
      <c r="D3" s="687"/>
      <c r="E3" s="689"/>
    </row>
    <row r="4" spans="2:5" ht="28.2" thickTop="1">
      <c r="B4" s="701" t="s">
        <v>930</v>
      </c>
      <c r="C4" s="702" t="s">
        <v>931</v>
      </c>
      <c r="D4" s="700" t="s">
        <v>932</v>
      </c>
      <c r="E4" s="700" t="s">
        <v>933</v>
      </c>
    </row>
    <row r="5" spans="2:5" ht="15.6">
      <c r="B5" s="689" t="s">
        <v>934</v>
      </c>
      <c r="C5" s="690">
        <v>24903.490148093035</v>
      </c>
      <c r="D5" s="691">
        <v>100000</v>
      </c>
      <c r="E5" s="692">
        <v>11</v>
      </c>
    </row>
    <row r="6" spans="2:5" ht="15.6">
      <c r="B6" s="689" t="s">
        <v>935</v>
      </c>
      <c r="C6" s="690">
        <v>9022.6982013731194</v>
      </c>
      <c r="D6" s="691">
        <v>100000</v>
      </c>
      <c r="E6" s="692">
        <v>12</v>
      </c>
    </row>
    <row r="7" spans="2:5" ht="15.6">
      <c r="B7" s="689" t="s">
        <v>936</v>
      </c>
      <c r="C7" s="690">
        <v>4853.9501048546399</v>
      </c>
      <c r="D7" s="691">
        <v>100000</v>
      </c>
      <c r="E7" s="692">
        <v>13</v>
      </c>
    </row>
    <row r="8" spans="2:5" ht="15.6">
      <c r="B8" s="689" t="s">
        <v>937</v>
      </c>
      <c r="C8" s="690">
        <v>6122.3584027288307</v>
      </c>
      <c r="D8" s="691">
        <v>100000</v>
      </c>
      <c r="E8" s="692">
        <v>14</v>
      </c>
    </row>
    <row r="9" spans="2:5" ht="15.6">
      <c r="B9" s="693" t="s">
        <v>938</v>
      </c>
      <c r="C9" s="690">
        <v>44902.496857049628</v>
      </c>
      <c r="D9" s="691">
        <v>100000</v>
      </c>
      <c r="E9" s="692"/>
    </row>
    <row r="10" spans="2:5" ht="15.6">
      <c r="B10" s="689" t="s">
        <v>939</v>
      </c>
      <c r="C10" s="690">
        <v>9990.4585310517668</v>
      </c>
      <c r="D10" s="691">
        <v>100000</v>
      </c>
      <c r="E10" s="692">
        <v>21</v>
      </c>
    </row>
    <row r="11" spans="2:5" ht="15.6">
      <c r="B11" s="689" t="s">
        <v>940</v>
      </c>
      <c r="C11" s="690">
        <v>2016.3769023938185</v>
      </c>
      <c r="D11" s="691">
        <v>100000</v>
      </c>
      <c r="E11" s="692">
        <v>22</v>
      </c>
    </row>
    <row r="12" spans="2:5" ht="15.6">
      <c r="B12" s="689" t="s">
        <v>941</v>
      </c>
      <c r="C12" s="690">
        <v>4686.572515032065</v>
      </c>
      <c r="D12" s="691">
        <v>100000</v>
      </c>
      <c r="E12" s="692">
        <v>23</v>
      </c>
    </row>
    <row r="13" spans="2:5" ht="15.6">
      <c r="B13" s="693" t="s">
        <v>942</v>
      </c>
      <c r="C13" s="690">
        <v>16693.407948477648</v>
      </c>
      <c r="D13" s="691">
        <v>100000</v>
      </c>
      <c r="E13" s="692"/>
    </row>
    <row r="14" spans="2:5" ht="15.6">
      <c r="B14" s="689" t="s">
        <v>943</v>
      </c>
      <c r="C14" s="690">
        <v>1937.2545081186204</v>
      </c>
      <c r="D14" s="691">
        <v>100000</v>
      </c>
      <c r="E14" s="692">
        <v>31</v>
      </c>
    </row>
    <row r="15" spans="2:5" ht="15.6">
      <c r="B15" s="689" t="s">
        <v>944</v>
      </c>
      <c r="C15" s="690">
        <v>3331.9764486777872</v>
      </c>
      <c r="D15" s="691">
        <v>100000</v>
      </c>
      <c r="E15" s="692">
        <v>32</v>
      </c>
    </row>
    <row r="16" spans="2:5" ht="15.6">
      <c r="B16" s="689" t="s">
        <v>945</v>
      </c>
      <c r="C16" s="690">
        <v>7526.8772936060423</v>
      </c>
      <c r="D16" s="691">
        <v>100000</v>
      </c>
      <c r="E16" s="692">
        <v>33</v>
      </c>
    </row>
    <row r="17" spans="2:5" ht="15.6">
      <c r="B17" s="693" t="s">
        <v>946</v>
      </c>
      <c r="C17" s="690">
        <v>12796.108250402449</v>
      </c>
      <c r="D17" s="691">
        <v>100000</v>
      </c>
      <c r="E17" s="692"/>
    </row>
    <row r="18" spans="2:5" ht="15.6">
      <c r="B18" s="689" t="s">
        <v>947</v>
      </c>
      <c r="C18" s="690">
        <v>6059.591806545367</v>
      </c>
      <c r="D18" s="691">
        <v>100000</v>
      </c>
      <c r="E18" s="692">
        <v>41</v>
      </c>
    </row>
    <row r="19" spans="2:5" ht="15.6">
      <c r="B19" s="689" t="s">
        <v>948</v>
      </c>
      <c r="C19" s="690">
        <v>7273.0793327590263</v>
      </c>
      <c r="D19" s="691">
        <v>100000</v>
      </c>
      <c r="E19" s="692">
        <v>42</v>
      </c>
    </row>
    <row r="20" spans="2:5" ht="15.6">
      <c r="B20" s="689" t="s">
        <v>949</v>
      </c>
      <c r="C20" s="690">
        <v>2056.7767004855509</v>
      </c>
      <c r="D20" s="691">
        <v>100000</v>
      </c>
      <c r="E20" s="692">
        <v>43</v>
      </c>
    </row>
    <row r="21" spans="2:5" ht="15.6">
      <c r="B21" s="693" t="s">
        <v>950</v>
      </c>
      <c r="C21" s="690">
        <v>15389.447839789946</v>
      </c>
      <c r="D21" s="691">
        <v>100000</v>
      </c>
      <c r="E21" s="692"/>
    </row>
    <row r="22" spans="2:5" ht="15.6">
      <c r="B22" s="689" t="s">
        <v>951</v>
      </c>
      <c r="C22" s="690">
        <v>1169.0278539170388</v>
      </c>
      <c r="D22" s="691">
        <v>100000</v>
      </c>
      <c r="E22" s="692">
        <v>51</v>
      </c>
    </row>
    <row r="23" spans="2:5" ht="15.6">
      <c r="B23" s="689" t="s">
        <v>952</v>
      </c>
      <c r="C23" s="690">
        <v>23456.400048729131</v>
      </c>
      <c r="D23" s="691">
        <v>100000</v>
      </c>
      <c r="E23" s="692">
        <v>52</v>
      </c>
    </row>
    <row r="24" spans="2:5" ht="15.6">
      <c r="B24" s="689" t="s">
        <v>953</v>
      </c>
      <c r="C24" s="690">
        <v>1299.7915959659247</v>
      </c>
      <c r="D24" s="691">
        <v>100000</v>
      </c>
      <c r="E24" s="692">
        <v>53</v>
      </c>
    </row>
    <row r="25" spans="2:5" ht="15.6">
      <c r="B25" s="689" t="s">
        <v>954</v>
      </c>
      <c r="C25" s="690">
        <v>6446.3785591232236</v>
      </c>
      <c r="D25" s="691">
        <v>100000</v>
      </c>
      <c r="E25" s="692">
        <v>54</v>
      </c>
    </row>
    <row r="26" spans="2:5" ht="15.6">
      <c r="B26" s="693" t="s">
        <v>955</v>
      </c>
      <c r="C26" s="690">
        <v>32371.598057735322</v>
      </c>
      <c r="D26" s="691">
        <v>100000</v>
      </c>
      <c r="E26" s="692"/>
    </row>
    <row r="27" spans="2:5" ht="15.6">
      <c r="B27" s="689" t="s">
        <v>956</v>
      </c>
      <c r="C27" s="690">
        <v>14705.690430817691</v>
      </c>
      <c r="D27" s="691">
        <v>100000</v>
      </c>
      <c r="E27" s="692">
        <v>61</v>
      </c>
    </row>
    <row r="28" spans="2:5" ht="15.6">
      <c r="B28" s="689" t="s">
        <v>957</v>
      </c>
      <c r="C28" s="690">
        <v>12409.479120439259</v>
      </c>
      <c r="D28" s="691">
        <v>100000</v>
      </c>
      <c r="E28" s="692">
        <v>62</v>
      </c>
    </row>
    <row r="29" spans="2:5" ht="15.6">
      <c r="B29" s="689" t="s">
        <v>958</v>
      </c>
      <c r="C29" s="690">
        <v>1302.5231720790805</v>
      </c>
      <c r="D29" s="691">
        <v>100000</v>
      </c>
      <c r="E29" s="692">
        <v>63</v>
      </c>
    </row>
    <row r="30" spans="2:5" ht="15.6">
      <c r="B30" s="693" t="s">
        <v>959</v>
      </c>
      <c r="C30" s="690">
        <v>28417.692723336029</v>
      </c>
      <c r="D30" s="691">
        <v>100000</v>
      </c>
      <c r="E30" s="692"/>
    </row>
    <row r="31" spans="2:5" ht="15.6">
      <c r="B31" s="689" t="s">
        <v>960</v>
      </c>
      <c r="C31" s="690">
        <v>15743.954542685848</v>
      </c>
      <c r="D31" s="691">
        <v>100000</v>
      </c>
      <c r="E31" s="692">
        <v>71</v>
      </c>
    </row>
    <row r="32" spans="2:5" ht="15.6">
      <c r="B32" s="689" t="s">
        <v>961</v>
      </c>
      <c r="C32" s="690">
        <v>9137.770294376136</v>
      </c>
      <c r="D32" s="691">
        <v>100000</v>
      </c>
      <c r="E32" s="692">
        <v>72</v>
      </c>
    </row>
    <row r="33" spans="2:5" ht="15.6">
      <c r="B33" s="689" t="s">
        <v>962</v>
      </c>
      <c r="C33" s="690">
        <v>14760.611202478223</v>
      </c>
      <c r="D33" s="691">
        <v>100000</v>
      </c>
      <c r="E33" s="692">
        <v>73</v>
      </c>
    </row>
    <row r="34" spans="2:5" ht="15.6">
      <c r="B34" s="693" t="s">
        <v>963</v>
      </c>
      <c r="C34" s="690">
        <v>39642.336039540205</v>
      </c>
      <c r="D34" s="691">
        <v>100000</v>
      </c>
      <c r="E34" s="692"/>
    </row>
    <row r="35" spans="2:5" ht="15.6">
      <c r="B35" s="689" t="s">
        <v>964</v>
      </c>
      <c r="C35" s="690">
        <v>1914.2235609810218</v>
      </c>
      <c r="D35" s="691">
        <v>100000</v>
      </c>
      <c r="E35" s="692">
        <v>81</v>
      </c>
    </row>
    <row r="36" spans="2:5" ht="15.6">
      <c r="B36" s="689" t="s">
        <v>965</v>
      </c>
      <c r="C36" s="690">
        <v>3815.6859929864854</v>
      </c>
      <c r="D36" s="691">
        <v>100000</v>
      </c>
      <c r="E36" s="692">
        <v>82</v>
      </c>
    </row>
    <row r="37" spans="2:5" ht="15.6">
      <c r="B37" s="689" t="s">
        <v>966</v>
      </c>
      <c r="C37" s="690">
        <v>3682.0330522097797</v>
      </c>
      <c r="D37" s="691">
        <v>100000</v>
      </c>
      <c r="E37" s="692">
        <v>83</v>
      </c>
    </row>
    <row r="38" spans="2:5" ht="15.6">
      <c r="B38" s="693" t="s">
        <v>967</v>
      </c>
      <c r="C38" s="690">
        <v>9411.9426061772865</v>
      </c>
      <c r="D38" s="691">
        <v>100000</v>
      </c>
      <c r="E38" s="692"/>
    </row>
    <row r="39" spans="2:5" ht="15.6">
      <c r="B39" s="689" t="s">
        <v>968</v>
      </c>
      <c r="C39" s="690">
        <v>9166.5383176268915</v>
      </c>
      <c r="D39" s="691">
        <v>100000</v>
      </c>
      <c r="E39" s="692">
        <v>91</v>
      </c>
    </row>
    <row r="40" spans="2:5" ht="15.6">
      <c r="B40" s="689" t="s">
        <v>969</v>
      </c>
      <c r="C40" s="690">
        <v>11494.132926097058</v>
      </c>
      <c r="D40" s="691">
        <v>100000</v>
      </c>
      <c r="E40" s="692">
        <v>92</v>
      </c>
    </row>
    <row r="41" spans="2:5" ht="15.6">
      <c r="B41" s="689" t="s">
        <v>970</v>
      </c>
      <c r="C41" s="690">
        <v>1430.5553380148103</v>
      </c>
      <c r="D41" s="691">
        <v>100000</v>
      </c>
      <c r="E41" s="692">
        <v>93</v>
      </c>
    </row>
    <row r="42" spans="2:5" ht="15.6">
      <c r="B42" s="693" t="s">
        <v>971</v>
      </c>
      <c r="C42" s="690">
        <v>22091.226581738763</v>
      </c>
      <c r="D42" s="691">
        <v>100000</v>
      </c>
      <c r="E42" s="692"/>
    </row>
    <row r="43" spans="2:5" ht="15.6">
      <c r="B43" s="689" t="s">
        <v>972</v>
      </c>
      <c r="C43" s="690">
        <v>9773.2820807337212</v>
      </c>
      <c r="D43" s="691">
        <v>100000</v>
      </c>
      <c r="E43" s="692">
        <v>101</v>
      </c>
    </row>
    <row r="44" spans="2:5" ht="15.6">
      <c r="B44" s="689" t="s">
        <v>973</v>
      </c>
      <c r="C44" s="690">
        <v>16910.367121761905</v>
      </c>
      <c r="D44" s="691">
        <v>100000</v>
      </c>
      <c r="E44" s="692">
        <v>102</v>
      </c>
    </row>
    <row r="45" spans="2:5" ht="15.6">
      <c r="B45" s="689" t="s">
        <v>974</v>
      </c>
      <c r="C45" s="690">
        <v>7061.2420706398307</v>
      </c>
      <c r="D45" s="691">
        <v>100000</v>
      </c>
      <c r="E45" s="692">
        <v>103</v>
      </c>
    </row>
    <row r="46" spans="2:5" ht="15.6">
      <c r="B46" s="693" t="s">
        <v>975</v>
      </c>
      <c r="C46" s="690">
        <v>33744.891273135458</v>
      </c>
      <c r="D46" s="691">
        <v>100000</v>
      </c>
      <c r="E46" s="692"/>
    </row>
    <row r="47" spans="2:5" ht="15.6">
      <c r="B47" s="689" t="s">
        <v>976</v>
      </c>
      <c r="C47" s="690">
        <v>3854.9151156011526</v>
      </c>
      <c r="D47" s="691">
        <v>100000</v>
      </c>
      <c r="E47" s="692">
        <v>111</v>
      </c>
    </row>
    <row r="48" spans="2:5" ht="15.6">
      <c r="B48" s="689" t="s">
        <v>977</v>
      </c>
      <c r="C48" s="690">
        <v>2333.7219097423454</v>
      </c>
      <c r="D48" s="691">
        <v>100000</v>
      </c>
      <c r="E48" s="692">
        <v>112</v>
      </c>
    </row>
    <row r="49" spans="2:5" ht="15.6">
      <c r="B49" s="689" t="s">
        <v>978</v>
      </c>
      <c r="C49" s="690">
        <v>196.14561307332863</v>
      </c>
      <c r="D49" s="691">
        <v>100000</v>
      </c>
      <c r="E49" s="692">
        <v>113</v>
      </c>
    </row>
    <row r="50" spans="2:5" ht="15.6">
      <c r="B50" s="693" t="s">
        <v>979</v>
      </c>
      <c r="C50" s="690">
        <v>6384.7826384168266</v>
      </c>
      <c r="D50" s="691">
        <v>100000</v>
      </c>
      <c r="E50" s="692"/>
    </row>
    <row r="51" spans="2:5" ht="15.6">
      <c r="B51" s="689" t="s">
        <v>980</v>
      </c>
      <c r="C51" s="690">
        <v>4372.7395341147394</v>
      </c>
      <c r="D51" s="691">
        <v>100000</v>
      </c>
      <c r="E51" s="692">
        <v>121</v>
      </c>
    </row>
    <row r="52" spans="2:5" ht="15.6">
      <c r="B52" s="689" t="s">
        <v>981</v>
      </c>
      <c r="C52" s="690">
        <v>1145.6066816204175</v>
      </c>
      <c r="D52" s="691">
        <v>100000</v>
      </c>
      <c r="E52" s="692">
        <v>122</v>
      </c>
    </row>
    <row r="53" spans="2:5" ht="15.6">
      <c r="B53" s="689" t="s">
        <v>982</v>
      </c>
      <c r="C53" s="690">
        <v>5941.9044387013682</v>
      </c>
      <c r="D53" s="691">
        <v>100000</v>
      </c>
      <c r="E53" s="692">
        <v>123</v>
      </c>
    </row>
    <row r="54" spans="2:5" ht="15.6">
      <c r="B54" s="689" t="s">
        <v>983</v>
      </c>
      <c r="C54" s="690">
        <v>3483.5460881823165</v>
      </c>
      <c r="D54" s="691">
        <v>100000</v>
      </c>
      <c r="E54" s="692">
        <v>124</v>
      </c>
    </row>
    <row r="55" spans="2:5" ht="15.6">
      <c r="B55" s="693" t="s">
        <v>984</v>
      </c>
      <c r="C55" s="690">
        <v>14943.796742618842</v>
      </c>
      <c r="D55" s="691">
        <v>100000</v>
      </c>
      <c r="E55" s="692"/>
    </row>
    <row r="56" spans="2:5" ht="15.6">
      <c r="B56" s="689" t="s">
        <v>985</v>
      </c>
      <c r="C56" s="690">
        <v>2785.2677056412663</v>
      </c>
      <c r="D56" s="691">
        <v>100000</v>
      </c>
      <c r="E56" s="692">
        <v>131</v>
      </c>
    </row>
    <row r="57" spans="2:5" ht="15.6">
      <c r="B57" s="689" t="s">
        <v>986</v>
      </c>
      <c r="C57" s="690">
        <v>3972.6024834451491</v>
      </c>
      <c r="D57" s="691">
        <v>100000</v>
      </c>
      <c r="E57" s="692">
        <v>132</v>
      </c>
    </row>
    <row r="58" spans="2:5" ht="15.6">
      <c r="B58" s="689" t="s">
        <v>987</v>
      </c>
      <c r="C58" s="690">
        <v>2889.8373779378876</v>
      </c>
      <c r="D58" s="691">
        <v>100000</v>
      </c>
      <c r="E58" s="692">
        <v>133</v>
      </c>
    </row>
    <row r="59" spans="2:5" ht="15.6">
      <c r="B59" s="693" t="s">
        <v>988</v>
      </c>
      <c r="C59" s="690">
        <v>9647.707567024303</v>
      </c>
      <c r="D59" s="691">
        <v>100000</v>
      </c>
      <c r="E59" s="692"/>
    </row>
    <row r="60" spans="2:5" ht="15.6">
      <c r="B60" s="689" t="s">
        <v>989</v>
      </c>
      <c r="C60" s="690">
        <v>11389.52193245795</v>
      </c>
      <c r="D60" s="691">
        <v>100000</v>
      </c>
      <c r="E60" s="692">
        <v>141</v>
      </c>
    </row>
    <row r="61" spans="2:5" ht="15.6">
      <c r="B61" s="689" t="s">
        <v>990</v>
      </c>
      <c r="C61" s="690">
        <v>1001.6502640944649</v>
      </c>
      <c r="D61" s="691">
        <v>100000</v>
      </c>
      <c r="E61" s="692">
        <v>142</v>
      </c>
    </row>
    <row r="62" spans="2:5" ht="15.6">
      <c r="B62" s="689" t="s">
        <v>991</v>
      </c>
      <c r="C62" s="690">
        <v>1722.8019711584482</v>
      </c>
      <c r="D62" s="691">
        <v>100000</v>
      </c>
      <c r="E62" s="692">
        <v>143</v>
      </c>
    </row>
    <row r="63" spans="2:5" ht="15.6">
      <c r="B63" s="694" t="s">
        <v>992</v>
      </c>
      <c r="C63" s="690">
        <v>14113.974167710861</v>
      </c>
      <c r="D63" s="691">
        <v>100000</v>
      </c>
      <c r="E63" s="695"/>
    </row>
    <row r="64" spans="2:5" ht="15.6">
      <c r="B64" s="696" t="s">
        <v>993</v>
      </c>
      <c r="C64" s="697">
        <f>SUM(C9,C13,C17,C21,C26,C30,C34,C38,C42,C46,C50,C55,C59,C63)</f>
        <v>300551.40929315361</v>
      </c>
      <c r="D64" s="698">
        <v>100000</v>
      </c>
      <c r="E64" s="699">
        <f>+D64*C64</f>
        <v>30055140929.315361</v>
      </c>
    </row>
  </sheetData>
  <mergeCells count="1">
    <mergeCell ref="B2:E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DEDFB-7BEB-4F48-8ACA-702513FE0BDE}">
  <sheetPr codeName="Hoja15">
    <tabColor rgb="FFA0CAF4"/>
  </sheetPr>
  <dimension ref="B2:M49"/>
  <sheetViews>
    <sheetView topLeftCell="A11" zoomScaleNormal="100" workbookViewId="0">
      <selection activeCell="F44" sqref="F44"/>
    </sheetView>
  </sheetViews>
  <sheetFormatPr baseColWidth="10" defaultColWidth="11.5546875" defaultRowHeight="14.4"/>
  <cols>
    <col min="1" max="1" width="3.6640625" style="1" customWidth="1"/>
    <col min="2" max="2" width="38.6640625" style="1" customWidth="1"/>
    <col min="3" max="4" width="11.5546875" style="1"/>
    <col min="5" max="5" width="13.109375" style="1" customWidth="1"/>
    <col min="6" max="6" width="19.33203125" style="1" customWidth="1"/>
    <col min="7" max="8" width="13.109375" style="1" customWidth="1"/>
    <col min="9" max="9" width="11.5546875" style="1"/>
    <col min="10" max="10" width="13.88671875" style="1" customWidth="1"/>
    <col min="11" max="11" width="11.5546875" style="1"/>
    <col min="12" max="12" width="13" style="1" customWidth="1"/>
    <col min="13" max="16384" width="11.5546875" style="1"/>
  </cols>
  <sheetData>
    <row r="2" spans="2:11" ht="23.4">
      <c r="B2" s="229" t="s">
        <v>626</v>
      </c>
      <c r="C2" s="230"/>
      <c r="D2" s="230"/>
      <c r="E2" s="230"/>
      <c r="F2" s="230"/>
      <c r="G2" s="230"/>
      <c r="H2" s="230"/>
      <c r="I2" s="230"/>
      <c r="J2" s="230"/>
      <c r="K2" s="230"/>
    </row>
    <row r="4" spans="2:11">
      <c r="B4" s="196" t="s">
        <v>260</v>
      </c>
      <c r="C4" s="210">
        <v>2020</v>
      </c>
      <c r="D4" s="210">
        <v>2021</v>
      </c>
      <c r="E4" s="210">
        <v>2022</v>
      </c>
    </row>
    <row r="5" spans="2:11">
      <c r="B5" s="199" t="s">
        <v>627</v>
      </c>
      <c r="C5" s="200">
        <v>1.0269999999999999</v>
      </c>
      <c r="D5" s="200">
        <v>1.026</v>
      </c>
      <c r="E5" s="200">
        <v>1.026</v>
      </c>
    </row>
    <row r="6" spans="2:11" ht="15" thickBot="1">
      <c r="B6" s="197" t="s">
        <v>628</v>
      </c>
      <c r="C6" s="198">
        <v>1.0249999999999999</v>
      </c>
      <c r="D6" s="198">
        <v>1.022</v>
      </c>
      <c r="E6" s="198">
        <v>1.087</v>
      </c>
    </row>
    <row r="7" spans="2:11" ht="15" thickTop="1"/>
    <row r="8" spans="2:11">
      <c r="B8" s="201" t="s">
        <v>629</v>
      </c>
      <c r="C8" s="205">
        <v>1</v>
      </c>
      <c r="D8" s="3"/>
    </row>
    <row r="9" spans="2:11">
      <c r="B9" s="202" t="s">
        <v>630</v>
      </c>
      <c r="C9" s="102">
        <f>4662/3668</f>
        <v>1.2709923664122138</v>
      </c>
      <c r="D9" s="3"/>
    </row>
    <row r="10" spans="2:11" ht="15" thickBot="1">
      <c r="B10" s="380" t="s">
        <v>631</v>
      </c>
      <c r="C10" s="104">
        <v>16485</v>
      </c>
      <c r="D10" s="3"/>
    </row>
    <row r="11" spans="2:11" ht="15" thickTop="1"/>
    <row r="12" spans="2:11" ht="23.4">
      <c r="B12" s="2" t="s">
        <v>632</v>
      </c>
      <c r="C12" s="3"/>
      <c r="D12" s="3"/>
      <c r="E12" s="3"/>
      <c r="F12" s="4"/>
      <c r="J12" s="714"/>
      <c r="K12" s="714"/>
    </row>
    <row r="13" spans="2:11" ht="14.4" customHeight="1">
      <c r="B13" s="2"/>
      <c r="C13" s="3"/>
      <c r="D13" s="3"/>
      <c r="E13" s="3"/>
      <c r="F13" s="4"/>
      <c r="J13" s="715" t="s">
        <v>633</v>
      </c>
      <c r="K13" s="715"/>
    </row>
    <row r="14" spans="2:11" ht="14.4" customHeight="1">
      <c r="B14" s="464" t="s">
        <v>634</v>
      </c>
      <c r="C14" s="471" t="s">
        <v>261</v>
      </c>
      <c r="D14" s="472" t="s">
        <v>262</v>
      </c>
      <c r="F14" s="296"/>
      <c r="I14" s="296"/>
      <c r="J14" s="716" t="s">
        <v>261</v>
      </c>
      <c r="K14" s="717" t="s">
        <v>262</v>
      </c>
    </row>
    <row r="15" spans="2:11" ht="14.4" customHeight="1">
      <c r="B15" s="190" t="s">
        <v>605</v>
      </c>
      <c r="C15" s="478">
        <f>Fuel_pmts!F3</f>
        <v>0</v>
      </c>
      <c r="D15" s="296"/>
      <c r="J15" s="718">
        <v>0</v>
      </c>
      <c r="K15" s="719"/>
    </row>
    <row r="16" spans="2:11" ht="14.4" customHeight="1">
      <c r="B16" s="191" t="s">
        <v>606</v>
      </c>
      <c r="C16" s="475">
        <f>Fuel_pmts!F4</f>
        <v>1.087598304830781E-3</v>
      </c>
      <c r="D16" s="3"/>
      <c r="E16" s="3"/>
      <c r="J16" s="718">
        <v>0</v>
      </c>
      <c r="K16" s="720"/>
    </row>
    <row r="17" spans="2:13" ht="14.4" customHeight="1">
      <c r="B17" s="190" t="s">
        <v>607</v>
      </c>
      <c r="C17" s="475">
        <f>Fuel_pmts!F5</f>
        <v>0.69541003802725521</v>
      </c>
      <c r="D17" s="476">
        <f>Fuel_pmts!G5</f>
        <v>0.81542444948493131</v>
      </c>
      <c r="E17" s="3"/>
      <c r="J17" s="721">
        <v>0.93</v>
      </c>
      <c r="K17" s="722">
        <v>0</v>
      </c>
      <c r="L17" s="214"/>
    </row>
    <row r="18" spans="2:13" ht="14.4" customHeight="1">
      <c r="B18" s="190" t="s">
        <v>608</v>
      </c>
      <c r="C18" s="475">
        <f>Fuel_pmts!F6</f>
        <v>0</v>
      </c>
      <c r="D18" s="476">
        <f>Fuel_pmts!G6</f>
        <v>0.17463517252183886</v>
      </c>
      <c r="E18" s="3"/>
      <c r="J18" s="718">
        <v>0</v>
      </c>
      <c r="K18" s="723">
        <v>0.5</v>
      </c>
      <c r="L18" s="214"/>
    </row>
    <row r="19" spans="2:13" ht="14.4" customHeight="1">
      <c r="B19" s="11" t="s">
        <v>609</v>
      </c>
      <c r="C19" s="475">
        <f>Fuel_pmts!F7</f>
        <v>4.6020710676254593E-2</v>
      </c>
      <c r="D19" s="480">
        <f>Fuel_pmts!G7</f>
        <v>0</v>
      </c>
      <c r="E19" s="3"/>
      <c r="J19" s="721">
        <v>7.0000000000000007E-2</v>
      </c>
      <c r="K19" s="722">
        <v>0</v>
      </c>
      <c r="L19" s="214"/>
    </row>
    <row r="20" spans="2:13" ht="14.4" customHeight="1" thickBot="1">
      <c r="B20" s="470" t="s">
        <v>610</v>
      </c>
      <c r="C20" s="479">
        <f>Fuel_pmts!F8</f>
        <v>0.25748165299165937</v>
      </c>
      <c r="D20" s="477">
        <f>Fuel_pmts!G8</f>
        <v>9.9403779932298528E-3</v>
      </c>
      <c r="E20" s="3"/>
      <c r="J20" s="724">
        <v>0</v>
      </c>
      <c r="K20" s="725">
        <v>0.5</v>
      </c>
      <c r="L20" s="214"/>
    </row>
    <row r="21" spans="2:13" ht="14.4" customHeight="1" thickTop="1">
      <c r="B21" s="469" t="s">
        <v>635</v>
      </c>
      <c r="C21" s="3"/>
      <c r="E21" s="3"/>
      <c r="F21" s="4"/>
      <c r="L21" s="214"/>
    </row>
    <row r="22" spans="2:13" ht="14.4" customHeight="1">
      <c r="B22" s="2"/>
      <c r="C22" s="3"/>
      <c r="E22" s="3"/>
      <c r="F22" s="4"/>
      <c r="L22" s="214"/>
    </row>
    <row r="23" spans="2:13" ht="31.95" customHeight="1">
      <c r="B23" s="494" t="s">
        <v>636</v>
      </c>
      <c r="C23" s="486" t="s">
        <v>637</v>
      </c>
      <c r="D23" s="495" t="s">
        <v>638</v>
      </c>
      <c r="E23" s="297" t="s">
        <v>639</v>
      </c>
      <c r="F23" s="297" t="s">
        <v>640</v>
      </c>
      <c r="L23" s="214"/>
      <c r="M23" s="214"/>
    </row>
    <row r="24" spans="2:13">
      <c r="B24" s="481" t="s">
        <v>605</v>
      </c>
      <c r="C24" s="482">
        <f>Fuel_prices_info!L40</f>
        <v>532.86055555555561</v>
      </c>
      <c r="D24" s="483">
        <f>Fuel_prices_info!L47</f>
        <v>476.32255555555554</v>
      </c>
      <c r="E24" s="485">
        <f>Fuel_pmts!J3</f>
        <v>1.2587223584090572</v>
      </c>
      <c r="F24" s="497">
        <f t="shared" ref="F24:F29" si="0">(C24-D24)/C24</f>
        <v>0.10610280571631739</v>
      </c>
      <c r="L24" s="214"/>
      <c r="M24" s="214"/>
    </row>
    <row r="25" spans="2:13">
      <c r="B25" s="191" t="s">
        <v>606</v>
      </c>
      <c r="C25" s="381">
        <f>Fuel_prices_info!L44</f>
        <v>512.96374534412962</v>
      </c>
      <c r="D25" s="484">
        <f>Fuel_prices_info!L51</f>
        <v>409.99941999999999</v>
      </c>
      <c r="E25" s="369">
        <f>Fuel_pmts!J4</f>
        <v>1.0707779502057893</v>
      </c>
      <c r="F25" s="498">
        <f t="shared" si="0"/>
        <v>0.20072437141742724</v>
      </c>
      <c r="L25" s="214"/>
      <c r="M25" s="214"/>
    </row>
    <row r="26" spans="2:13">
      <c r="B26" s="190" t="s">
        <v>607</v>
      </c>
      <c r="C26" s="381">
        <f>Fuel_prices_info!L45</f>
        <v>628.66573859436699</v>
      </c>
      <c r="D26" s="484">
        <f>Fuel_prices_info!L52</f>
        <v>610.00011500000005</v>
      </c>
      <c r="E26" s="369">
        <f>Fuel_pmts!J5</f>
        <v>1.1275894198799516</v>
      </c>
      <c r="F26" s="498">
        <f t="shared" si="0"/>
        <v>2.96908554872123E-2</v>
      </c>
      <c r="L26" s="214"/>
      <c r="M26" s="214"/>
    </row>
    <row r="27" spans="2:13">
      <c r="B27" s="11" t="s">
        <v>608</v>
      </c>
      <c r="C27" s="381">
        <f>Fuel_prices_info!L42</f>
        <v>722.77840007283328</v>
      </c>
      <c r="D27" s="484">
        <f>Fuel_prices_info!L49</f>
        <v>664.9997800000001</v>
      </c>
      <c r="E27" s="369">
        <f>Fuel_pmts!J6</f>
        <v>1.059643427289314</v>
      </c>
      <c r="F27" s="498">
        <f t="shared" si="0"/>
        <v>7.9939605371453976E-2</v>
      </c>
      <c r="L27" s="214"/>
      <c r="M27" s="214"/>
    </row>
    <row r="28" spans="2:13">
      <c r="B28" s="11" t="s">
        <v>609</v>
      </c>
      <c r="C28" s="381">
        <f>Fuel_prices_info!L43</f>
        <v>553.05310007283322</v>
      </c>
      <c r="D28" s="484">
        <f>Fuel_prices_info!L50</f>
        <v>496.99964</v>
      </c>
      <c r="E28" s="369">
        <f>Fuel_pmts!J7</f>
        <v>1.0596434272893138</v>
      </c>
      <c r="F28" s="498">
        <f t="shared" si="0"/>
        <v>0.10135276353292545</v>
      </c>
      <c r="L28" s="214"/>
      <c r="M28" s="214"/>
    </row>
    <row r="29" spans="2:13">
      <c r="B29" s="11" t="s">
        <v>610</v>
      </c>
      <c r="C29" s="381">
        <f>Fuel_prices_info!L41</f>
        <v>715.00082159454496</v>
      </c>
      <c r="D29" s="484">
        <f>Fuel_prices_info!L48</f>
        <v>715.00013999999999</v>
      </c>
      <c r="E29" s="369">
        <f>Fuel_pmts!J8</f>
        <v>1.4669873645222327</v>
      </c>
      <c r="F29" s="498">
        <f t="shared" si="0"/>
        <v>9.5327798848060949E-7</v>
      </c>
    </row>
    <row r="30" spans="2:13">
      <c r="B30" s="522" t="s">
        <v>571</v>
      </c>
      <c r="C30" s="482"/>
      <c r="D30" s="564">
        <f>SUMPRODUCT(D26:D29,$D$17:$D$20)</f>
        <v>620.64873092371693</v>
      </c>
      <c r="E30" s="493">
        <f>Fuel_pmts!J9</f>
        <v>1.1190974036015877</v>
      </c>
      <c r="F30" s="518">
        <f>SUMPRODUCT(F26:F29,$D$17:$D$20)</f>
        <v>3.817092574171186E-2</v>
      </c>
      <c r="K30" s="409"/>
    </row>
    <row r="31" spans="2:13" ht="15" thickBot="1">
      <c r="B31" s="523" t="s">
        <v>572</v>
      </c>
      <c r="C31" s="382"/>
      <c r="D31" s="565">
        <f>SUMPRODUCT(D24:D29,$C$15:$C$20)</f>
        <v>631.6178124180642</v>
      </c>
      <c r="E31" s="491">
        <f>Fuel_pmts!J10</f>
        <v>1.2117894527636806</v>
      </c>
      <c r="F31" s="517">
        <f>SUMPRODUCT(F24:F29,$C$15:$C$20)</f>
        <v>2.5530198087895705E-2</v>
      </c>
    </row>
    <row r="32" spans="2:13" ht="15" thickTop="1">
      <c r="B32" s="4"/>
      <c r="C32" s="3"/>
      <c r="D32" s="3"/>
      <c r="E32" s="3"/>
      <c r="F32" s="4"/>
    </row>
    <row r="33" spans="2:11">
      <c r="B33" s="4"/>
      <c r="C33" s="3"/>
      <c r="D33" s="3"/>
      <c r="E33" s="3"/>
      <c r="F33" s="4"/>
      <c r="G33" s="496"/>
      <c r="H33" s="496"/>
    </row>
    <row r="34" spans="2:11">
      <c r="G34" s="214"/>
    </row>
    <row r="35" spans="2:11" ht="23.4">
      <c r="B35" s="2" t="s">
        <v>641</v>
      </c>
      <c r="G35" s="214"/>
    </row>
    <row r="36" spans="2:11">
      <c r="C36" s="3"/>
      <c r="D36" s="3"/>
      <c r="G36" s="214"/>
    </row>
    <row r="37" spans="2:11">
      <c r="B37" s="194" t="s">
        <v>615</v>
      </c>
      <c r="C37" s="391">
        <v>2019</v>
      </c>
    </row>
    <row r="38" spans="2:11">
      <c r="B38" s="204" t="s">
        <v>616</v>
      </c>
      <c r="C38" s="520">
        <f>elec_pmts_info!D10</f>
        <v>125.86190456</v>
      </c>
    </row>
    <row r="39" spans="2:11">
      <c r="B39" s="206" t="s">
        <v>617</v>
      </c>
      <c r="C39" s="392">
        <f>elec_pmts_info!G10</f>
        <v>115.20399051449441</v>
      </c>
    </row>
    <row r="40" spans="2:11">
      <c r="B40" s="206" t="s">
        <v>618</v>
      </c>
      <c r="C40" s="525">
        <f>+(C38-C39)/C38</f>
        <v>8.4679427685164468E-2</v>
      </c>
    </row>
    <row r="41" spans="2:11" ht="15" thickBot="1">
      <c r="B41" s="195" t="s">
        <v>619</v>
      </c>
      <c r="C41" s="526">
        <v>0.66400000000000003</v>
      </c>
    </row>
    <row r="42" spans="2:11" ht="15" thickTop="1">
      <c r="B42" s="1" t="s">
        <v>620</v>
      </c>
    </row>
    <row r="43" spans="2:11" ht="15" customHeight="1">
      <c r="I43" s="291"/>
      <c r="J43" s="291"/>
      <c r="K43" s="291"/>
    </row>
    <row r="44" spans="2:11" ht="15" customHeight="1">
      <c r="I44" s="291"/>
      <c r="J44" s="291"/>
      <c r="K44" s="291"/>
    </row>
    <row r="45" spans="2:11">
      <c r="I45" s="291"/>
      <c r="J45" s="291"/>
      <c r="K45" s="291"/>
    </row>
    <row r="49" ht="15" customHeight="1"/>
  </sheetData>
  <phoneticPr fontId="50" type="noConversion"/>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A0C79-D76A-48EB-8368-480C56B49818}">
  <sheetPr codeName="Hoja17">
    <tabColor theme="5" tint="0.79995117038483843"/>
  </sheetPr>
  <dimension ref="A2:S151"/>
  <sheetViews>
    <sheetView topLeftCell="A93" zoomScale="115" zoomScaleNormal="115" workbookViewId="0">
      <selection activeCell="H101" sqref="H101"/>
    </sheetView>
  </sheetViews>
  <sheetFormatPr baseColWidth="10" defaultColWidth="11.5546875" defaultRowHeight="14.4"/>
  <cols>
    <col min="1" max="1" width="10" style="1" bestFit="1" customWidth="1"/>
    <col min="2" max="2" width="46.33203125" style="1" customWidth="1"/>
    <col min="3" max="7" width="12.109375" style="1" customWidth="1"/>
    <col min="8" max="9" width="11.5546875" style="757"/>
    <col min="10" max="10" width="40.44140625" style="757" customWidth="1"/>
    <col min="11" max="17" width="11.5546875" style="757" customWidth="1"/>
    <col min="18" max="19" width="11.5546875" style="295"/>
    <col min="20" max="16384" width="11.5546875" style="1"/>
  </cols>
  <sheetData>
    <row r="2" spans="1:6" ht="21">
      <c r="A2" s="835" t="s">
        <v>642</v>
      </c>
      <c r="B2" s="835"/>
      <c r="C2" s="835"/>
      <c r="D2" s="835"/>
      <c r="E2" s="835"/>
      <c r="F2" s="835"/>
    </row>
    <row r="4" spans="1:6" ht="19.2" customHeight="1">
      <c r="A4" s="836" t="s">
        <v>643</v>
      </c>
      <c r="B4" s="836"/>
      <c r="C4" s="836"/>
      <c r="D4" s="836"/>
      <c r="E4" s="836"/>
      <c r="F4" s="836"/>
    </row>
    <row r="5" spans="1:6" ht="19.2" customHeight="1">
      <c r="A5" s="836"/>
      <c r="B5" s="836"/>
      <c r="C5" s="836"/>
      <c r="D5" s="836"/>
      <c r="E5" s="836"/>
      <c r="F5" s="836"/>
    </row>
    <row r="6" spans="1:6" ht="19.2" customHeight="1">
      <c r="A6" s="836" t="s">
        <v>1019</v>
      </c>
      <c r="B6" s="836"/>
      <c r="C6" s="836"/>
      <c r="D6" s="836"/>
      <c r="E6" s="836"/>
      <c r="F6" s="836"/>
    </row>
    <row r="7" spans="1:6" ht="19.2" customHeight="1">
      <c r="A7" s="836"/>
      <c r="B7" s="836"/>
      <c r="C7" s="836"/>
      <c r="D7" s="836"/>
      <c r="E7" s="836"/>
      <c r="F7" s="836"/>
    </row>
    <row r="8" spans="1:6" ht="19.2" customHeight="1">
      <c r="A8" s="836"/>
      <c r="B8" s="836"/>
      <c r="C8" s="836"/>
      <c r="D8" s="836"/>
      <c r="E8" s="836"/>
      <c r="F8" s="836"/>
    </row>
    <row r="9" spans="1:6" ht="19.2" customHeight="1">
      <c r="A9" s="836" t="s">
        <v>644</v>
      </c>
      <c r="B9" s="836"/>
      <c r="C9" s="836"/>
      <c r="D9" s="836"/>
      <c r="E9" s="836"/>
      <c r="F9" s="836"/>
    </row>
    <row r="10" spans="1:6" ht="19.2" customHeight="1">
      <c r="A10" s="836"/>
      <c r="B10" s="836"/>
      <c r="C10" s="836"/>
      <c r="D10" s="836"/>
      <c r="E10" s="836"/>
      <c r="F10" s="836"/>
    </row>
    <row r="11" spans="1:6" ht="19.2" customHeight="1">
      <c r="A11" s="836"/>
      <c r="B11" s="836"/>
      <c r="C11" s="836"/>
      <c r="D11" s="836"/>
      <c r="E11" s="836"/>
      <c r="F11" s="836"/>
    </row>
    <row r="13" spans="1:6" ht="21">
      <c r="A13" s="835" t="s">
        <v>645</v>
      </c>
      <c r="B13" s="835"/>
      <c r="C13" s="835"/>
      <c r="D13" s="835"/>
      <c r="E13" s="835"/>
      <c r="F13" s="835"/>
    </row>
    <row r="15" spans="1:6">
      <c r="A15" s="1" t="s">
        <v>651</v>
      </c>
    </row>
    <row r="16" spans="1:6">
      <c r="A16" s="1" t="s">
        <v>1018</v>
      </c>
    </row>
    <row r="17" spans="1:6">
      <c r="A17" s="1" t="s">
        <v>652</v>
      </c>
    </row>
    <row r="19" spans="1:6">
      <c r="A19" s="196" t="s">
        <v>646</v>
      </c>
    </row>
    <row r="20" spans="1:6">
      <c r="A20" s="1" t="s">
        <v>647</v>
      </c>
    </row>
    <row r="21" spans="1:6">
      <c r="A21" s="1" t="s">
        <v>648</v>
      </c>
    </row>
    <row r="23" spans="1:6" ht="15" thickBot="1">
      <c r="A23" s="840" t="s">
        <v>16</v>
      </c>
      <c r="B23" s="840"/>
      <c r="C23" s="568" t="s">
        <v>14</v>
      </c>
      <c r="D23" s="552" t="s">
        <v>423</v>
      </c>
      <c r="E23" s="552" t="s">
        <v>437</v>
      </c>
      <c r="F23" s="552" t="s">
        <v>447</v>
      </c>
    </row>
    <row r="24" spans="1:6" ht="15" thickTop="1">
      <c r="A24" s="838" t="s">
        <v>18</v>
      </c>
      <c r="B24" s="838"/>
      <c r="C24" s="838"/>
      <c r="D24" s="838"/>
    </row>
    <row r="25" spans="1:6">
      <c r="A25" s="842" t="s">
        <v>27</v>
      </c>
      <c r="B25" s="14" t="s">
        <v>19</v>
      </c>
      <c r="C25" s="217">
        <v>91.17</v>
      </c>
      <c r="D25" s="217">
        <f>Parameters!E23</f>
        <v>91.17</v>
      </c>
      <c r="E25" s="217">
        <f>Parameters!G23</f>
        <v>110.14</v>
      </c>
      <c r="F25" s="217">
        <v>91.17</v>
      </c>
    </row>
    <row r="26" spans="1:6">
      <c r="A26" s="842"/>
      <c r="B26" s="14" t="s">
        <v>21</v>
      </c>
      <c r="C26" s="217">
        <v>112.5</v>
      </c>
      <c r="D26" s="224">
        <f>Parameters!E24</f>
        <v>136.49</v>
      </c>
      <c r="E26" s="224">
        <f>Parameters!G24</f>
        <v>136.49</v>
      </c>
      <c r="F26" s="217">
        <v>112.5</v>
      </c>
    </row>
    <row r="27" spans="1:6">
      <c r="A27" s="843"/>
      <c r="B27" s="218" t="s">
        <v>23</v>
      </c>
      <c r="C27" s="575">
        <v>112.5</v>
      </c>
      <c r="D27" s="225">
        <f>Parameters!E25</f>
        <v>149.06</v>
      </c>
      <c r="E27" s="225">
        <f>Parameters!G25</f>
        <v>149.06</v>
      </c>
      <c r="F27" s="575">
        <v>112.5</v>
      </c>
    </row>
    <row r="28" spans="1:6">
      <c r="A28" s="844" t="s">
        <v>28</v>
      </c>
      <c r="B28" s="14" t="s">
        <v>19</v>
      </c>
      <c r="C28" s="217">
        <v>91.17</v>
      </c>
      <c r="D28" s="217">
        <f>Parameters!E27</f>
        <v>91.17</v>
      </c>
      <c r="E28" s="217">
        <f>Parameters!G27</f>
        <v>110.14</v>
      </c>
      <c r="F28" s="217">
        <v>91.17</v>
      </c>
    </row>
    <row r="29" spans="1:6">
      <c r="A29" s="842"/>
      <c r="B29" s="14" t="s">
        <v>21</v>
      </c>
      <c r="C29" s="217">
        <v>112.5</v>
      </c>
      <c r="D29" s="224">
        <f>Parameters!E28</f>
        <v>136.49</v>
      </c>
      <c r="E29" s="224">
        <f>Parameters!G28</f>
        <v>136.49</v>
      </c>
      <c r="F29" s="217">
        <v>112.5</v>
      </c>
    </row>
    <row r="30" spans="1:6" ht="15" thickBot="1">
      <c r="A30" s="845"/>
      <c r="B30" s="220" t="s">
        <v>23</v>
      </c>
      <c r="C30" s="491">
        <v>124.62</v>
      </c>
      <c r="D30" s="226">
        <f>Parameters!E29</f>
        <v>159.36000000000001</v>
      </c>
      <c r="E30" s="226">
        <f>Parameters!G29</f>
        <v>159.36000000000001</v>
      </c>
      <c r="F30" s="491">
        <v>124.62</v>
      </c>
    </row>
    <row r="31" spans="1:6" ht="15" thickTop="1">
      <c r="A31" s="838" t="s">
        <v>613</v>
      </c>
      <c r="B31" s="838"/>
      <c r="C31" s="838"/>
      <c r="D31" s="838"/>
    </row>
    <row r="32" spans="1:6">
      <c r="A32" s="842" t="s">
        <v>27</v>
      </c>
      <c r="B32" s="14" t="s">
        <v>19</v>
      </c>
      <c r="C32" s="217">
        <v>96.72</v>
      </c>
      <c r="D32" s="224">
        <f>Parameters!E32</f>
        <v>111.23</v>
      </c>
      <c r="E32" s="224">
        <f>Parameters!G32</f>
        <v>111.23</v>
      </c>
      <c r="F32" s="217">
        <v>96.72</v>
      </c>
    </row>
    <row r="33" spans="1:6">
      <c r="A33" s="842"/>
      <c r="B33" s="14" t="s">
        <v>21</v>
      </c>
      <c r="C33" s="571">
        <v>113.38</v>
      </c>
      <c r="D33" s="224">
        <f>Parameters!E33</f>
        <v>143.54</v>
      </c>
      <c r="E33" s="224">
        <f>Parameters!G33</f>
        <v>143.54</v>
      </c>
      <c r="F33" s="571">
        <v>113.38</v>
      </c>
    </row>
    <row r="34" spans="1:6">
      <c r="A34" s="843"/>
      <c r="B34" s="218" t="s">
        <v>23</v>
      </c>
      <c r="C34" s="572">
        <v>113.38</v>
      </c>
      <c r="D34" s="225">
        <f>Parameters!E34</f>
        <v>150.22999999999999</v>
      </c>
      <c r="E34" s="225">
        <f>Parameters!G34</f>
        <v>150.22999999999999</v>
      </c>
      <c r="F34" s="572">
        <v>113.38</v>
      </c>
    </row>
    <row r="35" spans="1:6">
      <c r="A35" s="844" t="s">
        <v>28</v>
      </c>
      <c r="B35" s="14" t="s">
        <v>19</v>
      </c>
      <c r="C35" s="102">
        <v>96.72</v>
      </c>
      <c r="D35" s="224">
        <f>Parameters!E36</f>
        <v>111.23</v>
      </c>
      <c r="E35" s="224">
        <f>Parameters!G36</f>
        <v>111.23</v>
      </c>
      <c r="F35" s="102">
        <v>96.72</v>
      </c>
    </row>
    <row r="36" spans="1:6">
      <c r="A36" s="842"/>
      <c r="B36" s="14" t="s">
        <v>21</v>
      </c>
      <c r="C36" s="573">
        <v>113.38</v>
      </c>
      <c r="D36" s="224">
        <f>Parameters!E37</f>
        <v>143.54</v>
      </c>
      <c r="E36" s="224">
        <f>Parameters!G37</f>
        <v>143.54</v>
      </c>
      <c r="F36" s="573">
        <v>113.38</v>
      </c>
    </row>
    <row r="37" spans="1:6" ht="15" thickBot="1">
      <c r="A37" s="845"/>
      <c r="B37" s="220" t="s">
        <v>23</v>
      </c>
      <c r="C37" s="574">
        <v>123.92</v>
      </c>
      <c r="D37" s="226">
        <f>Parameters!E38</f>
        <v>158.46</v>
      </c>
      <c r="E37" s="226">
        <f>Parameters!G38</f>
        <v>158.46</v>
      </c>
      <c r="F37" s="574">
        <v>123.92</v>
      </c>
    </row>
    <row r="38" spans="1:6" ht="15" customHeight="1" thickTop="1">
      <c r="A38" s="839" t="s">
        <v>649</v>
      </c>
      <c r="B38" s="839"/>
      <c r="C38" s="839"/>
      <c r="D38" s="839"/>
    </row>
    <row r="39" spans="1:6" ht="15" thickBot="1">
      <c r="A39" s="576" t="s">
        <v>28</v>
      </c>
      <c r="B39" s="104"/>
      <c r="C39" s="104">
        <v>114</v>
      </c>
      <c r="D39" s="569">
        <f>Parameters!E40</f>
        <v>144.44999999999999</v>
      </c>
      <c r="E39" s="569">
        <f>Parameters!G40</f>
        <v>144.44999999999999</v>
      </c>
      <c r="F39" s="104">
        <v>114</v>
      </c>
    </row>
    <row r="40" spans="1:6" ht="15" thickTop="1">
      <c r="A40" s="841" t="s">
        <v>615</v>
      </c>
      <c r="B40" s="841"/>
    </row>
    <row r="41" spans="1:6">
      <c r="A41" s="852" t="s">
        <v>616</v>
      </c>
      <c r="B41" s="852"/>
      <c r="C41" s="102">
        <v>142.39140180447515</v>
      </c>
      <c r="D41" s="102">
        <v>142.39140180447515</v>
      </c>
      <c r="E41" s="102">
        <v>142.39140180447515</v>
      </c>
      <c r="F41" s="102">
        <v>142.39140180447515</v>
      </c>
    </row>
    <row r="42" spans="1:6" ht="15" thickBot="1">
      <c r="A42" s="853" t="s">
        <v>617</v>
      </c>
      <c r="B42" s="853"/>
      <c r="C42" s="104">
        <v>122.0362669208306</v>
      </c>
      <c r="D42" s="569">
        <v>152.93268110082869</v>
      </c>
      <c r="E42" s="569">
        <v>142.175144181295</v>
      </c>
      <c r="F42" s="104">
        <v>122.0362669208306</v>
      </c>
    </row>
    <row r="43" spans="1:6" ht="15" thickTop="1"/>
    <row r="45" spans="1:6" ht="21">
      <c r="A45" s="835" t="s">
        <v>650</v>
      </c>
      <c r="B45" s="835"/>
      <c r="C45" s="835"/>
      <c r="D45" s="835"/>
      <c r="E45" s="835"/>
      <c r="F45" s="835"/>
    </row>
    <row r="47" spans="1:6">
      <c r="A47" s="1" t="s">
        <v>651</v>
      </c>
    </row>
    <row r="48" spans="1:6">
      <c r="A48" s="1" t="s">
        <v>1018</v>
      </c>
    </row>
    <row r="49" spans="1:7">
      <c r="A49" s="1" t="s">
        <v>652</v>
      </c>
    </row>
    <row r="51" spans="1:7">
      <c r="A51" s="196" t="s">
        <v>646</v>
      </c>
    </row>
    <row r="52" spans="1:7" hidden="1"/>
    <row r="53" spans="1:7" hidden="1"/>
    <row r="54" spans="1:7" hidden="1"/>
    <row r="55" spans="1:7" hidden="1"/>
    <row r="57" spans="1:7" ht="15" thickBot="1">
      <c r="A57" s="197"/>
      <c r="B57" s="5"/>
      <c r="C57" s="552"/>
      <c r="D57" s="553" t="s">
        <v>14</v>
      </c>
      <c r="E57" s="552" t="s">
        <v>423</v>
      </c>
      <c r="F57" s="552" t="s">
        <v>437</v>
      </c>
      <c r="G57" s="552" t="s">
        <v>447</v>
      </c>
    </row>
    <row r="58" spans="1:7" ht="29.4" thickTop="1">
      <c r="A58" s="7"/>
      <c r="B58" s="7"/>
      <c r="C58" s="8" t="s">
        <v>653</v>
      </c>
      <c r="D58" s="8" t="s">
        <v>602</v>
      </c>
      <c r="E58" s="8" t="s">
        <v>602</v>
      </c>
      <c r="F58" s="8" t="s">
        <v>602</v>
      </c>
      <c r="G58" s="8" t="s">
        <v>602</v>
      </c>
    </row>
    <row r="59" spans="1:7">
      <c r="A59" s="837" t="s">
        <v>605</v>
      </c>
      <c r="B59" s="837"/>
      <c r="C59" s="9">
        <v>641.59355555555555</v>
      </c>
      <c r="D59" s="9">
        <f>Parameters!C6</f>
        <v>476.32255555555554</v>
      </c>
      <c r="E59" s="9">
        <f>Parameters!F6</f>
        <v>476.32255555555554</v>
      </c>
      <c r="F59" s="9">
        <f>Parameters!I6</f>
        <v>476.32255555555554</v>
      </c>
      <c r="G59" s="9">
        <f>Parameters!L6</f>
        <v>476.32255555555554</v>
      </c>
    </row>
    <row r="60" spans="1:7">
      <c r="A60" s="847" t="s">
        <v>606</v>
      </c>
      <c r="B60" s="847"/>
      <c r="C60" s="9">
        <v>771.7300251821863</v>
      </c>
      <c r="D60" s="9">
        <f>Parameters!C7</f>
        <v>409.99941999999999</v>
      </c>
      <c r="E60" s="9">
        <f>Parameters!F7</f>
        <v>409.99941999999999</v>
      </c>
      <c r="F60" s="9">
        <f>Parameters!I7</f>
        <v>409.99941999999999</v>
      </c>
      <c r="G60" s="9">
        <f>Parameters!L7</f>
        <v>409.99941999999999</v>
      </c>
    </row>
    <row r="61" spans="1:7">
      <c r="A61" s="837" t="s">
        <v>607</v>
      </c>
      <c r="B61" s="837"/>
      <c r="C61" s="9">
        <v>922.80154137931049</v>
      </c>
      <c r="D61" s="9">
        <f>Parameters!C8</f>
        <v>654.99999999999784</v>
      </c>
      <c r="E61" s="212">
        <f>Parameters!F8</f>
        <v>754.9995600000002</v>
      </c>
      <c r="F61" s="212">
        <f>Parameters!I8</f>
        <v>754.9995600000002</v>
      </c>
      <c r="G61" s="9">
        <f>Parameters!L8</f>
        <v>754.9995600000002</v>
      </c>
    </row>
    <row r="62" spans="1:7">
      <c r="A62" s="850" t="s">
        <v>608</v>
      </c>
      <c r="B62" s="850"/>
      <c r="C62" s="12">
        <v>872.64418834668618</v>
      </c>
      <c r="D62" s="12">
        <f>Parameters!C9</f>
        <v>664.9997800000001</v>
      </c>
      <c r="E62" s="12">
        <f>Parameters!F9</f>
        <v>664.9997800000001</v>
      </c>
      <c r="F62" s="12">
        <f>Parameters!I9</f>
        <v>664.9997800000001</v>
      </c>
      <c r="G62" s="12">
        <f>Parameters!L9</f>
        <v>664.9997800000001</v>
      </c>
    </row>
    <row r="63" spans="1:7">
      <c r="A63" s="850" t="s">
        <v>609</v>
      </c>
      <c r="B63" s="850"/>
      <c r="C63" s="12">
        <v>720.61888834668605</v>
      </c>
      <c r="D63" s="12">
        <f>Parameters!C10</f>
        <v>496.99964</v>
      </c>
      <c r="E63" s="12">
        <f>Parameters!F10</f>
        <v>496.99964</v>
      </c>
      <c r="F63" s="12">
        <f>Parameters!I10</f>
        <v>496.99964</v>
      </c>
      <c r="G63" s="12">
        <f>Parameters!L10</f>
        <v>496.99964</v>
      </c>
    </row>
    <row r="64" spans="1:7">
      <c r="A64" s="849" t="s">
        <v>610</v>
      </c>
      <c r="B64" s="849"/>
      <c r="C64" s="12">
        <v>990.00039042128606</v>
      </c>
      <c r="D64" s="12">
        <f>Parameters!C11</f>
        <v>889.99999999999727</v>
      </c>
      <c r="E64" s="213">
        <f>Parameters!F11</f>
        <v>990.00009999999997</v>
      </c>
      <c r="F64" s="213">
        <f>Parameters!I11</f>
        <v>990.00009999999997</v>
      </c>
      <c r="G64" s="213">
        <f>Parameters!L11</f>
        <v>990.00009999999997</v>
      </c>
    </row>
    <row r="65" spans="1:7">
      <c r="A65" s="850" t="s">
        <v>571</v>
      </c>
      <c r="B65" s="850"/>
      <c r="C65" s="492">
        <v>914.7102853394066</v>
      </c>
      <c r="D65" s="492">
        <f>Parameters!C12</f>
        <v>659.08230213388765</v>
      </c>
      <c r="E65" s="579">
        <f>Parameters!F12</f>
        <v>741.61842708898575</v>
      </c>
      <c r="F65" s="579">
        <f>Parameters!I12</f>
        <v>741.61842708898575</v>
      </c>
      <c r="G65" s="579">
        <f>Parameters!L12</f>
        <v>741.61842708898575</v>
      </c>
    </row>
    <row r="66" spans="1:7" ht="15" thickBot="1">
      <c r="A66" s="851" t="s">
        <v>572</v>
      </c>
      <c r="B66" s="851"/>
      <c r="C66" s="15">
        <v>930.63511760587903</v>
      </c>
      <c r="D66" s="15">
        <f>Parameters!C13</f>
        <v>707.97043738324305</v>
      </c>
      <c r="E66" s="580">
        <f>Parameters!F13</f>
        <v>803.25932625288556</v>
      </c>
      <c r="F66" s="580">
        <f>Parameters!I13</f>
        <v>803.25932625288556</v>
      </c>
      <c r="G66" s="580">
        <f>Parameters!L13</f>
        <v>803.25932625288556</v>
      </c>
    </row>
    <row r="67" spans="1:7" ht="15" thickTop="1"/>
    <row r="69" spans="1:7" ht="21">
      <c r="A69" s="835" t="s">
        <v>1020</v>
      </c>
      <c r="B69" s="835"/>
      <c r="C69" s="835"/>
      <c r="D69" s="835"/>
      <c r="E69" s="835"/>
      <c r="F69" s="835"/>
    </row>
    <row r="71" spans="1:7">
      <c r="A71" s="854" t="str">
        <f>Parameters!B59</f>
        <v>Mitigation policy parameters</v>
      </c>
      <c r="B71" s="854"/>
      <c r="C71" s="208" t="str">
        <f>Parameters!C59</f>
        <v>Baseline</v>
      </c>
      <c r="D71" s="209" t="str">
        <f>Parameters!D59</f>
        <v>Reform 1</v>
      </c>
      <c r="E71" s="210" t="str">
        <f>Parameters!E59</f>
        <v>Reform 2</v>
      </c>
      <c r="F71" s="210" t="str">
        <f>Parameters!F59</f>
        <v>Reform 3</v>
      </c>
    </row>
    <row r="72" spans="1:7">
      <c r="A72" s="855" t="str">
        <f>Parameters!B60</f>
        <v>Increase in PNBSF annual transfers</v>
      </c>
      <c r="B72" s="855"/>
      <c r="C72" s="492">
        <f>Parameters!C60</f>
        <v>0</v>
      </c>
      <c r="D72" s="492">
        <f>Parameters!D60</f>
        <v>0</v>
      </c>
      <c r="E72" s="729">
        <f>Parameters!E60</f>
        <v>0</v>
      </c>
      <c r="F72" s="729">
        <f>Parameters!F60</f>
        <v>40000</v>
      </c>
    </row>
    <row r="73" spans="1:7">
      <c r="A73" s="856" t="str">
        <f>Parameters!B61</f>
        <v>Increase in beneficiaries (≥1)</v>
      </c>
      <c r="B73" s="856"/>
      <c r="C73" s="102">
        <f>Parameters!C61</f>
        <v>1</v>
      </c>
      <c r="D73" s="102">
        <f>Parameters!D61</f>
        <v>1</v>
      </c>
      <c r="E73" s="211">
        <f>Parameters!E61</f>
        <v>1</v>
      </c>
      <c r="F73" s="211">
        <f>Parameters!F61</f>
        <v>1.3327222334978091</v>
      </c>
    </row>
    <row r="74" spans="1:7" ht="15" thickBot="1">
      <c r="A74" s="857" t="str">
        <f>Parameters!B63</f>
        <v>Public transport subsidies</v>
      </c>
      <c r="B74" s="857"/>
      <c r="C74" s="16" t="str">
        <f>Parameters!C63</f>
        <v>No</v>
      </c>
      <c r="D74" s="16" t="str">
        <f>Parameters!D63</f>
        <v>No</v>
      </c>
      <c r="E74" s="730" t="str">
        <f>Parameters!E63</f>
        <v>No</v>
      </c>
      <c r="F74" s="730" t="str">
        <f>Parameters!F63</f>
        <v>Yes</v>
      </c>
    </row>
    <row r="75" spans="1:7" ht="15" thickTop="1"/>
    <row r="80" spans="1:7" ht="21">
      <c r="A80" s="835" t="s">
        <v>654</v>
      </c>
      <c r="B80" s="835"/>
      <c r="C80" s="835"/>
      <c r="D80" s="835"/>
      <c r="E80" s="835"/>
      <c r="F80" s="835"/>
    </row>
    <row r="83" spans="1:14">
      <c r="B83" s="577"/>
      <c r="C83" s="209" t="s">
        <v>14</v>
      </c>
      <c r="D83" s="209" t="s">
        <v>423</v>
      </c>
      <c r="E83" s="209" t="s">
        <v>437</v>
      </c>
      <c r="F83" s="209" t="s">
        <v>447</v>
      </c>
      <c r="K83" s="757">
        <v>1</v>
      </c>
      <c r="L83" s="757">
        <v>2</v>
      </c>
      <c r="M83" s="757">
        <v>3</v>
      </c>
      <c r="N83" s="757">
        <v>4</v>
      </c>
    </row>
    <row r="84" spans="1:14">
      <c r="A84" s="848" t="s">
        <v>655</v>
      </c>
      <c r="B84" s="848"/>
      <c r="C84" s="485">
        <f>100*INDEX(stats!$D:$D,MATCH(K84,stats!$A:$A,0))</f>
        <v>37.892769999999999</v>
      </c>
      <c r="D84" s="485">
        <f>100*INDEX(stats!$D:$D,MATCH(L84,stats!$A:$A,0))</f>
        <v>37.892769999999999</v>
      </c>
      <c r="E84" s="485">
        <f>100*INDEX(stats!$D:$D,MATCH(M84,stats!$A:$A,0))</f>
        <v>37.892769999999999</v>
      </c>
      <c r="F84" s="485">
        <f>100*INDEX(stats!$D:$D,MATCH(N84,stats!$A:$A,0))</f>
        <v>37.892769999999999</v>
      </c>
      <c r="J84" s="757" t="s">
        <v>656</v>
      </c>
      <c r="K84" s="757" t="str">
        <f t="shared" ref="K84:N107" si="0">_xlfn.CONCAT(K$83,$J84)</f>
        <v>1_yd_pc_gini__yd_0</v>
      </c>
      <c r="L84" s="757" t="str">
        <f t="shared" si="0"/>
        <v>2_yd_pc_gini__yd_0</v>
      </c>
      <c r="M84" s="757" t="str">
        <f t="shared" si="0"/>
        <v>3_yd_pc_gini__yd_0</v>
      </c>
      <c r="N84" s="757" t="str">
        <f t="shared" si="0"/>
        <v>4_yd_pc_gini__yd_0</v>
      </c>
    </row>
    <row r="85" spans="1:14">
      <c r="A85" s="827" t="s">
        <v>1049</v>
      </c>
      <c r="B85" s="827"/>
      <c r="C85" s="369">
        <f>100*INDEX(stats!$D:$D,MATCH(K85,stats!$A:$A,0))</f>
        <v>38.057470000000002</v>
      </c>
      <c r="D85" s="761">
        <f>100*INDEX(stats!$D:$D,MATCH(L85,stats!$A:$A,0))</f>
        <v>37.97589</v>
      </c>
      <c r="E85" s="369">
        <f>100*INDEX(stats!$D:$D,MATCH(M85,stats!$A:$A,0))</f>
        <v>37.954990000000002</v>
      </c>
      <c r="F85" s="761">
        <f>100*INDEX(stats!$D:$D,MATCH(N85,stats!$A:$A,0))</f>
        <v>37.97589</v>
      </c>
      <c r="J85" s="757" t="s">
        <v>1054</v>
      </c>
      <c r="K85" s="757" t="str">
        <f t="shared" si="0"/>
        <v>1_inc_all_elec_noST_gini__yd_0</v>
      </c>
      <c r="L85" s="757" t="str">
        <f t="shared" si="0"/>
        <v>2_inc_all_elec_noST_gini__yd_0</v>
      </c>
      <c r="M85" s="757" t="str">
        <f t="shared" si="0"/>
        <v>3_inc_all_elec_noST_gini__yd_0</v>
      </c>
      <c r="N85" s="757" t="str">
        <f t="shared" si="0"/>
        <v>4_inc_all_elec_noST_gini__yd_0</v>
      </c>
    </row>
    <row r="86" spans="1:14">
      <c r="A86" s="827" t="s">
        <v>1088</v>
      </c>
      <c r="B86" s="827"/>
      <c r="C86" s="369">
        <f>100*INDEX(stats!$D:$D,MATCH(K86,stats!$A:$A,0))</f>
        <v>37.892769999999999</v>
      </c>
      <c r="D86" s="761">
        <f>100*INDEX(stats!$D:$D,MATCH(L86,stats!$A:$A,0))</f>
        <v>37.896819999999998</v>
      </c>
      <c r="E86" s="369">
        <f>100*INDEX(stats!$D:$D,MATCH(M86,stats!$A:$A,0))</f>
        <v>37.892769999999999</v>
      </c>
      <c r="F86" s="761">
        <f>100*INDEX(stats!$D:$D,MATCH(N86,stats!$A:$A,0))</f>
        <v>37.896819999999998</v>
      </c>
      <c r="J86" s="757" t="s">
        <v>1089</v>
      </c>
      <c r="K86" s="757" t="str">
        <f t="shared" si="0"/>
        <v>1_inc_social_tranche_gini__yd_0</v>
      </c>
      <c r="L86" s="757" t="str">
        <f t="shared" si="0"/>
        <v>2_inc_social_tranche_gini__yd_0</v>
      </c>
      <c r="M86" s="757" t="str">
        <f t="shared" si="0"/>
        <v>3_inc_social_tranche_gini__yd_0</v>
      </c>
      <c r="N86" s="757" t="str">
        <f t="shared" si="0"/>
        <v>4_inc_social_tranche_gini__yd_0</v>
      </c>
    </row>
    <row r="87" spans="1:14">
      <c r="A87" s="827" t="s">
        <v>1050</v>
      </c>
      <c r="B87" s="827"/>
      <c r="C87" s="369">
        <f>100*INDEX(stats!$D:$D,MATCH(K87,stats!$A:$A,0))</f>
        <v>38.057470000000002</v>
      </c>
      <c r="D87" s="761">
        <f>100*INDEX(stats!$D:$D,MATCH(L87,stats!$A:$A,0))</f>
        <v>37.980089999999997</v>
      </c>
      <c r="E87" s="369">
        <f>100*INDEX(stats!$D:$D,MATCH(M87,stats!$A:$A,0))</f>
        <v>37.954990000000002</v>
      </c>
      <c r="F87" s="761">
        <f>100*INDEX(stats!$D:$D,MATCH(N87,stats!$A:$A,0))</f>
        <v>37.980089999999997</v>
      </c>
      <c r="J87" s="757" t="s">
        <v>657</v>
      </c>
      <c r="K87" s="757" t="str">
        <f t="shared" si="0"/>
        <v>1_inc_all_elec_gini__yd_0</v>
      </c>
      <c r="L87" s="757" t="str">
        <f t="shared" si="0"/>
        <v>2_inc_all_elec_gini__yd_0</v>
      </c>
      <c r="M87" s="757" t="str">
        <f t="shared" si="0"/>
        <v>3_inc_all_elec_gini__yd_0</v>
      </c>
      <c r="N87" s="757" t="str">
        <f t="shared" si="0"/>
        <v>4_inc_all_elec_gini__yd_0</v>
      </c>
    </row>
    <row r="88" spans="1:14">
      <c r="A88" s="827" t="s">
        <v>658</v>
      </c>
      <c r="B88" s="827"/>
      <c r="C88" s="369">
        <f>100*INDEX(stats!$D:$D,MATCH(K88,stats!$A:$A,0))</f>
        <v>37.964269999999999</v>
      </c>
      <c r="D88" s="369">
        <f>100*INDEX(stats!$D:$D,MATCH(L88,stats!$A:$A,0))</f>
        <v>37.932159999999996</v>
      </c>
      <c r="E88" s="762">
        <f>100*INDEX(stats!$D:$D,MATCH(M88,stats!$A:$A,0))</f>
        <v>37.932159999999996</v>
      </c>
      <c r="F88" s="762">
        <f>100*INDEX(stats!$D:$D,MATCH(N88,stats!$A:$A,0))</f>
        <v>37.932159999999996</v>
      </c>
      <c r="J88" s="757" t="s">
        <v>659</v>
      </c>
      <c r="K88" s="757" t="str">
        <f t="shared" si="0"/>
        <v>1_inc_all_fuel_gini__yd_0</v>
      </c>
      <c r="L88" s="757" t="str">
        <f t="shared" si="0"/>
        <v>2_inc_all_fuel_gini__yd_0</v>
      </c>
      <c r="M88" s="757" t="str">
        <f t="shared" si="0"/>
        <v>3_inc_all_fuel_gini__yd_0</v>
      </c>
      <c r="N88" s="757" t="str">
        <f t="shared" si="0"/>
        <v>4_inc_all_fuel_gini__yd_0</v>
      </c>
    </row>
    <row r="89" spans="1:14">
      <c r="A89" s="827" t="s">
        <v>1051</v>
      </c>
      <c r="B89" s="827"/>
      <c r="C89" s="369">
        <f>100*INDEX(stats!$D:$D,MATCH(K89,stats!$A:$A,0))</f>
        <v>38.126870000000004</v>
      </c>
      <c r="D89" s="369">
        <f>100*INDEX(stats!$D:$D,MATCH(L89,stats!$A:$A,0))</f>
        <v>38.01896</v>
      </c>
      <c r="E89" s="369">
        <f>100*INDEX(stats!$D:$D,MATCH(M89,stats!$A:$A,0))</f>
        <v>37.994019999999999</v>
      </c>
      <c r="F89" s="369">
        <f>100*INDEX(stats!$D:$D,MATCH(N89,stats!$A:$A,0))</f>
        <v>38.01896</v>
      </c>
      <c r="J89" s="757" t="s">
        <v>660</v>
      </c>
      <c r="K89" s="757" t="str">
        <f t="shared" si="0"/>
        <v>1_inc_all_policies_gini__yd_0</v>
      </c>
      <c r="L89" s="757" t="str">
        <f t="shared" si="0"/>
        <v>2_inc_all_policies_gini__yd_0</v>
      </c>
      <c r="M89" s="757" t="str">
        <f t="shared" si="0"/>
        <v>3_inc_all_policies_gini__yd_0</v>
      </c>
      <c r="N89" s="757" t="str">
        <f t="shared" si="0"/>
        <v>4_inc_all_policies_gini__yd_0</v>
      </c>
    </row>
    <row r="90" spans="1:14">
      <c r="A90" s="375" t="s">
        <v>1033</v>
      </c>
      <c r="B90" s="375"/>
      <c r="C90" s="369">
        <f>100*INDEX(stats!$D:$D,MATCH(K90,stats!$A:$A,0))</f>
        <v>37.892769999999999</v>
      </c>
      <c r="D90" s="369">
        <f>100*INDEX(stats!$D:$D,MATCH(L90,stats!$A:$A,0))</f>
        <v>37.892769999999999</v>
      </c>
      <c r="E90" s="369">
        <f>100*INDEX(stats!$D:$D,MATCH(M90,stats!$A:$A,0))</f>
        <v>37.892769999999999</v>
      </c>
      <c r="F90" s="708">
        <f>100*INDEX(stats!$D:$D,MATCH(N90,stats!$A:$A,0))</f>
        <v>37.729320000000001</v>
      </c>
      <c r="J90" s="757" t="s">
        <v>1034</v>
      </c>
      <c r="K90" s="757" t="str">
        <f t="shared" si="0"/>
        <v>1_inc_am_new_pnbsf_gini__yd_0</v>
      </c>
      <c r="L90" s="757" t="str">
        <f t="shared" si="0"/>
        <v>2_inc_am_new_pnbsf_gini__yd_0</v>
      </c>
      <c r="M90" s="757" t="str">
        <f t="shared" si="0"/>
        <v>3_inc_am_new_pnbsf_gini__yd_0</v>
      </c>
      <c r="N90" s="757" t="str">
        <f t="shared" si="0"/>
        <v>4_inc_am_new_pnbsf_gini__yd_0</v>
      </c>
    </row>
    <row r="91" spans="1:14">
      <c r="A91" s="830" t="s">
        <v>25903</v>
      </c>
      <c r="B91" s="830"/>
      <c r="C91" s="369">
        <f>100*INDEX(stats!$D:$D,MATCH(K91,stats!$A:$A,0))</f>
        <v>37.892769999999999</v>
      </c>
      <c r="D91" s="369">
        <f>100*INDEX(stats!$D:$D,MATCH(L91,stats!$A:$A,0))</f>
        <v>37.892769999999999</v>
      </c>
      <c r="E91" s="369">
        <f>100*INDEX(stats!$D:$D,MATCH(M91,stats!$A:$A,0))</f>
        <v>37.892769999999999</v>
      </c>
      <c r="F91" s="708">
        <f>100*INDEX(stats!$D:$D,MATCH(N91,stats!$A:$A,0))</f>
        <v>37.838100000000004</v>
      </c>
      <c r="J91" s="757" t="s">
        <v>25905</v>
      </c>
      <c r="K91" s="757" t="str">
        <f t="shared" si="0"/>
        <v>1_inc_am_pnbsf_newbenefs_gini__yd_0</v>
      </c>
      <c r="L91" s="757" t="str">
        <f t="shared" si="0"/>
        <v>2_inc_am_pnbsf_newbenefs_gini__yd_0</v>
      </c>
      <c r="M91" s="757" t="str">
        <f t="shared" si="0"/>
        <v>3_inc_am_pnbsf_newbenefs_gini__yd_0</v>
      </c>
      <c r="N91" s="757" t="str">
        <f t="shared" si="0"/>
        <v>4_inc_am_pnbsf_newbenefs_gini__yd_0</v>
      </c>
    </row>
    <row r="92" spans="1:14">
      <c r="A92" s="830" t="s">
        <v>25904</v>
      </c>
      <c r="B92" s="830"/>
      <c r="C92" s="369">
        <f>100*INDEX(stats!$D:$D,MATCH(K92,stats!$A:$A,0))</f>
        <v>37.892769999999999</v>
      </c>
      <c r="D92" s="369">
        <f>100*INDEX(stats!$D:$D,MATCH(L92,stats!$A:$A,0))</f>
        <v>37.892769999999999</v>
      </c>
      <c r="E92" s="369">
        <f>100*INDEX(stats!$D:$D,MATCH(M92,stats!$A:$A,0))</f>
        <v>37.892769999999999</v>
      </c>
      <c r="F92" s="708">
        <f>100*INDEX(stats!$D:$D,MATCH(N92,stats!$A:$A,0))</f>
        <v>37.782879999999999</v>
      </c>
      <c r="J92" s="757" t="s">
        <v>25906</v>
      </c>
      <c r="K92" s="757" t="str">
        <f t="shared" si="0"/>
        <v>1_inc_am_pnbsf_transferinc_gini__yd_0</v>
      </c>
      <c r="L92" s="757" t="str">
        <f t="shared" si="0"/>
        <v>2_inc_am_pnbsf_transferinc_gini__yd_0</v>
      </c>
      <c r="M92" s="757" t="str">
        <f t="shared" si="0"/>
        <v>3_inc_am_pnbsf_transferinc_gini__yd_0</v>
      </c>
      <c r="N92" s="757" t="str">
        <f t="shared" si="0"/>
        <v>4_inc_am_pnbsf_transferinc_gini__yd_0</v>
      </c>
    </row>
    <row r="93" spans="1:14">
      <c r="A93" s="375" t="s">
        <v>1052</v>
      </c>
      <c r="B93" s="375"/>
      <c r="C93" s="369">
        <f>100*INDEX(stats!$D:$D,MATCH(K93,stats!$A:$A,0))</f>
        <v>37.892769999999999</v>
      </c>
      <c r="D93" s="369">
        <f>100*INDEX(stats!$D:$D,MATCH(L93,stats!$A:$A,0))</f>
        <v>37.892769999999999</v>
      </c>
      <c r="E93" s="761">
        <f>100*INDEX(stats!$D:$D,MATCH(M93,stats!$A:$A,0))</f>
        <v>37.892769999999999</v>
      </c>
      <c r="F93" s="761">
        <f>100*INDEX(stats!$D:$D,MATCH(N93,stats!$A:$A,0))</f>
        <v>37.895769999999999</v>
      </c>
      <c r="J93" s="757" t="s">
        <v>1056</v>
      </c>
      <c r="K93" s="757" t="str">
        <f t="shared" si="0"/>
        <v>1_inc_subs_public_transport_gini__yd_0</v>
      </c>
      <c r="L93" s="757" t="str">
        <f t="shared" si="0"/>
        <v>2_inc_subs_public_transport_gini__yd_0</v>
      </c>
      <c r="M93" s="757" t="str">
        <f t="shared" si="0"/>
        <v>3_inc_subs_public_transport_gini__yd_0</v>
      </c>
      <c r="N93" s="757" t="str">
        <f t="shared" si="0"/>
        <v>4_inc_subs_public_transport_gini__yd_0</v>
      </c>
    </row>
    <row r="94" spans="1:14">
      <c r="A94" s="375" t="s">
        <v>1053</v>
      </c>
      <c r="B94" s="375"/>
      <c r="C94" s="369">
        <f>100*INDEX(stats!$D:$D,MATCH(K94,stats!$A:$A,0))</f>
        <v>37.892769999999999</v>
      </c>
      <c r="D94" s="369">
        <f>100*INDEX(stats!$D:$D,MATCH(L94,stats!$A:$A,0))</f>
        <v>37.892769999999999</v>
      </c>
      <c r="E94" s="369">
        <f>100*INDEX(stats!$D:$D,MATCH(M94,stats!$A:$A,0))</f>
        <v>37.892769999999999</v>
      </c>
      <c r="F94" s="369">
        <f>100*INDEX(stats!$D:$D,MATCH(N94,stats!$A:$A,0))</f>
        <v>37.892769999999999</v>
      </c>
      <c r="J94" s="757" t="s">
        <v>1057</v>
      </c>
      <c r="K94" s="757" t="str">
        <f t="shared" si="0"/>
        <v>1_inc_am_delayed_pnbsf_gini__yd_0</v>
      </c>
      <c r="L94" s="757" t="str">
        <f t="shared" si="0"/>
        <v>2_inc_am_delayed_pnbsf_gini__yd_0</v>
      </c>
      <c r="M94" s="757" t="str">
        <f t="shared" si="0"/>
        <v>3_inc_am_delayed_pnbsf_gini__yd_0</v>
      </c>
      <c r="N94" s="757" t="str">
        <f t="shared" si="0"/>
        <v>4_inc_am_delayed_pnbsf_gini__yd_0</v>
      </c>
    </row>
    <row r="95" spans="1:14">
      <c r="A95" s="375" t="s">
        <v>1055</v>
      </c>
      <c r="B95" s="375"/>
      <c r="C95" s="369">
        <f>100*INDEX(stats!$D:$D,MATCH(K95,stats!$A:$A,0))</f>
        <v>38.126870000000004</v>
      </c>
      <c r="D95" s="369">
        <f>100*INDEX(stats!$D:$D,MATCH(L95,stats!$A:$A,0))</f>
        <v>38.01896</v>
      </c>
      <c r="E95" s="369">
        <f>100*INDEX(stats!$D:$D,MATCH(M95,stats!$A:$A,0))</f>
        <v>37.994019999999999</v>
      </c>
      <c r="F95" s="369">
        <f>100*INDEX(stats!$D:$D,MATCH(N95,stats!$A:$A,0))</f>
        <v>37.85951</v>
      </c>
      <c r="J95" s="757" t="s">
        <v>1035</v>
      </c>
      <c r="K95" s="757" t="str">
        <f t="shared" si="0"/>
        <v>1_inc_all_policies_miti_gini__yd_0</v>
      </c>
      <c r="L95" s="757" t="str">
        <f t="shared" si="0"/>
        <v>2_inc_all_policies_miti_gini__yd_0</v>
      </c>
      <c r="M95" s="757" t="str">
        <f t="shared" si="0"/>
        <v>3_inc_all_policies_miti_gini__yd_0</v>
      </c>
      <c r="N95" s="757" t="str">
        <f t="shared" si="0"/>
        <v>4_inc_all_policies_miti_gini__yd_0</v>
      </c>
    </row>
    <row r="96" spans="1:14">
      <c r="A96" s="848" t="s">
        <v>661</v>
      </c>
      <c r="B96" s="848"/>
      <c r="C96" s="485">
        <f>100*INDEX(stats!$D:$D,MATCH(K96,stats!$A:$A,0))</f>
        <v>38.517863561477284</v>
      </c>
      <c r="D96" s="485">
        <f>100*INDEX(stats!$D:$D,MATCH(L96,stats!$A:$A,0))</f>
        <v>38.517863561477284</v>
      </c>
      <c r="E96" s="485">
        <f>100*INDEX(stats!$D:$D,MATCH(M96,stats!$A:$A,0))</f>
        <v>38.517863561477284</v>
      </c>
      <c r="F96" s="485">
        <f>100*INDEX(stats!$D:$D,MATCH(N96,stats!$A:$A,0))</f>
        <v>38.517863561477284</v>
      </c>
      <c r="J96" s="757" t="s">
        <v>662</v>
      </c>
      <c r="K96" s="757" t="str">
        <f t="shared" si="0"/>
        <v>1_yd_pc_fgt0__yd_0</v>
      </c>
      <c r="L96" s="757" t="str">
        <f t="shared" si="0"/>
        <v>2_yd_pc_fgt0__yd_0</v>
      </c>
      <c r="M96" s="757" t="str">
        <f t="shared" si="0"/>
        <v>3_yd_pc_fgt0__yd_0</v>
      </c>
      <c r="N96" s="757" t="str">
        <f t="shared" si="0"/>
        <v>4_yd_pc_fgt0__yd_0</v>
      </c>
    </row>
    <row r="97" spans="1:14">
      <c r="A97" s="827" t="s">
        <v>1058</v>
      </c>
      <c r="B97" s="827"/>
      <c r="C97" s="369">
        <f>100*INDEX(stats!$D:$D,MATCH(K97,stats!$A:$A,0))</f>
        <v>38.001512100901252</v>
      </c>
      <c r="D97" s="708">
        <f>100*INDEX(stats!$D:$D,MATCH(L97,stats!$A:$A,0))</f>
        <v>38.250429688431545</v>
      </c>
      <c r="E97" s="369">
        <f>100*INDEX(stats!$D:$D,MATCH(M97,stats!$A:$A,0))</f>
        <v>38.327150774545522</v>
      </c>
      <c r="F97" s="708">
        <f>100*INDEX(stats!$D:$D,MATCH(N97,stats!$A:$A,0))</f>
        <v>38.250429688431545</v>
      </c>
      <c r="J97" s="757" t="s">
        <v>1072</v>
      </c>
      <c r="K97" s="757" t="str">
        <f t="shared" si="0"/>
        <v>1_inc_all_elec_noST_fgt0__yd_0</v>
      </c>
      <c r="L97" s="757" t="str">
        <f t="shared" si="0"/>
        <v>2_inc_all_elec_noST_fgt0__yd_0</v>
      </c>
      <c r="M97" s="757" t="str">
        <f t="shared" si="0"/>
        <v>3_inc_all_elec_noST_fgt0__yd_0</v>
      </c>
      <c r="N97" s="757" t="str">
        <f t="shared" si="0"/>
        <v>4_inc_all_elec_noST_fgt0__yd_0</v>
      </c>
    </row>
    <row r="98" spans="1:14">
      <c r="A98" s="827" t="s">
        <v>1087</v>
      </c>
      <c r="B98" s="827"/>
      <c r="C98" s="369">
        <f>100*INDEX(stats!$D:$D,MATCH(K98,stats!$A:$A,0))</f>
        <v>38.517863561477284</v>
      </c>
      <c r="D98" s="708">
        <f>100*INDEX(stats!$D:$D,MATCH(L98,stats!$A:$A,0))</f>
        <v>38.513102945471076</v>
      </c>
      <c r="E98" s="369">
        <f>100*INDEX(stats!$D:$D,MATCH(M98,stats!$A:$A,0))</f>
        <v>38.517863561477284</v>
      </c>
      <c r="F98" s="708">
        <f>100*INDEX(stats!$D:$D,MATCH(N98,stats!$A:$A,0))</f>
        <v>38.513102945471076</v>
      </c>
      <c r="J98" s="757" t="s">
        <v>1090</v>
      </c>
      <c r="K98" s="757" t="str">
        <f t="shared" si="0"/>
        <v>1_inc_social_tranche_fgt0__yd_0</v>
      </c>
      <c r="L98" s="757" t="str">
        <f t="shared" si="0"/>
        <v>2_inc_social_tranche_fgt0__yd_0</v>
      </c>
      <c r="M98" s="757" t="str">
        <f t="shared" si="0"/>
        <v>3_inc_social_tranche_fgt0__yd_0</v>
      </c>
      <c r="N98" s="757" t="str">
        <f t="shared" si="0"/>
        <v>4_inc_social_tranche_fgt0__yd_0</v>
      </c>
    </row>
    <row r="99" spans="1:14">
      <c r="A99" s="827" t="s">
        <v>1061</v>
      </c>
      <c r="B99" s="827"/>
      <c r="C99" s="369">
        <f>100*INDEX(stats!$D:$D,MATCH(K99,stats!$A:$A,0))</f>
        <v>38.001512100901252</v>
      </c>
      <c r="D99" s="708">
        <f>100*INDEX(stats!$D:$D,MATCH(L99,stats!$A:$A,0))</f>
        <v>38.208022620779083</v>
      </c>
      <c r="E99" s="369">
        <f>100*INDEX(stats!$D:$D,MATCH(M99,stats!$A:$A,0))</f>
        <v>38.327150774545522</v>
      </c>
      <c r="F99" s="708">
        <f>100*INDEX(stats!$D:$D,MATCH(N99,stats!$A:$A,0))</f>
        <v>38.208022620779083</v>
      </c>
      <c r="J99" s="757" t="s">
        <v>663</v>
      </c>
      <c r="K99" s="757" t="str">
        <f t="shared" si="0"/>
        <v>1_inc_all_elec_fgt0__yd_0</v>
      </c>
      <c r="L99" s="757" t="str">
        <f t="shared" si="0"/>
        <v>2_inc_all_elec_fgt0__yd_0</v>
      </c>
      <c r="M99" s="757" t="str">
        <f t="shared" si="0"/>
        <v>3_inc_all_elec_fgt0__yd_0</v>
      </c>
      <c r="N99" s="757" t="str">
        <f t="shared" si="0"/>
        <v>4_inc_all_elec_fgt0__yd_0</v>
      </c>
    </row>
    <row r="100" spans="1:14">
      <c r="A100" s="827" t="s">
        <v>664</v>
      </c>
      <c r="B100" s="827"/>
      <c r="C100" s="369">
        <f>100*INDEX(stats!$D:$D,MATCH(K100,stats!$A:$A,0))</f>
        <v>38.18610498899973</v>
      </c>
      <c r="D100" s="762">
        <f>100*INDEX(stats!$D:$D,MATCH(L100,stats!$A:$A,0))</f>
        <v>38.314735585574937</v>
      </c>
      <c r="E100" s="762">
        <f>100*INDEX(stats!$D:$D,MATCH(M100,stats!$A:$A,0))</f>
        <v>38.314735585574937</v>
      </c>
      <c r="F100" s="762">
        <f>100*INDEX(stats!$D:$D,MATCH(N100,stats!$A:$A,0))</f>
        <v>38.314735585574937</v>
      </c>
      <c r="J100" s="757" t="s">
        <v>665</v>
      </c>
      <c r="K100" s="757" t="str">
        <f t="shared" si="0"/>
        <v>1_inc_all_fuel_fgt0__yd_0</v>
      </c>
      <c r="L100" s="757" t="str">
        <f t="shared" si="0"/>
        <v>2_inc_all_fuel_fgt0__yd_0</v>
      </c>
      <c r="M100" s="757" t="str">
        <f t="shared" si="0"/>
        <v>3_inc_all_fuel_fgt0__yd_0</v>
      </c>
      <c r="N100" s="757" t="str">
        <f t="shared" si="0"/>
        <v>4_inc_all_fuel_fgt0__yd_0</v>
      </c>
    </row>
    <row r="101" spans="1:14">
      <c r="A101" s="827" t="s">
        <v>1064</v>
      </c>
      <c r="B101" s="827"/>
      <c r="C101" s="369">
        <f>100*INDEX(stats!$D:$D,MATCH(K101,stats!$A:$A,0))</f>
        <v>37.519280470675774</v>
      </c>
      <c r="D101" s="369">
        <f>100*INDEX(stats!$D:$D,MATCH(L101,stats!$A:$A,0))</f>
        <v>38.035055653621896</v>
      </c>
      <c r="E101" s="369">
        <f>100*INDEX(stats!$D:$D,MATCH(M101,stats!$A:$A,0))</f>
        <v>38.097444780219227</v>
      </c>
      <c r="F101" s="369">
        <f>100*INDEX(stats!$D:$D,MATCH(N101,stats!$A:$A,0))</f>
        <v>38.035055653621896</v>
      </c>
      <c r="J101" s="757" t="s">
        <v>666</v>
      </c>
      <c r="K101" s="757" t="str">
        <f t="shared" si="0"/>
        <v>1_inc_all_policies_fgt0__yd_0</v>
      </c>
      <c r="L101" s="757" t="str">
        <f t="shared" si="0"/>
        <v>2_inc_all_policies_fgt0__yd_0</v>
      </c>
      <c r="M101" s="757" t="str">
        <f t="shared" si="0"/>
        <v>3_inc_all_policies_fgt0__yd_0</v>
      </c>
      <c r="N101" s="757" t="str">
        <f t="shared" si="0"/>
        <v>4_inc_all_policies_fgt0__yd_0</v>
      </c>
    </row>
    <row r="102" spans="1:14">
      <c r="A102" s="827" t="s">
        <v>1013</v>
      </c>
      <c r="B102" s="827"/>
      <c r="C102" s="762">
        <f>100*INDEX(stats!$D:$D,MATCH(K102,stats!$A:$A,0))</f>
        <v>38.517863561477284</v>
      </c>
      <c r="D102" s="762">
        <f>100*INDEX(stats!$D:$D,MATCH(L102,stats!$A:$A,0))</f>
        <v>38.517863561477284</v>
      </c>
      <c r="E102" s="762">
        <f>100*INDEX(stats!$D:$D,MATCH(M102,stats!$A:$A,0))</f>
        <v>38.517863561477284</v>
      </c>
      <c r="F102" s="708">
        <f>100*INDEX(stats!$D:$D,MATCH(N102,stats!$A:$A,0))</f>
        <v>38.060186690383972</v>
      </c>
      <c r="G102" s="355"/>
      <c r="J102" s="757" t="s">
        <v>1016</v>
      </c>
      <c r="K102" s="757" t="str">
        <f t="shared" si="0"/>
        <v>1_inc_am_new_pnbsf_fgt0__yd_0</v>
      </c>
      <c r="L102" s="757" t="str">
        <f t="shared" si="0"/>
        <v>2_inc_am_new_pnbsf_fgt0__yd_0</v>
      </c>
      <c r="M102" s="757" t="str">
        <f t="shared" si="0"/>
        <v>3_inc_am_new_pnbsf_fgt0__yd_0</v>
      </c>
      <c r="N102" s="757" t="str">
        <f t="shared" si="0"/>
        <v>4_inc_am_new_pnbsf_fgt0__yd_0</v>
      </c>
    </row>
    <row r="103" spans="1:14">
      <c r="A103" s="830" t="s">
        <v>25899</v>
      </c>
      <c r="B103" s="830"/>
      <c r="C103" s="762">
        <f>100*INDEX(stats!$D:$D,MATCH(K103,stats!$A:$A,0))</f>
        <v>38.517863561477284</v>
      </c>
      <c r="D103" s="762">
        <f>100*INDEX(stats!$D:$D,MATCH(L103,stats!$A:$A,0))</f>
        <v>38.517863561477284</v>
      </c>
      <c r="E103" s="762">
        <f>100*INDEX(stats!$D:$D,MATCH(M103,stats!$A:$A,0))</f>
        <v>38.517863561477284</v>
      </c>
      <c r="F103" s="708">
        <f>100*INDEX(stats!$D:$D,MATCH(N103,stats!$A:$A,0))</f>
        <v>38.326261287145016</v>
      </c>
      <c r="G103" s="299"/>
      <c r="J103" s="757" t="s">
        <v>25901</v>
      </c>
      <c r="K103" s="757" t="str">
        <f t="shared" si="0"/>
        <v>1_inc_am_pnbsf_newbenefs_fgt0__yd_0</v>
      </c>
      <c r="L103" s="757" t="str">
        <f t="shared" si="0"/>
        <v>2_inc_am_pnbsf_newbenefs_fgt0__yd_0</v>
      </c>
      <c r="M103" s="757" t="str">
        <f t="shared" si="0"/>
        <v>3_inc_am_pnbsf_newbenefs_fgt0__yd_0</v>
      </c>
      <c r="N103" s="757" t="str">
        <f t="shared" si="0"/>
        <v>4_inc_am_pnbsf_newbenefs_fgt0__yd_0</v>
      </c>
    </row>
    <row r="104" spans="1:14">
      <c r="A104" s="830" t="s">
        <v>25900</v>
      </c>
      <c r="B104" s="830"/>
      <c r="C104" s="762">
        <f>100*INDEX(stats!$D:$D,MATCH(K104,stats!$A:$A,0))</f>
        <v>38.517863561477284</v>
      </c>
      <c r="D104" s="762">
        <f>100*INDEX(stats!$D:$D,MATCH(L104,stats!$A:$A,0))</f>
        <v>38.517863561477284</v>
      </c>
      <c r="E104" s="762">
        <f>100*INDEX(stats!$D:$D,MATCH(M104,stats!$A:$A,0))</f>
        <v>38.517863561477284</v>
      </c>
      <c r="F104" s="708">
        <f>100*INDEX(stats!$D:$D,MATCH(N104,stats!$A:$A,0))</f>
        <v>38.245431033791846</v>
      </c>
      <c r="G104" s="355"/>
      <c r="J104" s="757" t="s">
        <v>25902</v>
      </c>
      <c r="K104" s="757" t="str">
        <f t="shared" si="0"/>
        <v>1_inc_am_pnbsf_transferinc_fgt0__yd_0</v>
      </c>
      <c r="L104" s="757" t="str">
        <f t="shared" si="0"/>
        <v>2_inc_am_pnbsf_transferinc_fgt0__yd_0</v>
      </c>
      <c r="M104" s="757" t="str">
        <f t="shared" si="0"/>
        <v>3_inc_am_pnbsf_transferinc_fgt0__yd_0</v>
      </c>
      <c r="N104" s="757" t="str">
        <f t="shared" si="0"/>
        <v>4_inc_am_pnbsf_transferinc_fgt0__yd_0</v>
      </c>
    </row>
    <row r="105" spans="1:14">
      <c r="A105" s="375" t="s">
        <v>1066</v>
      </c>
      <c r="B105" s="375"/>
      <c r="C105" s="762">
        <f>100*INDEX(stats!$D:$D,MATCH(K105,stats!$A:$A,0))</f>
        <v>38.517863561477284</v>
      </c>
      <c r="D105" s="762">
        <f>100*INDEX(stats!$D:$D,MATCH(L105,stats!$A:$A,0))</f>
        <v>38.517863561477284</v>
      </c>
      <c r="E105" s="768">
        <f>100*INDEX(stats!$D:$D,MATCH(M105,stats!$A:$A,0))</f>
        <v>38.517863561477284</v>
      </c>
      <c r="F105" s="768">
        <f>100*INDEX(stats!$D:$D,MATCH(N105,stats!$A:$A,0))</f>
        <v>38.517863561477284</v>
      </c>
      <c r="J105" s="757" t="s">
        <v>1073</v>
      </c>
      <c r="K105" s="757" t="str">
        <f t="shared" si="0"/>
        <v>1_inc_subs_public_transport_fgt0__yd_0</v>
      </c>
      <c r="L105" s="757" t="str">
        <f t="shared" si="0"/>
        <v>2_inc_subs_public_transport_fgt0__yd_0</v>
      </c>
      <c r="M105" s="757" t="str">
        <f t="shared" si="0"/>
        <v>3_inc_subs_public_transport_fgt0__yd_0</v>
      </c>
      <c r="N105" s="757" t="str">
        <f t="shared" si="0"/>
        <v>4_inc_subs_public_transport_fgt0__yd_0</v>
      </c>
    </row>
    <row r="106" spans="1:14">
      <c r="A106" s="375" t="s">
        <v>1067</v>
      </c>
      <c r="B106" s="375"/>
      <c r="C106" s="762">
        <f>100*INDEX(stats!$D:$D,MATCH(K106,stats!$A:$A,0))</f>
        <v>38.517863561477284</v>
      </c>
      <c r="D106" s="762">
        <f>100*INDEX(stats!$D:$D,MATCH(L106,stats!$A:$A,0))</f>
        <v>38.517863561477284</v>
      </c>
      <c r="E106" s="762">
        <f>100*INDEX(stats!$D:$D,MATCH(M106,stats!$A:$A,0))</f>
        <v>38.517863561477284</v>
      </c>
      <c r="F106" s="762">
        <f>100*INDEX(stats!$D:$D,MATCH(N106,stats!$A:$A,0))</f>
        <v>38.517863561477284</v>
      </c>
      <c r="J106" s="757" t="s">
        <v>1078</v>
      </c>
      <c r="K106" s="757" t="str">
        <f t="shared" si="0"/>
        <v>1_inc_am_delayed_pnbsf_fgt0__yd_0</v>
      </c>
      <c r="L106" s="757" t="str">
        <f t="shared" si="0"/>
        <v>2_inc_am_delayed_pnbsf_fgt0__yd_0</v>
      </c>
      <c r="M106" s="757" t="str">
        <f t="shared" si="0"/>
        <v>3_inc_am_delayed_pnbsf_fgt0__yd_0</v>
      </c>
      <c r="N106" s="757" t="str">
        <f t="shared" si="0"/>
        <v>4_inc_am_delayed_pnbsf_fgt0__yd_0</v>
      </c>
    </row>
    <row r="107" spans="1:14">
      <c r="A107" s="829" t="s">
        <v>1074</v>
      </c>
      <c r="B107" s="829"/>
      <c r="C107" s="763">
        <f>100*INDEX(stats!$D:$D,MATCH(K107,stats!$A:$A,0))</f>
        <v>37.519280470675774</v>
      </c>
      <c r="D107" s="763">
        <f>100*INDEX(stats!$D:$D,MATCH(L107,stats!$A:$A,0))</f>
        <v>38.035055653621896</v>
      </c>
      <c r="E107" s="763">
        <f>100*INDEX(stats!$D:$D,MATCH(M107,stats!$A:$A,0))</f>
        <v>38.097444780219227</v>
      </c>
      <c r="F107" s="763">
        <f>100*INDEX(stats!$D:$D,MATCH(N107,stats!$A:$A,0))</f>
        <v>37.69668232919043</v>
      </c>
      <c r="J107" s="757" t="s">
        <v>1011</v>
      </c>
      <c r="K107" s="757" t="str">
        <f t="shared" si="0"/>
        <v>1_inc_all_policies_miti_fgt0__yd_0</v>
      </c>
      <c r="L107" s="757" t="str">
        <f t="shared" si="0"/>
        <v>2_inc_all_policies_miti_fgt0__yd_0</v>
      </c>
      <c r="M107" s="757" t="str">
        <f t="shared" si="0"/>
        <v>3_inc_all_policies_miti_fgt0__yd_0</v>
      </c>
      <c r="N107" s="757" t="str">
        <f t="shared" si="0"/>
        <v>4_inc_all_policies_miti_fgt0__yd_0</v>
      </c>
    </row>
    <row r="108" spans="1:14">
      <c r="A108" s="828" t="s">
        <v>1059</v>
      </c>
      <c r="B108" s="827"/>
      <c r="C108" s="762">
        <f>INDEX(stats!$D:$D,MATCH(K108,stats!$A:$A,0))/1000000000</f>
        <v>133.90171020927642</v>
      </c>
      <c r="D108" s="708">
        <f>INDEX(stats!$D:$D,MATCH(L108,stats!$A:$A,0))/1000000000</f>
        <v>76.681192891450777</v>
      </c>
      <c r="E108" s="762">
        <f>INDEX(stats!$D:$D,MATCH(M108,stats!$A:$A,0))/1000000000</f>
        <v>56.19709260293687</v>
      </c>
      <c r="F108" s="708">
        <f>INDEX(stats!$D:$D,MATCH(N108,stats!$A:$A,0))/1000000000</f>
        <v>76.681192891450777</v>
      </c>
      <c r="J108" s="757" t="s">
        <v>1077</v>
      </c>
      <c r="K108" s="757" t="str">
        <f t="shared" ref="K108:N111" si="1">_xlfn.CONCAT(K$83,$J108)</f>
        <v>1_all_elec_noST_pc_benefits__yd_0</v>
      </c>
      <c r="L108" s="757" t="str">
        <f t="shared" si="1"/>
        <v>2_all_elec_noST_pc_benefits__yd_0</v>
      </c>
      <c r="M108" s="757" t="str">
        <f t="shared" si="1"/>
        <v>3_all_elec_noST_pc_benefits__yd_0</v>
      </c>
      <c r="N108" s="757" t="str">
        <f t="shared" si="1"/>
        <v>4_all_elec_noST_pc_benefits__yd_0</v>
      </c>
    </row>
    <row r="109" spans="1:14">
      <c r="A109" s="828" t="s">
        <v>1086</v>
      </c>
      <c r="B109" s="827"/>
      <c r="C109" s="762">
        <f>INDEX(stats!$D:$D,MATCH(K109,stats!$A:$A,0))/1000000000</f>
        <v>0</v>
      </c>
      <c r="D109" s="708">
        <f>INDEX(stats!$D:$D,MATCH(L109,stats!$A:$A,0))/1000000000</f>
        <v>4.0968200577027813</v>
      </c>
      <c r="E109" s="762">
        <f>INDEX(stats!$D:$D,MATCH(M109,stats!$A:$A,0))/1000000000</f>
        <v>0</v>
      </c>
      <c r="F109" s="708">
        <f>INDEX(stats!$D:$D,MATCH(N109,stats!$A:$A,0))/1000000000</f>
        <v>4.0968200577027813</v>
      </c>
      <c r="J109" s="757" t="s">
        <v>1091</v>
      </c>
      <c r="K109" s="757" t="str">
        <f t="shared" si="1"/>
        <v>1_social_tranche_pc_benefits__yd_0</v>
      </c>
      <c r="L109" s="757" t="str">
        <f t="shared" si="1"/>
        <v>2_social_tranche_pc_benefits__yd_0</v>
      </c>
      <c r="M109" s="757" t="str">
        <f t="shared" si="1"/>
        <v>3_social_tranche_pc_benefits__yd_0</v>
      </c>
      <c r="N109" s="757" t="str">
        <f t="shared" si="1"/>
        <v>4_social_tranche_pc_benefits__yd_0</v>
      </c>
    </row>
    <row r="110" spans="1:14">
      <c r="A110" s="828" t="s">
        <v>1062</v>
      </c>
      <c r="B110" s="827"/>
      <c r="C110" s="762">
        <f>INDEX(stats!$D:$D,MATCH(K110,stats!$A:$A,0))/1000000000</f>
        <v>133.90171020927642</v>
      </c>
      <c r="D110" s="708">
        <f>INDEX(stats!$D:$D,MATCH(L110,stats!$A:$A,0))/1000000000</f>
        <v>80.778012949153549</v>
      </c>
      <c r="E110" s="762">
        <f>INDEX(stats!$D:$D,MATCH(M110,stats!$A:$A,0))/1000000000</f>
        <v>56.19709260293687</v>
      </c>
      <c r="F110" s="708">
        <f>INDEX(stats!$D:$D,MATCH(N110,stats!$A:$A,0))/1000000000</f>
        <v>80.778012949153549</v>
      </c>
      <c r="J110" s="757" t="s">
        <v>667</v>
      </c>
      <c r="K110" s="757" t="str">
        <f t="shared" si="1"/>
        <v>1_all_elec_pc_benefits__yd_0</v>
      </c>
      <c r="L110" s="757" t="str">
        <f t="shared" si="1"/>
        <v>2_all_elec_pc_benefits__yd_0</v>
      </c>
      <c r="M110" s="757" t="str">
        <f t="shared" si="1"/>
        <v>3_all_elec_pc_benefits__yd_0</v>
      </c>
      <c r="N110" s="757" t="str">
        <f t="shared" si="1"/>
        <v>4_all_elec_pc_benefits__yd_0</v>
      </c>
    </row>
    <row r="111" spans="1:14">
      <c r="A111" s="828" t="s">
        <v>668</v>
      </c>
      <c r="B111" s="827"/>
      <c r="C111" s="762">
        <f>INDEX(stats!$D:$D,MATCH(K111,stats!$A:$A,0))/1000000000</f>
        <v>77.808740716041171</v>
      </c>
      <c r="D111" s="762">
        <f>INDEX(stats!$D:$D,MATCH(L111,stats!$A:$A,0))/1000000000</f>
        <v>44.808879790705525</v>
      </c>
      <c r="E111" s="762">
        <f>INDEX(stats!$D:$D,MATCH(M111,stats!$A:$A,0))/1000000000</f>
        <v>44.808879790705525</v>
      </c>
      <c r="F111" s="762">
        <f>INDEX(stats!$D:$D,MATCH(N111,stats!$A:$A,0))/1000000000</f>
        <v>44.808879790705525</v>
      </c>
      <c r="J111" s="757" t="s">
        <v>669</v>
      </c>
      <c r="K111" s="757" t="str">
        <f t="shared" si="1"/>
        <v>1_all_fuel_pc_benefits__yd_0</v>
      </c>
      <c r="L111" s="757" t="str">
        <f t="shared" si="1"/>
        <v>2_all_fuel_pc_benefits__yd_0</v>
      </c>
      <c r="M111" s="757" t="str">
        <f t="shared" si="1"/>
        <v>3_all_fuel_pc_benefits__yd_0</v>
      </c>
      <c r="N111" s="757" t="str">
        <f t="shared" si="1"/>
        <v>4_all_fuel_pc_benefits__yd_0</v>
      </c>
    </row>
    <row r="112" spans="1:14">
      <c r="A112" s="828" t="s">
        <v>670</v>
      </c>
      <c r="B112" s="827"/>
      <c r="C112" s="762">
        <f>INDEX(stats!$D:$D,MATCH(K112,stats!$A:$A,0))/1000000000</f>
        <v>211.71045092531759</v>
      </c>
      <c r="D112" s="762">
        <f>INDEX(stats!$D:$D,MATCH(L112,stats!$A:$A,0))/1000000000</f>
        <v>125.58689273985908</v>
      </c>
      <c r="E112" s="762">
        <f>INDEX(stats!$D:$D,MATCH(M112,stats!$A:$A,0))/1000000000</f>
        <v>101.00597239364239</v>
      </c>
      <c r="F112" s="762">
        <f>INDEX(stats!$D:$D,MATCH(N112,stats!$A:$A,0))/1000000000</f>
        <v>125.58689273985908</v>
      </c>
      <c r="J112" s="757" t="s">
        <v>671</v>
      </c>
      <c r="K112" s="757" t="str">
        <f t="shared" ref="K112:N117" si="2">_xlfn.CONCAT(K$83,$J112)</f>
        <v>1_all_policies_pc_benefits__yd_0</v>
      </c>
      <c r="L112" s="757" t="str">
        <f t="shared" si="2"/>
        <v>2_all_policies_pc_benefits__yd_0</v>
      </c>
      <c r="M112" s="757" t="str">
        <f t="shared" si="2"/>
        <v>3_all_policies_pc_benefits__yd_0</v>
      </c>
      <c r="N112" s="757" t="str">
        <f t="shared" si="2"/>
        <v>4_all_policies_pc_benefits__yd_0</v>
      </c>
    </row>
    <row r="113" spans="1:14">
      <c r="A113" s="828" t="s">
        <v>1014</v>
      </c>
      <c r="B113" s="827"/>
      <c r="C113" s="762">
        <f>INDEX(stats!$D:$D,MATCH(K113,stats!$A:$A,0))/1000000000</f>
        <v>0</v>
      </c>
      <c r="D113" s="762">
        <f>INDEX(stats!$D:$D,MATCH(L113,stats!$A:$A,0))/1000000000</f>
        <v>0</v>
      </c>
      <c r="E113" s="762">
        <f>INDEX(stats!$D:$D,MATCH(M113,stats!$A:$A,0))/1000000000</f>
        <v>0</v>
      </c>
      <c r="F113" s="708">
        <f>INDEX(stats!$D:$D,MATCH(N113,stats!$A:$A,0))/1000000000</f>
        <v>25.957428532357959</v>
      </c>
      <c r="J113" s="757" t="s">
        <v>1017</v>
      </c>
      <c r="K113" s="757" t="str">
        <f t="shared" si="2"/>
        <v>1_am_new_pnbsf_pc_benefits__yd_0</v>
      </c>
      <c r="L113" s="757" t="str">
        <f t="shared" si="2"/>
        <v>2_am_new_pnbsf_pc_benefits__yd_0</v>
      </c>
      <c r="M113" s="757" t="str">
        <f t="shared" si="2"/>
        <v>3_am_new_pnbsf_pc_benefits__yd_0</v>
      </c>
      <c r="N113" s="757" t="str">
        <f t="shared" si="2"/>
        <v>4_am_new_pnbsf_pc_benefits__yd_0</v>
      </c>
    </row>
    <row r="114" spans="1:14">
      <c r="A114" s="834" t="s">
        <v>25895</v>
      </c>
      <c r="B114" s="830"/>
      <c r="C114" s="762">
        <f>INDEX(stats!$D:$D,MATCH(K114,stats!$A:$A,0))/1000000000</f>
        <v>0</v>
      </c>
      <c r="D114" s="762">
        <f>INDEX(stats!$D:$D,MATCH(L114,stats!$A:$A,0))/1000000000</f>
        <v>0</v>
      </c>
      <c r="E114" s="762">
        <f>INDEX(stats!$D:$D,MATCH(M114,stats!$A:$A,0))/1000000000</f>
        <v>0</v>
      </c>
      <c r="F114" s="708">
        <f>INDEX(stats!$D:$D,MATCH(N114,stats!$A:$A,0))/1000000000</f>
        <v>10.049456931277637</v>
      </c>
      <c r="J114" s="757" t="s">
        <v>25897</v>
      </c>
      <c r="K114" s="757" t="str">
        <f t="shared" si="2"/>
        <v>1_am_pnbsf_newbenefs_pc_benefits__yd_0</v>
      </c>
      <c r="L114" s="757" t="str">
        <f t="shared" si="2"/>
        <v>2_am_pnbsf_newbenefs_pc_benefits__yd_0</v>
      </c>
      <c r="M114" s="757" t="str">
        <f t="shared" si="2"/>
        <v>3_am_pnbsf_newbenefs_pc_benefits__yd_0</v>
      </c>
      <c r="N114" s="757" t="str">
        <f t="shared" si="2"/>
        <v>4_am_pnbsf_newbenefs_pc_benefits__yd_0</v>
      </c>
    </row>
    <row r="115" spans="1:14">
      <c r="A115" s="834" t="s">
        <v>25896</v>
      </c>
      <c r="B115" s="830"/>
      <c r="C115" s="762">
        <f>INDEX(stats!$D:$D,MATCH(K115,stats!$A:$A,0))/1000000000</f>
        <v>0</v>
      </c>
      <c r="D115" s="762">
        <f>INDEX(stats!$D:$D,MATCH(L115,stats!$A:$A,0))/1000000000</f>
        <v>0</v>
      </c>
      <c r="E115" s="762">
        <f>INDEX(stats!$D:$D,MATCH(M115,stats!$A:$A,0))/1000000000</f>
        <v>0</v>
      </c>
      <c r="F115" s="708">
        <f>INDEX(stats!$D:$D,MATCH(N115,stats!$A:$A,0))/1000000000</f>
        <v>15.907971601080323</v>
      </c>
      <c r="J115" s="757" t="s">
        <v>25898</v>
      </c>
      <c r="K115" s="757" t="str">
        <f t="shared" si="2"/>
        <v>1_am_pnbsf_transferinc_pc_benefits__yd_0</v>
      </c>
      <c r="L115" s="757" t="str">
        <f t="shared" si="2"/>
        <v>2_am_pnbsf_transferinc_pc_benefits__yd_0</v>
      </c>
      <c r="M115" s="757" t="str">
        <f t="shared" si="2"/>
        <v>3_am_pnbsf_transferinc_pc_benefits__yd_0</v>
      </c>
      <c r="N115" s="757" t="str">
        <f t="shared" si="2"/>
        <v>4_am_pnbsf_transferinc_pc_benefits__yd_0</v>
      </c>
    </row>
    <row r="116" spans="1:14">
      <c r="A116" s="747" t="s">
        <v>1068</v>
      </c>
      <c r="B116" s="375"/>
      <c r="C116" s="762">
        <f>INDEX(stats!$D:$D,MATCH(K116,stats!$A:$A,0))/1000000000</f>
        <v>0</v>
      </c>
      <c r="D116" s="762">
        <f>INDEX(stats!$D:$D,MATCH(L116,stats!$A:$A,0))/1000000000</f>
        <v>0</v>
      </c>
      <c r="E116" s="762">
        <f>INDEX(stats!$D:$D,MATCH(M116,stats!$A:$A,0))/1000000000</f>
        <v>0</v>
      </c>
      <c r="F116" s="708">
        <f>INDEX(stats!$D:$D,MATCH(N116,stats!$A:$A,0))/1000000000</f>
        <v>1.7608441076287693</v>
      </c>
      <c r="J116" s="757" t="s">
        <v>1079</v>
      </c>
      <c r="K116" s="757" t="str">
        <f t="shared" si="2"/>
        <v>1_subs_public_transport_pc_benefits__yd_0</v>
      </c>
      <c r="L116" s="757" t="str">
        <f t="shared" si="2"/>
        <v>2_subs_public_transport_pc_benefits__yd_0</v>
      </c>
      <c r="M116" s="757" t="str">
        <f t="shared" si="2"/>
        <v>3_subs_public_transport_pc_benefits__yd_0</v>
      </c>
      <c r="N116" s="757" t="str">
        <f t="shared" si="2"/>
        <v>4_subs_public_transport_pc_benefits__yd_0</v>
      </c>
    </row>
    <row r="117" spans="1:14">
      <c r="A117" s="747" t="s">
        <v>1069</v>
      </c>
      <c r="B117" s="375"/>
      <c r="C117" s="762">
        <f>INDEX(stats!$D:$D,MATCH(K117,stats!$A:$A,0))/1000000000</f>
        <v>0</v>
      </c>
      <c r="D117" s="762">
        <f>INDEX(stats!$D:$D,MATCH(L117,stats!$A:$A,0))/1000000000</f>
        <v>0</v>
      </c>
      <c r="E117" s="762">
        <f>INDEX(stats!$D:$D,MATCH(M117,stats!$A:$A,0))/1000000000</f>
        <v>0</v>
      </c>
      <c r="F117" s="762">
        <f>INDEX(stats!$D:$D,MATCH(N117,stats!$A:$A,0))/1000000000</f>
        <v>0</v>
      </c>
      <c r="J117" s="757" t="s">
        <v>1080</v>
      </c>
      <c r="K117" s="757" t="str">
        <f t="shared" si="2"/>
        <v>1_am_delayed_pnbsf_pc_benefits__yd_0</v>
      </c>
      <c r="L117" s="757" t="str">
        <f t="shared" si="2"/>
        <v>2_am_delayed_pnbsf_pc_benefits__yd_0</v>
      </c>
      <c r="M117" s="757" t="str">
        <f t="shared" si="2"/>
        <v>3_am_delayed_pnbsf_pc_benefits__yd_0</v>
      </c>
      <c r="N117" s="757" t="str">
        <f t="shared" si="2"/>
        <v>4_am_delayed_pnbsf_pc_benefits__yd_0</v>
      </c>
    </row>
    <row r="118" spans="1:14">
      <c r="A118" s="833" t="s">
        <v>1075</v>
      </c>
      <c r="B118" s="829"/>
      <c r="C118" s="763">
        <f>INDEX(stats!$D:$D,MATCH(K118,stats!$A:$A,0))/1000000000</f>
        <v>211.71045092531759</v>
      </c>
      <c r="D118" s="763">
        <f>INDEX(stats!$D:$D,MATCH(L118,stats!$A:$A,0))/1000000000</f>
        <v>125.58689273985908</v>
      </c>
      <c r="E118" s="763">
        <f>INDEX(stats!$D:$D,MATCH(M118,stats!$A:$A,0))/1000000000</f>
        <v>101.00597239364239</v>
      </c>
      <c r="F118" s="763">
        <f>INDEX(stats!$D:$D,MATCH(N118,stats!$A:$A,0))/1000000000</f>
        <v>153.30516537984579</v>
      </c>
      <c r="J118" s="757" t="s">
        <v>1012</v>
      </c>
      <c r="K118" s="757" t="str">
        <f t="shared" ref="K118:N118" si="3">_xlfn.CONCAT(K$83,$J118)</f>
        <v>1_all_policies_miti_pc_benefits__yd_0</v>
      </c>
      <c r="L118" s="757" t="str">
        <f t="shared" si="3"/>
        <v>2_all_policies_miti_pc_benefits__yd_0</v>
      </c>
      <c r="M118" s="757" t="str">
        <f t="shared" si="3"/>
        <v>3_all_policies_miti_pc_benefits__yd_0</v>
      </c>
      <c r="N118" s="757" t="str">
        <f t="shared" si="3"/>
        <v>4_all_policies_miti_pc_benefits__yd_0</v>
      </c>
    </row>
    <row r="119" spans="1:14">
      <c r="A119" s="828" t="s">
        <v>1060</v>
      </c>
      <c r="B119" s="827"/>
      <c r="C119" s="764">
        <f t="shared" ref="C119:F124" si="4">C108/GDP_2022</f>
        <v>8.122639381818406E-3</v>
      </c>
      <c r="D119" s="767">
        <f t="shared" si="4"/>
        <v>4.6515737271125733E-3</v>
      </c>
      <c r="E119" s="764">
        <f t="shared" si="4"/>
        <v>3.4089834760653243E-3</v>
      </c>
      <c r="F119" s="767">
        <f t="shared" si="4"/>
        <v>4.6515737271125733E-3</v>
      </c>
    </row>
    <row r="120" spans="1:14">
      <c r="A120" s="828" t="s">
        <v>1085</v>
      </c>
      <c r="B120" s="827"/>
      <c r="C120" s="764">
        <f t="shared" si="4"/>
        <v>0</v>
      </c>
      <c r="D120" s="767">
        <f t="shared" si="4"/>
        <v>2.4851805020944986E-4</v>
      </c>
      <c r="E120" s="764">
        <f t="shared" si="4"/>
        <v>0</v>
      </c>
      <c r="F120" s="767">
        <f t="shared" si="4"/>
        <v>2.4851805020944986E-4</v>
      </c>
    </row>
    <row r="121" spans="1:14">
      <c r="A121" s="828" t="s">
        <v>1063</v>
      </c>
      <c r="B121" s="827"/>
      <c r="C121" s="764">
        <f t="shared" si="4"/>
        <v>8.122639381818406E-3</v>
      </c>
      <c r="D121" s="767">
        <f t="shared" si="4"/>
        <v>4.9000917773220232E-3</v>
      </c>
      <c r="E121" s="764">
        <f t="shared" si="4"/>
        <v>3.4089834760653243E-3</v>
      </c>
      <c r="F121" s="767">
        <f t="shared" si="4"/>
        <v>4.9000917773220232E-3</v>
      </c>
    </row>
    <row r="122" spans="1:14">
      <c r="A122" s="827" t="s">
        <v>672</v>
      </c>
      <c r="B122" s="827"/>
      <c r="C122" s="765">
        <f t="shared" si="4"/>
        <v>4.7199721392806289E-3</v>
      </c>
      <c r="D122" s="765">
        <f t="shared" si="4"/>
        <v>2.7181607395029132E-3</v>
      </c>
      <c r="E122" s="765">
        <f t="shared" si="4"/>
        <v>2.7181607395029132E-3</v>
      </c>
      <c r="F122" s="765">
        <f t="shared" si="4"/>
        <v>2.7181607395029132E-3</v>
      </c>
    </row>
    <row r="123" spans="1:14">
      <c r="A123" s="827" t="s">
        <v>1065</v>
      </c>
      <c r="B123" s="827"/>
      <c r="C123" s="765">
        <f t="shared" si="4"/>
        <v>1.2842611521099034E-2</v>
      </c>
      <c r="D123" s="765">
        <f t="shared" si="4"/>
        <v>7.6182525168249368E-3</v>
      </c>
      <c r="E123" s="765">
        <f t="shared" si="4"/>
        <v>6.1271442155682379E-3</v>
      </c>
      <c r="F123" s="765">
        <f t="shared" si="4"/>
        <v>7.6182525168249368E-3</v>
      </c>
    </row>
    <row r="124" spans="1:14">
      <c r="A124" s="827" t="s">
        <v>1015</v>
      </c>
      <c r="B124" s="827"/>
      <c r="C124" s="765">
        <f t="shared" si="4"/>
        <v>0</v>
      </c>
      <c r="D124" s="765">
        <f t="shared" si="4"/>
        <v>0</v>
      </c>
      <c r="E124" s="765">
        <f t="shared" si="4"/>
        <v>0</v>
      </c>
      <c r="F124" s="709">
        <f t="shared" si="4"/>
        <v>1.5746089494909287E-3</v>
      </c>
    </row>
    <row r="125" spans="1:14">
      <c r="A125" s="375" t="s">
        <v>1070</v>
      </c>
      <c r="B125" s="375"/>
      <c r="C125" s="765">
        <f t="shared" ref="C125:F127" si="5">C116/GDP_2022</f>
        <v>0</v>
      </c>
      <c r="D125" s="765">
        <f t="shared" si="5"/>
        <v>0</v>
      </c>
      <c r="E125" s="765">
        <f t="shared" si="5"/>
        <v>0</v>
      </c>
      <c r="F125" s="769">
        <f t="shared" si="5"/>
        <v>1.0681492918585194E-4</v>
      </c>
    </row>
    <row r="126" spans="1:14">
      <c r="A126" s="375" t="s">
        <v>1071</v>
      </c>
      <c r="B126" s="375"/>
      <c r="C126" s="765">
        <f t="shared" si="5"/>
        <v>0</v>
      </c>
      <c r="D126" s="765">
        <f t="shared" si="5"/>
        <v>0</v>
      </c>
      <c r="E126" s="765">
        <f t="shared" si="5"/>
        <v>0</v>
      </c>
      <c r="F126" s="765">
        <f t="shared" si="5"/>
        <v>0</v>
      </c>
    </row>
    <row r="127" spans="1:14" ht="15" thickBot="1">
      <c r="A127" s="832" t="s">
        <v>1076</v>
      </c>
      <c r="B127" s="832"/>
      <c r="C127" s="766">
        <f t="shared" si="5"/>
        <v>1.2842611521099034E-2</v>
      </c>
      <c r="D127" s="766">
        <f t="shared" si="5"/>
        <v>7.6182525168249368E-3</v>
      </c>
      <c r="E127" s="766">
        <f t="shared" si="5"/>
        <v>6.1271442155682379E-3</v>
      </c>
      <c r="F127" s="766">
        <f t="shared" si="5"/>
        <v>9.2996763955017162E-3</v>
      </c>
      <c r="J127" s="758"/>
      <c r="K127" s="758"/>
    </row>
    <row r="128" spans="1:14" ht="15" thickTop="1">
      <c r="A128" s="375"/>
      <c r="B128" s="375"/>
      <c r="C128" s="578"/>
      <c r="D128" s="578"/>
      <c r="E128" s="578"/>
      <c r="F128" s="578"/>
    </row>
    <row r="129" spans="1:15">
      <c r="O129" s="759"/>
    </row>
    <row r="130" spans="1:15">
      <c r="D130" s="831" t="s">
        <v>1038</v>
      </c>
      <c r="E130" s="831"/>
      <c r="F130" s="831"/>
      <c r="O130" s="759"/>
    </row>
    <row r="131" spans="1:15">
      <c r="A131" s="577"/>
      <c r="B131" s="577"/>
      <c r="C131" s="746" t="s">
        <v>1043</v>
      </c>
      <c r="D131" s="742" t="s">
        <v>423</v>
      </c>
      <c r="E131" s="741" t="s">
        <v>437</v>
      </c>
      <c r="F131" s="741" t="s">
        <v>447</v>
      </c>
      <c r="O131" s="759"/>
    </row>
    <row r="132" spans="1:15">
      <c r="C132" s="737" t="s">
        <v>1039</v>
      </c>
      <c r="D132" s="743">
        <f t="shared" ref="D132:F133" si="6">$C110-D110</f>
        <v>53.123697260122867</v>
      </c>
      <c r="E132" s="369">
        <f t="shared" si="6"/>
        <v>77.704617606339554</v>
      </c>
      <c r="F132" s="369">
        <f t="shared" si="6"/>
        <v>53.123697260122867</v>
      </c>
      <c r="O132" s="759"/>
    </row>
    <row r="133" spans="1:15">
      <c r="C133" s="737" t="s">
        <v>1040</v>
      </c>
      <c r="D133" s="743">
        <f t="shared" si="6"/>
        <v>32.999860925335646</v>
      </c>
      <c r="E133" s="369">
        <f t="shared" si="6"/>
        <v>32.999860925335646</v>
      </c>
      <c r="F133" s="369">
        <f t="shared" si="6"/>
        <v>32.999860925335646</v>
      </c>
      <c r="O133" s="759"/>
    </row>
    <row r="134" spans="1:15" ht="15.6" customHeight="1">
      <c r="A134" s="577"/>
      <c r="B134" s="577"/>
      <c r="C134" s="739" t="s">
        <v>1041</v>
      </c>
      <c r="D134" s="744">
        <f t="shared" ref="D134:E134" si="7">-$C113+D113</f>
        <v>0</v>
      </c>
      <c r="E134" s="740">
        <f t="shared" si="7"/>
        <v>0</v>
      </c>
      <c r="F134" s="740">
        <f>-$C113+F113</f>
        <v>25.957428532357959</v>
      </c>
      <c r="H134" s="760"/>
      <c r="I134" s="760"/>
      <c r="J134" s="760"/>
      <c r="K134" s="760"/>
      <c r="O134" s="759"/>
    </row>
    <row r="135" spans="1:15" ht="14.4" customHeight="1">
      <c r="C135" s="737" t="s">
        <v>1042</v>
      </c>
      <c r="D135" s="745">
        <f>-D132-D133+D134</f>
        <v>-86.123558185458506</v>
      </c>
      <c r="E135" s="738">
        <f t="shared" ref="E135:F135" si="8">-E132-E133+E134</f>
        <v>-110.70447853167519</v>
      </c>
      <c r="F135" s="738">
        <f t="shared" si="8"/>
        <v>-60.166129653100548</v>
      </c>
      <c r="H135" s="760"/>
      <c r="I135" s="760"/>
      <c r="J135" s="760"/>
      <c r="K135" s="760"/>
      <c r="O135" s="759"/>
    </row>
    <row r="136" spans="1:15" ht="14.4" customHeight="1">
      <c r="H136" s="760"/>
      <c r="I136" s="760"/>
      <c r="J136" s="760"/>
      <c r="K136" s="760"/>
      <c r="O136" s="759"/>
    </row>
    <row r="137" spans="1:15" ht="14.4" customHeight="1">
      <c r="D137" s="831" t="s">
        <v>1044</v>
      </c>
      <c r="E137" s="831"/>
      <c r="F137" s="831"/>
      <c r="H137" s="760"/>
      <c r="I137" s="760"/>
      <c r="J137" s="760"/>
      <c r="K137" s="760"/>
      <c r="O137" s="759"/>
    </row>
    <row r="138" spans="1:15" ht="14.4" customHeight="1">
      <c r="A138" s="577"/>
      <c r="B138" s="746" t="s">
        <v>1043</v>
      </c>
      <c r="C138" s="742" t="s">
        <v>14</v>
      </c>
      <c r="D138" s="742" t="s">
        <v>423</v>
      </c>
      <c r="E138" s="741" t="s">
        <v>437</v>
      </c>
      <c r="F138" s="741" t="s">
        <v>447</v>
      </c>
      <c r="H138" s="760"/>
      <c r="I138" s="760"/>
      <c r="J138" s="760"/>
      <c r="K138" s="760"/>
      <c r="O138" s="759"/>
    </row>
    <row r="139" spans="1:15" ht="14.4" customHeight="1">
      <c r="B139" s="737" t="s">
        <v>1039</v>
      </c>
      <c r="C139" s="743">
        <f>C110</f>
        <v>133.90171020927642</v>
      </c>
      <c r="D139" s="743">
        <f>-D132</f>
        <v>-53.123697260122867</v>
      </c>
      <c r="E139" s="369">
        <f t="shared" ref="E139:F140" si="9">-E132</f>
        <v>-77.704617606339554</v>
      </c>
      <c r="F139" s="369">
        <f t="shared" si="9"/>
        <v>-53.123697260122867</v>
      </c>
      <c r="H139" s="760"/>
      <c r="I139" s="760"/>
      <c r="J139" s="760"/>
      <c r="K139" s="760"/>
      <c r="O139" s="759"/>
    </row>
    <row r="140" spans="1:15" ht="14.4" customHeight="1">
      <c r="B140" s="737" t="s">
        <v>1040</v>
      </c>
      <c r="C140" s="743">
        <f>C111</f>
        <v>77.808740716041171</v>
      </c>
      <c r="D140" s="743">
        <f>-D133</f>
        <v>-32.999860925335646</v>
      </c>
      <c r="E140" s="369">
        <f t="shared" si="9"/>
        <v>-32.999860925335646</v>
      </c>
      <c r="F140" s="369">
        <f t="shared" si="9"/>
        <v>-32.999860925335646</v>
      </c>
      <c r="G140" s="736"/>
      <c r="H140" s="760"/>
      <c r="I140" s="760"/>
      <c r="J140" s="760"/>
      <c r="K140" s="760"/>
      <c r="O140" s="759"/>
    </row>
    <row r="141" spans="1:15" ht="14.4" customHeight="1">
      <c r="A141" s="577"/>
      <c r="B141" s="739" t="s">
        <v>1041</v>
      </c>
      <c r="C141" s="744">
        <f t="shared" ref="C141" si="10">-$C128+C128</f>
        <v>0</v>
      </c>
      <c r="D141" s="744">
        <f>D134</f>
        <v>0</v>
      </c>
      <c r="E141" s="740">
        <f t="shared" ref="E141:F141" si="11">E134</f>
        <v>0</v>
      </c>
      <c r="F141" s="740">
        <f t="shared" si="11"/>
        <v>25.957428532357959</v>
      </c>
      <c r="G141" s="736"/>
      <c r="H141" s="760"/>
      <c r="I141" s="760"/>
      <c r="J141" s="760"/>
      <c r="K141" s="760"/>
      <c r="O141" s="759"/>
    </row>
    <row r="142" spans="1:15">
      <c r="B142" s="737" t="s">
        <v>1042</v>
      </c>
      <c r="C142" s="745">
        <f>-C139-C140+C141</f>
        <v>-211.71045092531759</v>
      </c>
      <c r="D142" s="745">
        <f>D135</f>
        <v>-86.123558185458506</v>
      </c>
      <c r="E142" s="738">
        <f t="shared" ref="E142:F142" si="12">E135</f>
        <v>-110.70447853167519</v>
      </c>
      <c r="F142" s="738">
        <f t="shared" si="12"/>
        <v>-60.166129653100548</v>
      </c>
      <c r="O142" s="759"/>
    </row>
    <row r="143" spans="1:15">
      <c r="O143" s="759"/>
    </row>
    <row r="144" spans="1:15">
      <c r="O144" s="759"/>
    </row>
    <row r="145" spans="2:15">
      <c r="O145" s="759"/>
    </row>
    <row r="146" spans="2:15">
      <c r="B146" s="846" t="s">
        <v>1037</v>
      </c>
      <c r="C146" s="846"/>
      <c r="D146" s="846"/>
      <c r="E146" s="846"/>
      <c r="F146" s="846"/>
      <c r="G146" s="846"/>
      <c r="O146" s="759"/>
    </row>
    <row r="147" spans="2:15">
      <c r="B147" s="846"/>
      <c r="C147" s="846"/>
      <c r="D147" s="846"/>
      <c r="E147" s="846"/>
      <c r="F147" s="846"/>
      <c r="G147" s="846"/>
      <c r="O147" s="759"/>
    </row>
    <row r="148" spans="2:15">
      <c r="B148" s="846"/>
      <c r="C148" s="846"/>
      <c r="D148" s="846"/>
      <c r="E148" s="846"/>
      <c r="F148" s="846"/>
      <c r="G148" s="846"/>
      <c r="O148" s="759"/>
    </row>
    <row r="149" spans="2:15">
      <c r="B149" s="846"/>
      <c r="C149" s="846"/>
      <c r="D149" s="846"/>
      <c r="E149" s="846"/>
      <c r="F149" s="846"/>
      <c r="G149" s="846"/>
      <c r="O149" s="759"/>
    </row>
    <row r="150" spans="2:15">
      <c r="B150" s="846"/>
      <c r="C150" s="846"/>
      <c r="D150" s="846"/>
      <c r="E150" s="846"/>
      <c r="F150" s="846"/>
      <c r="G150" s="846"/>
      <c r="O150" s="759"/>
    </row>
    <row r="151" spans="2:15">
      <c r="B151" s="846"/>
      <c r="C151" s="846"/>
      <c r="D151" s="846"/>
      <c r="E151" s="846"/>
      <c r="F151" s="846"/>
      <c r="G151" s="846"/>
    </row>
  </sheetData>
  <protectedRanges>
    <protectedRange sqref="F32 F35" name="Range1_1"/>
    <protectedRange sqref="E25:F25 F26:F28 E26:E30 E32:E37" name="Range1_2"/>
    <protectedRange sqref="F29:F30" name="Range2_1"/>
  </protectedRanges>
  <mergeCells count="68">
    <mergeCell ref="A63:B63"/>
    <mergeCell ref="A87:B87"/>
    <mergeCell ref="A88:B88"/>
    <mergeCell ref="A89:B89"/>
    <mergeCell ref="A99:B99"/>
    <mergeCell ref="A69:F69"/>
    <mergeCell ref="A71:B71"/>
    <mergeCell ref="A86:B86"/>
    <mergeCell ref="A98:B98"/>
    <mergeCell ref="A85:B85"/>
    <mergeCell ref="A97:B97"/>
    <mergeCell ref="A72:B72"/>
    <mergeCell ref="A73:B73"/>
    <mergeCell ref="A74:B74"/>
    <mergeCell ref="A91:B91"/>
    <mergeCell ref="A92:B92"/>
    <mergeCell ref="B146:G151"/>
    <mergeCell ref="D130:F130"/>
    <mergeCell ref="A25:A27"/>
    <mergeCell ref="A28:A30"/>
    <mergeCell ref="A60:B60"/>
    <mergeCell ref="A61:B61"/>
    <mergeCell ref="A84:B84"/>
    <mergeCell ref="A64:B64"/>
    <mergeCell ref="A65:B65"/>
    <mergeCell ref="A66:B66"/>
    <mergeCell ref="A80:F80"/>
    <mergeCell ref="A62:B62"/>
    <mergeCell ref="A41:B41"/>
    <mergeCell ref="A42:B42"/>
    <mergeCell ref="A45:F45"/>
    <mergeCell ref="A96:B96"/>
    <mergeCell ref="A2:F2"/>
    <mergeCell ref="A4:F5"/>
    <mergeCell ref="A6:F8"/>
    <mergeCell ref="A9:F11"/>
    <mergeCell ref="A59:B59"/>
    <mergeCell ref="A13:F13"/>
    <mergeCell ref="A24:D24"/>
    <mergeCell ref="A31:D31"/>
    <mergeCell ref="A38:D38"/>
    <mergeCell ref="A23:B23"/>
    <mergeCell ref="A40:B40"/>
    <mergeCell ref="A32:A34"/>
    <mergeCell ref="A35:A37"/>
    <mergeCell ref="D137:F137"/>
    <mergeCell ref="A127:B127"/>
    <mergeCell ref="A124:B124"/>
    <mergeCell ref="A113:B113"/>
    <mergeCell ref="A102:B102"/>
    <mergeCell ref="A121:B121"/>
    <mergeCell ref="A122:B122"/>
    <mergeCell ref="A123:B123"/>
    <mergeCell ref="A112:B112"/>
    <mergeCell ref="A118:B118"/>
    <mergeCell ref="A108:B108"/>
    <mergeCell ref="A109:B109"/>
    <mergeCell ref="A120:B120"/>
    <mergeCell ref="A119:B119"/>
    <mergeCell ref="A114:B114"/>
    <mergeCell ref="A115:B115"/>
    <mergeCell ref="A100:B100"/>
    <mergeCell ref="A101:B101"/>
    <mergeCell ref="A110:B110"/>
    <mergeCell ref="A111:B111"/>
    <mergeCell ref="A107:B107"/>
    <mergeCell ref="A103:B103"/>
    <mergeCell ref="A104:B104"/>
  </mergeCells>
  <phoneticPr fontId="50" type="noConversion"/>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A3872-D531-4CED-A464-BCBF1B55485C}">
  <sheetPr codeName="Hoja18">
    <tabColor rgb="FF90ECA6"/>
  </sheetPr>
  <dimension ref="A2:V31"/>
  <sheetViews>
    <sheetView topLeftCell="F1" workbookViewId="0">
      <selection activeCell="Q9" sqref="Q9"/>
    </sheetView>
  </sheetViews>
  <sheetFormatPr baseColWidth="10" defaultColWidth="10.88671875" defaultRowHeight="14.4"/>
  <cols>
    <col min="1" max="1" width="10.88671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2" width="11" style="187" customWidth="1"/>
    <col min="13" max="13" width="11" style="294" customWidth="1"/>
    <col min="14" max="16" width="11" style="294" hidden="1" customWidth="1"/>
    <col min="17" max="17" width="11" style="294" customWidth="1"/>
    <col min="18" max="27" width="11" style="187" customWidth="1"/>
    <col min="28" max="16384" width="10.88671875" style="187"/>
  </cols>
  <sheetData>
    <row r="2" spans="1:22">
      <c r="G2" s="196" t="s">
        <v>673</v>
      </c>
      <c r="H2" s="293" t="s">
        <v>14</v>
      </c>
      <c r="K2" s="294"/>
      <c r="L2" s="294"/>
      <c r="R2" s="294"/>
      <c r="S2" s="294"/>
      <c r="T2" s="294"/>
      <c r="U2" s="294"/>
      <c r="V2" s="294"/>
    </row>
    <row r="3" spans="1:22">
      <c r="K3" s="294"/>
      <c r="L3" s="294"/>
      <c r="R3" s="294"/>
      <c r="S3" s="294"/>
      <c r="T3" s="294"/>
      <c r="U3" s="294"/>
      <c r="V3" s="294"/>
    </row>
    <row r="4" spans="1:22" ht="43.2">
      <c r="I4" s="241" t="str">
        <f ca="1">+B19</f>
        <v>Percentage of population who pays VAT on electricity</v>
      </c>
      <c r="J4" s="241" t="str">
        <f ca="1">+B20</f>
        <v>Percentage of population receiving electricity subsidies</v>
      </c>
      <c r="K4" s="294"/>
      <c r="L4" s="555"/>
      <c r="R4" s="294"/>
      <c r="S4" s="294"/>
      <c r="T4" s="294"/>
      <c r="U4" s="294"/>
      <c r="V4" s="294"/>
    </row>
    <row r="5" spans="1:22">
      <c r="A5" s="187" t="s">
        <v>400</v>
      </c>
      <c r="I5" s="303" t="s">
        <v>425</v>
      </c>
      <c r="J5" s="303" t="s">
        <v>440</v>
      </c>
      <c r="K5" s="294"/>
      <c r="L5" s="294"/>
      <c r="O5" s="294" t="s">
        <v>674</v>
      </c>
      <c r="P5" s="294" t="s">
        <v>675</v>
      </c>
      <c r="R5" s="294"/>
      <c r="S5" s="294"/>
      <c r="T5" s="294"/>
      <c r="U5" s="294"/>
      <c r="V5" s="294"/>
    </row>
    <row r="6" spans="1:22">
      <c r="A6" s="187" t="str">
        <f>labels!I2</f>
        <v>Bottom decile</v>
      </c>
      <c r="H6" s="304" t="str">
        <f t="shared" ref="H6:H15" si="0">+A6</f>
        <v>Bottom decile</v>
      </c>
      <c r="I6" s="244">
        <f>100*INDEX(stats!$D:$D,MATCH(Elec_Coverage!O6,stats!$A:$A,0))</f>
        <v>0.76720863901720193</v>
      </c>
      <c r="J6" s="244">
        <f>100*INDEX(stats!$D:$D,MATCH(Elec_Coverage!P6,stats!$A:$A,0))</f>
        <v>16.720212765615507</v>
      </c>
      <c r="K6" s="294"/>
      <c r="L6" s="294"/>
      <c r="N6" s="294">
        <v>1</v>
      </c>
      <c r="O6" s="555" t="str">
        <f>+_xlfn.CONCAT($B$31,"_",O$5,"_elec_pc_coverage__yd_",$N6)</f>
        <v>1_vat_elec_pc_coverage__yd_1</v>
      </c>
      <c r="P6" s="555" t="str">
        <f>+_xlfn.CONCAT($B$31,"_",P$5,"_elec_direct_pc_coverage__yd_",$N6)</f>
        <v>1_subsidy_elec_direct_pc_coverage__yd_1</v>
      </c>
      <c r="R6" s="294"/>
      <c r="S6" s="294"/>
      <c r="T6" s="294"/>
      <c r="U6" s="294"/>
      <c r="V6" s="294"/>
    </row>
    <row r="7" spans="1:22">
      <c r="A7" s="187">
        <f>labels!I3</f>
        <v>2</v>
      </c>
      <c r="H7" s="298">
        <f t="shared" si="0"/>
        <v>2</v>
      </c>
      <c r="I7" s="244">
        <f>100*INDEX(stats!$D:$D,MATCH(Elec_Coverage!O7,stats!$A:$A,0))</f>
        <v>2.9539031337272346</v>
      </c>
      <c r="J7" s="244">
        <f>100*INDEX(stats!$D:$D,MATCH(Elec_Coverage!P7,stats!$A:$A,0))</f>
        <v>26.77015330337537</v>
      </c>
      <c r="K7" s="294"/>
      <c r="L7" s="294"/>
      <c r="N7" s="294">
        <v>2</v>
      </c>
      <c r="O7" s="555" t="str">
        <f t="shared" ref="O7:O15" si="1">+_xlfn.CONCAT($B$31,"_",O$5,"_elec_pc_coverage__yd_",$N7)</f>
        <v>1_vat_elec_pc_coverage__yd_2</v>
      </c>
      <c r="P7" s="555" t="str">
        <f t="shared" ref="P7:P15" si="2">+_xlfn.CONCAT($B$31,"_",P$5,"_elec_direct_pc_coverage__yd_",$N7)</f>
        <v>1_subsidy_elec_direct_pc_coverage__yd_2</v>
      </c>
      <c r="R7" s="294"/>
      <c r="S7" s="294"/>
      <c r="T7" s="294"/>
      <c r="U7" s="294"/>
      <c r="V7" s="294"/>
    </row>
    <row r="8" spans="1:22">
      <c r="A8" s="187">
        <f>labels!I4</f>
        <v>3</v>
      </c>
      <c r="H8" s="298">
        <f t="shared" si="0"/>
        <v>3</v>
      </c>
      <c r="I8" s="244">
        <f>100*INDEX(stats!$D:$D,MATCH(Elec_Coverage!O8,stats!$A:$A,0))</f>
        <v>4.566171388924162</v>
      </c>
      <c r="J8" s="244">
        <f>100*INDEX(stats!$D:$D,MATCH(Elec_Coverage!P8,stats!$A:$A,0))</f>
        <v>35.14958313444334</v>
      </c>
      <c r="K8" s="294"/>
      <c r="L8" s="294"/>
      <c r="N8" s="294">
        <v>3</v>
      </c>
      <c r="O8" s="555" t="str">
        <f t="shared" si="1"/>
        <v>1_vat_elec_pc_coverage__yd_3</v>
      </c>
      <c r="P8" s="555" t="str">
        <f t="shared" si="2"/>
        <v>1_subsidy_elec_direct_pc_coverage__yd_3</v>
      </c>
      <c r="R8" s="294"/>
      <c r="S8" s="294"/>
      <c r="T8" s="294"/>
      <c r="U8" s="294"/>
      <c r="V8" s="294"/>
    </row>
    <row r="9" spans="1:22">
      <c r="A9" s="187">
        <f>labels!I5</f>
        <v>4</v>
      </c>
      <c r="H9" s="298">
        <f t="shared" si="0"/>
        <v>4</v>
      </c>
      <c r="I9" s="244">
        <f>100*INDEX(stats!$D:$D,MATCH(Elec_Coverage!O9,stats!$A:$A,0))</f>
        <v>7.3709076133044089</v>
      </c>
      <c r="J9" s="244">
        <f>100*INDEX(stats!$D:$D,MATCH(Elec_Coverage!P9,stats!$A:$A,0))</f>
        <v>47.960527696750411</v>
      </c>
      <c r="K9" s="294"/>
      <c r="L9" s="294"/>
      <c r="N9" s="294">
        <v>4</v>
      </c>
      <c r="O9" s="555" t="str">
        <f t="shared" si="1"/>
        <v>1_vat_elec_pc_coverage__yd_4</v>
      </c>
      <c r="P9" s="555" t="str">
        <f t="shared" si="2"/>
        <v>1_subsidy_elec_direct_pc_coverage__yd_4</v>
      </c>
      <c r="R9" s="294"/>
      <c r="S9" s="294"/>
      <c r="T9" s="294"/>
      <c r="U9" s="294"/>
      <c r="V9" s="294"/>
    </row>
    <row r="10" spans="1:22">
      <c r="A10" s="187">
        <f>labels!I6</f>
        <v>5</v>
      </c>
      <c r="H10" s="298">
        <f t="shared" si="0"/>
        <v>5</v>
      </c>
      <c r="I10" s="244">
        <f>100*INDEX(stats!$D:$D,MATCH(Elec_Coverage!O10,stats!$A:$A,0))</f>
        <v>6.0006080699687567</v>
      </c>
      <c r="J10" s="244">
        <f>100*INDEX(stats!$D:$D,MATCH(Elec_Coverage!P10,stats!$A:$A,0))</f>
        <v>54.701414613138624</v>
      </c>
      <c r="K10" s="294"/>
      <c r="L10" s="294"/>
      <c r="N10" s="294">
        <v>5</v>
      </c>
      <c r="O10" s="555" t="str">
        <f t="shared" si="1"/>
        <v>1_vat_elec_pc_coverage__yd_5</v>
      </c>
      <c r="P10" s="555" t="str">
        <f t="shared" si="2"/>
        <v>1_subsidy_elec_direct_pc_coverage__yd_5</v>
      </c>
      <c r="R10" s="294"/>
      <c r="S10" s="294"/>
      <c r="T10" s="294"/>
      <c r="U10" s="294"/>
      <c r="V10" s="294"/>
    </row>
    <row r="11" spans="1:22">
      <c r="A11" s="187">
        <f>labels!I7</f>
        <v>6</v>
      </c>
      <c r="H11" s="298">
        <f t="shared" si="0"/>
        <v>6</v>
      </c>
      <c r="I11" s="244">
        <f>100*INDEX(stats!$D:$D,MATCH(Elec_Coverage!O11,stats!$A:$A,0))</f>
        <v>15.051986068740106</v>
      </c>
      <c r="J11" s="244">
        <f>100*INDEX(stats!$D:$D,MATCH(Elec_Coverage!P11,stats!$A:$A,0))</f>
        <v>65.529724552606083</v>
      </c>
      <c r="K11" s="294"/>
      <c r="L11" s="294"/>
      <c r="N11" s="294">
        <v>6</v>
      </c>
      <c r="O11" s="555" t="str">
        <f t="shared" si="1"/>
        <v>1_vat_elec_pc_coverage__yd_6</v>
      </c>
      <c r="P11" s="555" t="str">
        <f t="shared" si="2"/>
        <v>1_subsidy_elec_direct_pc_coverage__yd_6</v>
      </c>
      <c r="R11" s="294"/>
      <c r="S11" s="294"/>
      <c r="T11" s="294"/>
      <c r="U11" s="294"/>
      <c r="V11" s="294"/>
    </row>
    <row r="12" spans="1:22">
      <c r="A12" s="187">
        <f>labels!I8</f>
        <v>7</v>
      </c>
      <c r="H12" s="298">
        <f t="shared" si="0"/>
        <v>7</v>
      </c>
      <c r="I12" s="244">
        <f>100*INDEX(stats!$D:$D,MATCH(Elec_Coverage!O12,stats!$A:$A,0))</f>
        <v>10.408302204961089</v>
      </c>
      <c r="J12" s="244">
        <f>100*INDEX(stats!$D:$D,MATCH(Elec_Coverage!P12,stats!$A:$A,0))</f>
        <v>76.038868575210813</v>
      </c>
      <c r="K12" s="294"/>
      <c r="L12" s="294"/>
      <c r="N12" s="294">
        <v>7</v>
      </c>
      <c r="O12" s="555" t="str">
        <f t="shared" si="1"/>
        <v>1_vat_elec_pc_coverage__yd_7</v>
      </c>
      <c r="P12" s="555" t="str">
        <f t="shared" si="2"/>
        <v>1_subsidy_elec_direct_pc_coverage__yd_7</v>
      </c>
      <c r="R12" s="294"/>
      <c r="S12" s="294"/>
      <c r="T12" s="294"/>
      <c r="U12" s="294"/>
      <c r="V12" s="294"/>
    </row>
    <row r="13" spans="1:22">
      <c r="A13" s="187">
        <f>labels!I9</f>
        <v>8</v>
      </c>
      <c r="H13" s="298">
        <f t="shared" si="0"/>
        <v>8</v>
      </c>
      <c r="I13" s="244">
        <f>100*INDEX(stats!$D:$D,MATCH(Elec_Coverage!O13,stats!$A:$A,0))</f>
        <v>22.169628676084368</v>
      </c>
      <c r="J13" s="244">
        <f>100*INDEX(stats!$D:$D,MATCH(Elec_Coverage!P13,stats!$A:$A,0))</f>
        <v>83.968468032633893</v>
      </c>
      <c r="K13" s="294"/>
      <c r="L13" s="294"/>
      <c r="N13" s="294">
        <v>8</v>
      </c>
      <c r="O13" s="555" t="str">
        <f t="shared" si="1"/>
        <v>1_vat_elec_pc_coverage__yd_8</v>
      </c>
      <c r="P13" s="555" t="str">
        <f t="shared" si="2"/>
        <v>1_subsidy_elec_direct_pc_coverage__yd_8</v>
      </c>
      <c r="R13" s="294"/>
      <c r="S13" s="294"/>
      <c r="T13" s="294"/>
      <c r="U13" s="294"/>
      <c r="V13" s="294"/>
    </row>
    <row r="14" spans="1:22">
      <c r="A14" s="187">
        <f>labels!I10</f>
        <v>9</v>
      </c>
      <c r="H14" s="298">
        <f t="shared" si="0"/>
        <v>9</v>
      </c>
      <c r="I14" s="244">
        <f>100*INDEX(stats!$D:$D,MATCH(Elec_Coverage!O14,stats!$A:$A,0))</f>
        <v>30.566080746550099</v>
      </c>
      <c r="J14" s="244">
        <f>100*INDEX(stats!$D:$D,MATCH(Elec_Coverage!P14,stats!$A:$A,0))</f>
        <v>89.76454541193803</v>
      </c>
      <c r="K14" s="294"/>
      <c r="L14" s="294"/>
      <c r="N14" s="294">
        <v>9</v>
      </c>
      <c r="O14" s="555" t="str">
        <f t="shared" si="1"/>
        <v>1_vat_elec_pc_coverage__yd_9</v>
      </c>
      <c r="P14" s="555" t="str">
        <f t="shared" si="2"/>
        <v>1_subsidy_elec_direct_pc_coverage__yd_9</v>
      </c>
      <c r="R14" s="294"/>
      <c r="S14" s="294"/>
      <c r="T14" s="294"/>
      <c r="U14" s="294"/>
      <c r="V14" s="294"/>
    </row>
    <row r="15" spans="1:22">
      <c r="A15" s="187" t="str">
        <f>labels!I11</f>
        <v>Top decile</v>
      </c>
      <c r="H15" s="661" t="str">
        <f t="shared" si="0"/>
        <v>Top decile</v>
      </c>
      <c r="I15" s="246">
        <f>100*INDEX(stats!$D:$D,MATCH(Elec_Coverage!O15,stats!$A:$A,0))</f>
        <v>44.629075063143311</v>
      </c>
      <c r="J15" s="246">
        <f>100*INDEX(stats!$D:$D,MATCH(Elec_Coverage!P15,stats!$A:$A,0))</f>
        <v>95.27484167555302</v>
      </c>
      <c r="K15" s="294"/>
      <c r="L15" s="294"/>
      <c r="N15" s="294">
        <v>10</v>
      </c>
      <c r="O15" s="555" t="str">
        <f t="shared" si="1"/>
        <v>1_vat_elec_pc_coverage__yd_10</v>
      </c>
      <c r="P15" s="555" t="str">
        <f t="shared" si="2"/>
        <v>1_subsidy_elec_direct_pc_coverage__yd_10</v>
      </c>
      <c r="R15" s="294"/>
      <c r="S15" s="294"/>
      <c r="T15" s="294"/>
      <c r="U15" s="294"/>
      <c r="V15" s="294"/>
    </row>
    <row r="16" spans="1:22">
      <c r="A16" s="187" t="str">
        <f>labels!J2</f>
        <v>Deciles of Per Capita Disposable Income</v>
      </c>
      <c r="K16" s="294"/>
      <c r="L16" s="294"/>
      <c r="R16" s="294"/>
      <c r="S16" s="294"/>
      <c r="T16" s="294"/>
      <c r="U16" s="294"/>
      <c r="V16" s="294"/>
    </row>
    <row r="18" spans="1:2">
      <c r="A18" s="187" t="s">
        <v>395</v>
      </c>
    </row>
    <row r="19" spans="1:2">
      <c r="A19" s="187" t="s">
        <v>676</v>
      </c>
      <c r="B19" s="187" t="str" cm="1">
        <f t="array" aca="1" ref="B19" ca="1">+INDIRECT(A19)</f>
        <v>Percentage of population who pays VAT on electricity</v>
      </c>
    </row>
    <row r="20" spans="1:2">
      <c r="A20" s="187" t="s">
        <v>677</v>
      </c>
      <c r="B20" s="187" t="str" cm="1">
        <f t="array" aca="1" ref="B20" ca="1">+INDIRECT(A20)</f>
        <v>Percentage of population receiving electricity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sheetData>
  <dataValidations count="1">
    <dataValidation type="list" allowBlank="1" showInputMessage="1" showErrorMessage="1" sqref="H2" xr:uid="{00000000-0002-0000-1100-000000000000}">
      <formula1>scenarios</formula1>
    </dataValidation>
  </dataValidation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721D5-0483-4AE3-9E18-BC4BA552C9A0}">
  <sheetPr codeName="Hoja19">
    <tabColor rgb="FF90ECA6"/>
  </sheetPr>
  <dimension ref="A2:P65"/>
  <sheetViews>
    <sheetView tabSelected="1" topLeftCell="F11" workbookViewId="0">
      <selection activeCell="V19" sqref="V19"/>
    </sheetView>
  </sheetViews>
  <sheetFormatPr baseColWidth="10" defaultColWidth="10.88671875" defaultRowHeight="14.4"/>
  <cols>
    <col min="1" max="1" width="9.5546875" style="187" hidden="1" customWidth="1"/>
    <col min="2" max="2" width="17.109375" style="187" hidden="1" customWidth="1"/>
    <col min="3" max="3" width="12.109375" style="187" hidden="1" customWidth="1"/>
    <col min="4" max="4" width="9.33203125" style="187" hidden="1" customWidth="1"/>
    <col min="5" max="5" width="11.109375" style="187" hidden="1" customWidth="1"/>
    <col min="6" max="6" width="4" style="187" customWidth="1"/>
    <col min="7" max="7" width="14" style="187" bestFit="1" customWidth="1"/>
    <col min="8" max="8" width="12.44140625" style="187" bestFit="1" customWidth="1"/>
    <col min="9" max="10" width="19.33203125" style="187" customWidth="1"/>
    <col min="11" max="13" width="11" style="187" customWidth="1"/>
    <col min="14" max="16" width="11" style="187" hidden="1" customWidth="1"/>
    <col min="17" max="26" width="11" style="187" customWidth="1"/>
    <col min="27" max="16384" width="10.88671875" style="187"/>
  </cols>
  <sheetData>
    <row r="2" spans="1:16">
      <c r="G2" s="196" t="s">
        <v>673</v>
      </c>
      <c r="H2" s="293" t="s">
        <v>14</v>
      </c>
    </row>
    <row r="4" spans="1:16" ht="43.2">
      <c r="I4" s="241" t="str">
        <f ca="1">+B19</f>
        <v>Percentage of population who pays VAT on fuel</v>
      </c>
      <c r="J4" s="241" t="str">
        <f ca="1">+B20</f>
        <v>Percentage of population receiving fuel subsidies</v>
      </c>
      <c r="L4" s="85"/>
    </row>
    <row r="5" spans="1:16">
      <c r="A5" s="187" t="s">
        <v>400</v>
      </c>
      <c r="I5" s="302" t="s">
        <v>425</v>
      </c>
      <c r="J5" s="302" t="s">
        <v>440</v>
      </c>
      <c r="O5" s="187" t="s">
        <v>689</v>
      </c>
      <c r="P5" s="187" t="s">
        <v>690</v>
      </c>
    </row>
    <row r="6" spans="1:16">
      <c r="A6" s="187" t="str">
        <f>labels!I2</f>
        <v>Bottom decile</v>
      </c>
      <c r="H6" s="304" t="str">
        <f t="shared" ref="H6:H15" si="0">+A6</f>
        <v>Bottom decile</v>
      </c>
      <c r="I6" s="305">
        <f>100*INDEX(stats!$D:$D,MATCH(Fuels_Coverage!O6,stats!$A:$A,0))</f>
        <v>13.43968454009388</v>
      </c>
      <c r="J6" s="305">
        <f>100*INDEX(stats!$D:$D,MATCH(Fuels_Coverage!P6,stats!$A:$A,0))</f>
        <v>13.43968454009388</v>
      </c>
      <c r="N6" s="187">
        <v>1</v>
      </c>
      <c r="O6" s="85" t="str">
        <f>+_xlfn.CONCAT($B$31,"_",O$5,$N6)</f>
        <v>1_vat_fuel_pc_coverage__yd_1</v>
      </c>
      <c r="P6" s="85" t="str">
        <f>+_xlfn.CONCAT($B$31,"_",P$5,$N6)</f>
        <v>1_subsidy_fuel_direct_pc_coverage__yd_1</v>
      </c>
    </row>
    <row r="7" spans="1:16">
      <c r="A7" s="187">
        <f>labels!I3</f>
        <v>2</v>
      </c>
      <c r="H7" s="298">
        <f t="shared" si="0"/>
        <v>2</v>
      </c>
      <c r="I7" s="306">
        <f>100*INDEX(stats!$D:$D,MATCH(Fuels_Coverage!O7,stats!$A:$A,0))</f>
        <v>21.475888404610366</v>
      </c>
      <c r="J7" s="306">
        <f>100*INDEX(stats!$D:$D,MATCH(Fuels_Coverage!P7,stats!$A:$A,0))</f>
        <v>21.475888404610366</v>
      </c>
      <c r="N7" s="187">
        <v>2</v>
      </c>
      <c r="O7" s="85" t="str">
        <f t="shared" ref="O7:P15" si="1">+_xlfn.CONCAT($B$31,"_",O$5,$N7)</f>
        <v>1_vat_fuel_pc_coverage__yd_2</v>
      </c>
      <c r="P7" s="85" t="str">
        <f t="shared" si="1"/>
        <v>1_subsidy_fuel_direct_pc_coverage__yd_2</v>
      </c>
    </row>
    <row r="8" spans="1:16">
      <c r="A8" s="187">
        <f>labels!I4</f>
        <v>3</v>
      </c>
      <c r="H8" s="298">
        <f t="shared" si="0"/>
        <v>3</v>
      </c>
      <c r="I8" s="306">
        <f>100*INDEX(stats!$D:$D,MATCH(Fuels_Coverage!O8,stats!$A:$A,0))</f>
        <v>32.369381266979495</v>
      </c>
      <c r="J8" s="306">
        <f>100*INDEX(stats!$D:$D,MATCH(Fuels_Coverage!P8,stats!$A:$A,0))</f>
        <v>32.369381266979495</v>
      </c>
      <c r="N8" s="187">
        <v>3</v>
      </c>
      <c r="O8" s="85" t="str">
        <f t="shared" si="1"/>
        <v>1_vat_fuel_pc_coverage__yd_3</v>
      </c>
      <c r="P8" s="85" t="str">
        <f t="shared" si="1"/>
        <v>1_subsidy_fuel_direct_pc_coverage__yd_3</v>
      </c>
    </row>
    <row r="9" spans="1:16">
      <c r="A9" s="187">
        <f>labels!I5</f>
        <v>4</v>
      </c>
      <c r="H9" s="298">
        <f t="shared" si="0"/>
        <v>4</v>
      </c>
      <c r="I9" s="306">
        <f>100*INDEX(stats!$D:$D,MATCH(Fuels_Coverage!O9,stats!$A:$A,0))</f>
        <v>35.879051326174988</v>
      </c>
      <c r="J9" s="306">
        <f>100*INDEX(stats!$D:$D,MATCH(Fuels_Coverage!P9,stats!$A:$A,0))</f>
        <v>35.879051326174988</v>
      </c>
      <c r="N9" s="187">
        <v>4</v>
      </c>
      <c r="O9" s="85" t="str">
        <f t="shared" si="1"/>
        <v>1_vat_fuel_pc_coverage__yd_4</v>
      </c>
      <c r="P9" s="85" t="str">
        <f t="shared" si="1"/>
        <v>1_subsidy_fuel_direct_pc_coverage__yd_4</v>
      </c>
    </row>
    <row r="10" spans="1:16">
      <c r="A10" s="187">
        <f>labels!I6</f>
        <v>5</v>
      </c>
      <c r="H10" s="298">
        <f t="shared" si="0"/>
        <v>5</v>
      </c>
      <c r="I10" s="306">
        <f>100*INDEX(stats!$D:$D,MATCH(Fuels_Coverage!O10,stats!$A:$A,0))</f>
        <v>49.927308929270865</v>
      </c>
      <c r="J10" s="306">
        <f>100*INDEX(stats!$D:$D,MATCH(Fuels_Coverage!P10,stats!$A:$A,0))</f>
        <v>49.927308929270865</v>
      </c>
      <c r="N10" s="187">
        <v>5</v>
      </c>
      <c r="O10" s="85" t="str">
        <f t="shared" si="1"/>
        <v>1_vat_fuel_pc_coverage__yd_5</v>
      </c>
      <c r="P10" s="85" t="str">
        <f t="shared" si="1"/>
        <v>1_subsidy_fuel_direct_pc_coverage__yd_5</v>
      </c>
    </row>
    <row r="11" spans="1:16">
      <c r="A11" s="187">
        <f>labels!I7</f>
        <v>6</v>
      </c>
      <c r="H11" s="298">
        <f t="shared" si="0"/>
        <v>6</v>
      </c>
      <c r="I11" s="306">
        <f>100*INDEX(stats!$D:$D,MATCH(Fuels_Coverage!O11,stats!$A:$A,0))</f>
        <v>62.27142647376612</v>
      </c>
      <c r="J11" s="306">
        <f>100*INDEX(stats!$D:$D,MATCH(Fuels_Coverage!P11,stats!$A:$A,0))</f>
        <v>62.27142647376612</v>
      </c>
      <c r="N11" s="187">
        <v>6</v>
      </c>
      <c r="O11" s="85" t="str">
        <f t="shared" si="1"/>
        <v>1_vat_fuel_pc_coverage__yd_6</v>
      </c>
      <c r="P11" s="85" t="str">
        <f t="shared" si="1"/>
        <v>1_subsidy_fuel_direct_pc_coverage__yd_6</v>
      </c>
    </row>
    <row r="12" spans="1:16">
      <c r="A12" s="187">
        <f>labels!I8</f>
        <v>7</v>
      </c>
      <c r="H12" s="298">
        <f t="shared" si="0"/>
        <v>7</v>
      </c>
      <c r="I12" s="306">
        <f>100*INDEX(stats!$D:$D,MATCH(Fuels_Coverage!O12,stats!$A:$A,0))</f>
        <v>66.497172804334895</v>
      </c>
      <c r="J12" s="306">
        <f>100*INDEX(stats!$D:$D,MATCH(Fuels_Coverage!P12,stats!$A:$A,0))</f>
        <v>66.497172804334895</v>
      </c>
      <c r="N12" s="187">
        <v>7</v>
      </c>
      <c r="O12" s="85" t="str">
        <f t="shared" si="1"/>
        <v>1_vat_fuel_pc_coverage__yd_7</v>
      </c>
      <c r="P12" s="85" t="str">
        <f t="shared" si="1"/>
        <v>1_subsidy_fuel_direct_pc_coverage__yd_7</v>
      </c>
    </row>
    <row r="13" spans="1:16">
      <c r="A13" s="187">
        <f>labels!I9</f>
        <v>8</v>
      </c>
      <c r="H13" s="298">
        <f t="shared" si="0"/>
        <v>8</v>
      </c>
      <c r="I13" s="306">
        <f>100*INDEX(stats!$D:$D,MATCH(Fuels_Coverage!O13,stats!$A:$A,0))</f>
        <v>79.386597692503528</v>
      </c>
      <c r="J13" s="306">
        <f>100*INDEX(stats!$D:$D,MATCH(Fuels_Coverage!P13,stats!$A:$A,0))</f>
        <v>79.386597692503528</v>
      </c>
      <c r="N13" s="187">
        <v>8</v>
      </c>
      <c r="O13" s="85" t="str">
        <f t="shared" si="1"/>
        <v>1_vat_fuel_pc_coverage__yd_8</v>
      </c>
      <c r="P13" s="85" t="str">
        <f t="shared" si="1"/>
        <v>1_subsidy_fuel_direct_pc_coverage__yd_8</v>
      </c>
    </row>
    <row r="14" spans="1:16">
      <c r="A14" s="187">
        <f>labels!I10</f>
        <v>9</v>
      </c>
      <c r="H14" s="298">
        <f t="shared" si="0"/>
        <v>9</v>
      </c>
      <c r="I14" s="306">
        <f>100*INDEX(stats!$D:$D,MATCH(Fuels_Coverage!O14,stats!$A:$A,0))</f>
        <v>89.41446559291299</v>
      </c>
      <c r="J14" s="306">
        <f>100*INDEX(stats!$D:$D,MATCH(Fuels_Coverage!P14,stats!$A:$A,0))</f>
        <v>89.41446559291299</v>
      </c>
      <c r="N14" s="187">
        <v>9</v>
      </c>
      <c r="O14" s="85" t="str">
        <f t="shared" si="1"/>
        <v>1_vat_fuel_pc_coverage__yd_9</v>
      </c>
      <c r="P14" s="85" t="str">
        <f t="shared" si="1"/>
        <v>1_subsidy_fuel_direct_pc_coverage__yd_9</v>
      </c>
    </row>
    <row r="15" spans="1:16">
      <c r="A15" s="187" t="str">
        <f>labels!I11</f>
        <v>Top decile</v>
      </c>
      <c r="H15" s="661" t="str">
        <f t="shared" si="0"/>
        <v>Top decile</v>
      </c>
      <c r="I15" s="662">
        <f>100*INDEX(stats!$D:$D,MATCH(Fuels_Coverage!O15,stats!$A:$A,0))</f>
        <v>91.524558568742066</v>
      </c>
      <c r="J15" s="662">
        <f>100*INDEX(stats!$D:$D,MATCH(Fuels_Coverage!P15,stats!$A:$A,0))</f>
        <v>91.524558568742066</v>
      </c>
      <c r="N15" s="187">
        <v>10</v>
      </c>
      <c r="O15" s="85" t="str">
        <f t="shared" si="1"/>
        <v>1_vat_fuel_pc_coverage__yd_10</v>
      </c>
      <c r="P15" s="85" t="str">
        <f t="shared" si="1"/>
        <v>1_subsidy_fuel_direct_pc_coverage__yd_10</v>
      </c>
    </row>
    <row r="16" spans="1:16">
      <c r="A16" s="187" t="str">
        <f>labels!J2</f>
        <v>Deciles of Per Capita Disposable Income</v>
      </c>
    </row>
    <row r="18" spans="1:2">
      <c r="A18" s="187" t="s">
        <v>395</v>
      </c>
    </row>
    <row r="19" spans="1:2">
      <c r="A19" s="187" t="s">
        <v>691</v>
      </c>
      <c r="B19" s="187" t="str" cm="1">
        <f t="array" aca="1" ref="B19" ca="1">+INDIRECT(A19)</f>
        <v>Percentage of population who pays VAT on fuel</v>
      </c>
    </row>
    <row r="20" spans="1:2">
      <c r="A20" s="187" t="s">
        <v>692</v>
      </c>
      <c r="B20" s="187" t="str" cm="1">
        <f t="array" aca="1" ref="B20" ca="1">+INDIRECT(A20)</f>
        <v>Percentage of population receiving fuel subsidies</v>
      </c>
    </row>
    <row r="21" spans="1:2">
      <c r="A21" s="187" t="s">
        <v>678</v>
      </c>
    </row>
    <row r="22" spans="1:2">
      <c r="A22" s="187" t="s">
        <v>679</v>
      </c>
      <c r="B22" s="187" t="str" cm="1">
        <f t="array" aca="1" ref="B22" ca="1">+INDIRECT(A22)</f>
        <v>Tranche1</v>
      </c>
    </row>
    <row r="23" spans="1:2">
      <c r="A23" s="187" t="s">
        <v>680</v>
      </c>
      <c r="B23" s="187" t="str" cm="1">
        <f t="array" aca="1" ref="B23" ca="1">+INDIRECT(A23)</f>
        <v>Tranche2</v>
      </c>
    </row>
    <row r="24" spans="1:2">
      <c r="A24" s="187" t="s">
        <v>681</v>
      </c>
      <c r="B24" s="187" t="str" cm="1">
        <f t="array" aca="1" ref="B24" ca="1">+INDIRECT(A24)</f>
        <v>Tranche3</v>
      </c>
    </row>
    <row r="26" spans="1:2">
      <c r="A26" s="248" t="s">
        <v>682</v>
      </c>
      <c r="B26" s="187" t="s">
        <v>352</v>
      </c>
    </row>
    <row r="27" spans="1:2">
      <c r="A27" s="249" t="s">
        <v>683</v>
      </c>
      <c r="B27" s="250" t="s">
        <v>684</v>
      </c>
    </row>
    <row r="28" spans="1:2">
      <c r="A28" s="248" t="s">
        <v>685</v>
      </c>
      <c r="B28" s="187" t="s">
        <v>686</v>
      </c>
    </row>
    <row r="30" spans="1:2">
      <c r="A30" s="187" t="s">
        <v>687</v>
      </c>
      <c r="B30" s="187" t="s">
        <v>688</v>
      </c>
    </row>
    <row r="31" spans="1:2">
      <c r="A31" s="1" t="str">
        <f>H2</f>
        <v>Baseline</v>
      </c>
      <c r="B31" s="1">
        <f>VLOOKUP(A31,labels!$F$2:$G$8,2,FALSE)</f>
        <v>1</v>
      </c>
    </row>
    <row r="43" spans="1:2">
      <c r="A43" s="251"/>
      <c r="B43" s="247"/>
    </row>
    <row r="60" spans="1:2">
      <c r="A60" s="248"/>
    </row>
    <row r="61" spans="1:2">
      <c r="A61" s="249"/>
      <c r="B61" s="250"/>
    </row>
    <row r="62" spans="1:2">
      <c r="A62" s="248"/>
    </row>
    <row r="65" spans="1:3">
      <c r="A65" s="1"/>
      <c r="B65" s="1"/>
      <c r="C65" s="1"/>
    </row>
  </sheetData>
  <dataValidations count="1">
    <dataValidation type="list" allowBlank="1" showInputMessage="1" showErrorMessage="1" sqref="H2" xr:uid="{00000000-0002-0000-1200-000000000000}">
      <formula1>scenarios</formula1>
    </dataValidation>
  </dataValidations>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A344D-289A-4612-A4CA-146ADDD7BADF}">
  <sheetPr codeName="Hoja23">
    <tabColor rgb="FF90ECA6"/>
  </sheetPr>
  <dimension ref="A1:IR34"/>
  <sheetViews>
    <sheetView topLeftCell="F1" zoomScaleNormal="100" workbookViewId="0">
      <selection activeCell="J14" sqref="J14"/>
    </sheetView>
  </sheetViews>
  <sheetFormatPr baseColWidth="10" defaultColWidth="0.109375" defaultRowHeight="14.4"/>
  <cols>
    <col min="1" max="1" width="9" style="187" hidden="1" customWidth="1"/>
    <col min="2" max="2" width="38.6640625" style="187" hidden="1" customWidth="1"/>
    <col min="3" max="4" width="0" style="187" hidden="1" customWidth="1"/>
    <col min="5" max="5" width="13.33203125" style="187" hidden="1" customWidth="1"/>
    <col min="6" max="6" width="3" style="187" customWidth="1"/>
    <col min="7" max="7" width="14.33203125" style="187" bestFit="1" customWidth="1"/>
    <col min="8" max="8" width="38.6640625" style="187" customWidth="1"/>
    <col min="9" max="9" width="6.6640625" style="187" customWidth="1"/>
    <col min="10" max="10" width="8.33203125" style="187" customWidth="1"/>
    <col min="11" max="11" width="6.6640625" style="187" customWidth="1"/>
    <col min="12" max="12" width="1.44140625" style="187" customWidth="1"/>
    <col min="13" max="13" width="6.6640625" style="187" customWidth="1"/>
    <col min="14" max="14" width="8.33203125" style="187" customWidth="1"/>
    <col min="15" max="15" width="6.6640625" style="187" customWidth="1"/>
    <col min="16" max="16" width="2.6640625" style="187" customWidth="1"/>
    <col min="17" max="17" width="6.6640625" style="187" customWidth="1"/>
    <col min="18" max="18" width="8.33203125" style="187" customWidth="1"/>
    <col min="19" max="19" width="6.6640625" style="187" customWidth="1"/>
    <col min="20" max="20" width="11.44140625" style="187" customWidth="1"/>
    <col min="21" max="21" width="18.33203125" style="258" customWidth="1"/>
    <col min="22" max="22" width="14.88671875" style="258" bestFit="1" customWidth="1"/>
    <col min="23" max="23" width="13.44140625" style="258" customWidth="1"/>
    <col min="24" max="24" width="14.44140625" style="258" customWidth="1"/>
    <col min="25" max="28" width="13.44140625" style="258" customWidth="1"/>
    <col min="29" max="29" width="15.44140625" style="258" customWidth="1"/>
    <col min="30" max="30" width="20" style="258" customWidth="1"/>
    <col min="31" max="31" width="14.44140625" style="258" customWidth="1"/>
    <col min="32" max="32" width="19.88671875" style="258" customWidth="1"/>
    <col min="33" max="33" width="18.88671875" style="187" customWidth="1"/>
    <col min="34" max="35" width="18.88671875" style="258" customWidth="1"/>
    <col min="36" max="36" width="18.88671875" style="187" customWidth="1"/>
    <col min="37" max="37" width="17.6640625" style="187" customWidth="1"/>
    <col min="38" max="47" width="0.109375" style="187"/>
    <col min="48" max="48" width="0.109375" style="187" customWidth="1"/>
    <col min="49" max="197" width="0.109375" style="187"/>
    <col min="198" max="198" width="0.33203125" style="187" customWidth="1"/>
    <col min="199" max="217" width="0.109375" style="187"/>
    <col min="218" max="218" width="0" style="187" hidden="1" customWidth="1"/>
    <col min="219" max="252" width="0.109375" style="187" hidden="1" customWidth="1"/>
    <col min="253" max="16384" width="0.109375" style="187"/>
  </cols>
  <sheetData>
    <row r="1" spans="1:35">
      <c r="V1" s="259" t="s">
        <v>674</v>
      </c>
      <c r="W1" s="259" t="s">
        <v>675</v>
      </c>
      <c r="X1" s="259" t="s">
        <v>710</v>
      </c>
      <c r="Y1" s="259" t="s">
        <v>674</v>
      </c>
      <c r="Z1" s="259" t="s">
        <v>675</v>
      </c>
      <c r="AA1" s="259" t="s">
        <v>710</v>
      </c>
      <c r="AB1" s="259" t="s">
        <v>674</v>
      </c>
      <c r="AC1" s="259" t="s">
        <v>675</v>
      </c>
      <c r="AD1" s="259" t="s">
        <v>710</v>
      </c>
      <c r="AE1" s="259"/>
      <c r="AF1" s="259"/>
      <c r="AG1" s="248"/>
      <c r="AH1" s="259"/>
      <c r="AI1" s="259"/>
    </row>
    <row r="2" spans="1:35">
      <c r="G2" s="196" t="s">
        <v>673</v>
      </c>
      <c r="H2" s="293" t="s">
        <v>14</v>
      </c>
      <c r="U2" s="260" t="s">
        <v>711</v>
      </c>
      <c r="V2" s="255">
        <f>100*INDEX(stats!$D:$D,MATCH(_xlfn.CONCAT($W$34,"_",$U$2),stats!$A:$A,0))</f>
        <v>38.517863561477284</v>
      </c>
      <c r="W2" s="255">
        <f>100*INDEX(stats!$D:$D,MATCH(_xlfn.CONCAT($W$34,"_",$U$2),stats!$A:$A,0))</f>
        <v>38.517863561477284</v>
      </c>
      <c r="X2" s="255">
        <f>100*INDEX(stats!$D:$D,MATCH(_xlfn.CONCAT($W$34,"_",$U$2),stats!$A:$A,0))</f>
        <v>38.517863561477284</v>
      </c>
      <c r="Y2" s="255">
        <f>100*INDEX(stats!$D:$D,MATCH(_xlfn.CONCAT($W$34,"_",$U$2),stats!$A:$A,0))</f>
        <v>38.517863561477284</v>
      </c>
      <c r="Z2" s="255">
        <f>100*INDEX(stats!$D:$D,MATCH(_xlfn.CONCAT($W$34,"_",$U$2),stats!$A:$A,0))</f>
        <v>38.517863561477284</v>
      </c>
      <c r="AA2" s="255">
        <f>100*INDEX(stats!$D:$D,MATCH(_xlfn.CONCAT($W$34,"_",$U$2),stats!$A:$A,0))</f>
        <v>38.517863561477284</v>
      </c>
      <c r="AB2" s="255">
        <f>100*INDEX(stats!$D:$D,MATCH(_xlfn.CONCAT($W$34,"_",$U$2),stats!$A:$A,0))</f>
        <v>38.517863561477284</v>
      </c>
      <c r="AC2" s="255">
        <f>100*INDEX(stats!$D:$D,MATCH(_xlfn.CONCAT($W$34,"_",$U$2),stats!$A:$A,0))</f>
        <v>38.517863561477284</v>
      </c>
      <c r="AD2" s="255">
        <f>100*INDEX(stats!$D:$D,MATCH(_xlfn.CONCAT($W$34,"_",$U$2),stats!$A:$A,0))</f>
        <v>38.517863561477284</v>
      </c>
      <c r="AE2" s="255"/>
      <c r="AF2" s="255"/>
      <c r="AG2" s="256"/>
      <c r="AH2" s="255"/>
      <c r="AI2" s="255"/>
    </row>
    <row r="3" spans="1:35">
      <c r="U3" s="260" t="s">
        <v>712</v>
      </c>
      <c r="V3" s="255">
        <f>100*INDEX(stats!$D:$D,MATCH(_xlfn.CONCAT($W$34,"_",$U$3),stats!$A:$A,0))</f>
        <v>37.892769999999999</v>
      </c>
      <c r="W3" s="255">
        <f>100*INDEX(stats!$D:$D,MATCH(_xlfn.CONCAT($W$34,"_",$U$3),stats!$A:$A,0))</f>
        <v>37.892769999999999</v>
      </c>
      <c r="X3" s="255">
        <f>100*INDEX(stats!$D:$D,MATCH(_xlfn.CONCAT($W$34,"_",$U$3),stats!$A:$A,0))</f>
        <v>37.892769999999999</v>
      </c>
      <c r="Y3" s="255">
        <f>100*INDEX(stats!$D:$D,MATCH(_xlfn.CONCAT($W$34,"_",$U$3),stats!$A:$A,0))</f>
        <v>37.892769999999999</v>
      </c>
      <c r="Z3" s="255">
        <f>100*INDEX(stats!$D:$D,MATCH(_xlfn.CONCAT($W$34,"_",$U$3),stats!$A:$A,0))</f>
        <v>37.892769999999999</v>
      </c>
      <c r="AA3" s="255">
        <f>100*INDEX(stats!$D:$D,MATCH(_xlfn.CONCAT($W$34,"_",$U$3),stats!$A:$A,0))</f>
        <v>37.892769999999999</v>
      </c>
      <c r="AB3" s="255">
        <f>100*INDEX(stats!$D:$D,MATCH(_xlfn.CONCAT($W$34,"_",$U$3),stats!$A:$A,0))</f>
        <v>37.892769999999999</v>
      </c>
      <c r="AC3" s="255">
        <f>100*INDEX(stats!$D:$D,MATCH(_xlfn.CONCAT($W$34,"_",$U$3),stats!$A:$A,0))</f>
        <v>37.892769999999999</v>
      </c>
      <c r="AD3" s="255">
        <f>100*INDEX(stats!$D:$D,MATCH(_xlfn.CONCAT($W$34,"_",$U$3),stats!$A:$A,0))</f>
        <v>37.892769999999999</v>
      </c>
      <c r="AE3" s="255"/>
      <c r="AF3" s="255"/>
      <c r="AG3" s="256"/>
      <c r="AH3" s="255"/>
      <c r="AI3" s="255"/>
    </row>
    <row r="4" spans="1:35">
      <c r="H4" s="243"/>
      <c r="I4" s="243"/>
      <c r="J4" s="243"/>
      <c r="K4" s="243"/>
      <c r="L4" s="243"/>
      <c r="M4" s="243"/>
      <c r="N4" s="243"/>
      <c r="O4" s="243"/>
      <c r="P4" s="243"/>
      <c r="Q4" s="252"/>
      <c r="R4" s="253"/>
      <c r="AC4" s="262"/>
    </row>
    <row r="5" spans="1:35">
      <c r="H5" s="242"/>
      <c r="I5" s="858" t="s">
        <v>418</v>
      </c>
      <c r="J5" s="858"/>
      <c r="K5" s="858"/>
      <c r="L5" s="264"/>
      <c r="M5" s="858" t="s">
        <v>432</v>
      </c>
      <c r="N5" s="858"/>
      <c r="O5" s="858"/>
      <c r="P5" s="264"/>
      <c r="Q5" s="858" t="s">
        <v>713</v>
      </c>
      <c r="R5" s="858"/>
      <c r="S5" s="858"/>
      <c r="T5" s="265"/>
      <c r="V5" s="259" t="s">
        <v>714</v>
      </c>
      <c r="W5" s="259" t="s">
        <v>715</v>
      </c>
      <c r="X5" s="259" t="s">
        <v>716</v>
      </c>
      <c r="Y5" s="259" t="s">
        <v>717</v>
      </c>
      <c r="Z5" s="259" t="s">
        <v>718</v>
      </c>
      <c r="AA5" s="259" t="s">
        <v>719</v>
      </c>
      <c r="AB5" s="259" t="s">
        <v>720</v>
      </c>
      <c r="AC5" s="259" t="s">
        <v>721</v>
      </c>
      <c r="AD5" s="259" t="s">
        <v>722</v>
      </c>
      <c r="AF5" s="259"/>
      <c r="AI5" s="259"/>
    </row>
    <row r="6" spans="1:35">
      <c r="A6" s="266" t="s">
        <v>395</v>
      </c>
      <c r="H6" s="267"/>
      <c r="I6" s="268" t="s">
        <v>425</v>
      </c>
      <c r="J6" s="268" t="s">
        <v>440</v>
      </c>
      <c r="K6" s="263" t="s">
        <v>210</v>
      </c>
      <c r="L6" s="268"/>
      <c r="M6" s="268" t="s">
        <v>425</v>
      </c>
      <c r="N6" s="268" t="s">
        <v>440</v>
      </c>
      <c r="O6" s="268" t="s">
        <v>210</v>
      </c>
      <c r="P6" s="268"/>
      <c r="Q6" s="269" t="s">
        <v>723</v>
      </c>
      <c r="R6" s="270" t="s">
        <v>440</v>
      </c>
      <c r="S6" s="268" t="s">
        <v>210</v>
      </c>
      <c r="T6" s="265"/>
      <c r="V6" s="258" t="s">
        <v>724</v>
      </c>
      <c r="W6" s="258" t="s">
        <v>725</v>
      </c>
      <c r="X6" s="258" t="s">
        <v>726</v>
      </c>
      <c r="Y6" s="258" t="s">
        <v>727</v>
      </c>
      <c r="Z6" s="258" t="s">
        <v>728</v>
      </c>
      <c r="AA6" s="258" t="s">
        <v>729</v>
      </c>
      <c r="AB6" s="258" t="s">
        <v>730</v>
      </c>
      <c r="AC6" s="258" t="s">
        <v>731</v>
      </c>
      <c r="AD6" s="258" t="s">
        <v>732</v>
      </c>
    </row>
    <row r="7" spans="1:35">
      <c r="A7" s="266"/>
      <c r="H7" s="271" t="s">
        <v>733</v>
      </c>
      <c r="I7" s="307">
        <f t="shared" ref="I7:K10" si="0">+V7</f>
        <v>38.541184316262203</v>
      </c>
      <c r="J7" s="307">
        <f t="shared" si="0"/>
        <v>38.001512100901252</v>
      </c>
      <c r="K7" s="307">
        <f t="shared" si="0"/>
        <v>38.001512100901252</v>
      </c>
      <c r="L7" s="308"/>
      <c r="M7" s="307">
        <f>+Y7</f>
        <v>38.654750067224931</v>
      </c>
      <c r="N7" s="307">
        <f>+Z7</f>
        <v>38.089539648173357</v>
      </c>
      <c r="O7" s="307">
        <f>+AC7</f>
        <v>37.393211838184826</v>
      </c>
      <c r="P7" s="307"/>
      <c r="Q7" s="309">
        <f>+AB7</f>
        <v>38.678070822009843</v>
      </c>
      <c r="R7" s="310">
        <f>+AC7</f>
        <v>37.393211838184826</v>
      </c>
      <c r="S7" s="309">
        <f>+AD7</f>
        <v>37.519280470675774</v>
      </c>
      <c r="T7" s="273"/>
      <c r="U7" s="260" t="s">
        <v>734</v>
      </c>
      <c r="V7" s="258">
        <f>100*INDEX(stats!$D:$D,MATCH(_xlfn.CONCAT($W$34,"_",V$6,$U7),stats!$A:$A,0))</f>
        <v>38.541184316262203</v>
      </c>
      <c r="W7" s="258">
        <f>100*INDEX(stats!$D:$D,MATCH(_xlfn.CONCAT($W$34,"_",W$6,$U7),stats!$A:$A,0))</f>
        <v>38.001512100901252</v>
      </c>
      <c r="X7" s="258">
        <f>100*INDEX(stats!$D:$D,MATCH(_xlfn.CONCAT($W$34,"_",X$6,$U7),stats!$A:$A,0))</f>
        <v>38.001512100901252</v>
      </c>
      <c r="Y7" s="258">
        <f>100*INDEX(stats!$D:$D,MATCH(_xlfn.CONCAT($W$34,"_",Y$6,$U7),stats!$A:$A,0))</f>
        <v>38.654750067224931</v>
      </c>
      <c r="Z7" s="258">
        <f>100*INDEX(stats!$D:$D,MATCH(_xlfn.CONCAT($W$34,"_",Z$6,$U7),stats!$A:$A,0))</f>
        <v>38.089539648173357</v>
      </c>
      <c r="AA7" s="258">
        <f>100*INDEX(stats!$D:$D,MATCH(_xlfn.CONCAT($W$34,"_",AA$6,$U7),stats!$A:$A,0))</f>
        <v>38.18610498899973</v>
      </c>
      <c r="AB7" s="258">
        <f>100*INDEX(stats!$D:$D,MATCH(_xlfn.CONCAT($W$34,"_",AB$6,$U7),stats!$A:$A,0))</f>
        <v>38.678070822009843</v>
      </c>
      <c r="AC7" s="258">
        <f>100*INDEX(stats!$D:$D,MATCH(_xlfn.CONCAT($W$34,"_",AC$6,$U7),stats!$A:$A,0))</f>
        <v>37.393211838184826</v>
      </c>
      <c r="AD7" s="258">
        <f>100*INDEX(stats!$D:$D,MATCH(_xlfn.CONCAT($W$34,"_",$AD6,$U7),stats!$A:$A,0))</f>
        <v>37.519280470675774</v>
      </c>
    </row>
    <row r="8" spans="1:35">
      <c r="A8" s="266"/>
      <c r="H8" s="271" t="s">
        <v>735</v>
      </c>
      <c r="I8" s="307">
        <f t="shared" si="0"/>
        <v>37.870510000000003</v>
      </c>
      <c r="J8" s="307">
        <f t="shared" si="0"/>
        <v>38.079729999999998</v>
      </c>
      <c r="K8" s="307">
        <f t="shared" si="0"/>
        <v>38.057470000000002</v>
      </c>
      <c r="L8" s="308"/>
      <c r="M8" s="307">
        <f t="shared" ref="M8:N12" si="1">+Y8</f>
        <v>37.832149999999999</v>
      </c>
      <c r="N8" s="307">
        <f t="shared" si="1"/>
        <v>38.026579999999996</v>
      </c>
      <c r="O8" s="307">
        <f>+AC8</f>
        <v>38.20984</v>
      </c>
      <c r="P8" s="307"/>
      <c r="Q8" s="274">
        <f t="shared" ref="Q8:S12" si="2">+AB8</f>
        <v>37.80979</v>
      </c>
      <c r="R8" s="310">
        <f t="shared" si="2"/>
        <v>38.20984</v>
      </c>
      <c r="S8" s="274">
        <f t="shared" si="2"/>
        <v>38.126870000000004</v>
      </c>
      <c r="T8" s="272"/>
      <c r="U8" s="260" t="s">
        <v>736</v>
      </c>
      <c r="V8" s="258">
        <f>100*INDEX(stats!$D:$D,MATCH(_xlfn.CONCAT($W$34,"_",V$6,$U8),stats!$A:$A,0))</f>
        <v>37.870510000000003</v>
      </c>
      <c r="W8" s="258">
        <f>100*INDEX(stats!$D:$D,MATCH(_xlfn.CONCAT($W$34,"_",W$6,$U8),stats!$A:$A,0))</f>
        <v>38.079729999999998</v>
      </c>
      <c r="X8" s="258">
        <f>100*INDEX(stats!$D:$D,MATCH(_xlfn.CONCAT($W$34,"_",X$6,$U8),stats!$A:$A,0))</f>
        <v>38.057470000000002</v>
      </c>
      <c r="Y8" s="258">
        <f>100*INDEX(stats!$D:$D,MATCH(_xlfn.CONCAT($W$34,"_",Y$6,$U8),stats!$A:$A,0))</f>
        <v>37.832149999999999</v>
      </c>
      <c r="Z8" s="258">
        <f>100*INDEX(stats!$D:$D,MATCH(_xlfn.CONCAT($W$34,"_",Z$6,$U8),stats!$A:$A,0))</f>
        <v>38.026579999999996</v>
      </c>
      <c r="AA8" s="258">
        <f>100*INDEX(stats!$D:$D,MATCH(_xlfn.CONCAT($W$34,"_",AA$6,$U8),stats!$A:$A,0))</f>
        <v>37.964269999999999</v>
      </c>
      <c r="AB8" s="258">
        <f>100*INDEX(stats!$D:$D,MATCH(_xlfn.CONCAT($W$34,"_",AB$6,$U8),stats!$A:$A,0))</f>
        <v>37.80979</v>
      </c>
      <c r="AC8" s="258">
        <f>100*INDEX(stats!$D:$D,MATCH(_xlfn.CONCAT($W$34,"_",AC$6,$U8),stats!$A:$A,0))</f>
        <v>38.20984</v>
      </c>
      <c r="AD8" s="258">
        <f>100*INDEX(stats!$D:$D,MATCH(_xlfn.CONCAT($W$34,"_",$AD$6,$U8),stats!$A:$A,0))</f>
        <v>38.126870000000004</v>
      </c>
    </row>
    <row r="9" spans="1:35">
      <c r="A9" s="187" t="s">
        <v>737</v>
      </c>
      <c r="B9" s="187" cm="1">
        <f t="array" aca="1" ref="B9" ca="1">INDIRECT(A9)</f>
        <v>0</v>
      </c>
      <c r="H9" s="271" t="s">
        <v>456</v>
      </c>
      <c r="I9" s="274">
        <f t="shared" si="0"/>
        <v>-2.3320754784919018E-2</v>
      </c>
      <c r="J9" s="274">
        <f t="shared" si="0"/>
        <v>0.51635146057603265</v>
      </c>
      <c r="K9" s="307">
        <f t="shared" si="0"/>
        <v>0.51635146057603265</v>
      </c>
      <c r="L9" s="274"/>
      <c r="M9" s="274">
        <f t="shared" si="1"/>
        <v>-0.13688650574764694</v>
      </c>
      <c r="N9" s="274">
        <f t="shared" si="1"/>
        <v>0.42832391330392738</v>
      </c>
      <c r="O9" s="307">
        <f>+AC9</f>
        <v>1.1246517232924589</v>
      </c>
      <c r="P9" s="274"/>
      <c r="Q9" s="274">
        <f t="shared" si="2"/>
        <v>-0.16020726053255885</v>
      </c>
      <c r="R9" s="310">
        <f t="shared" si="2"/>
        <v>1.1246517232924589</v>
      </c>
      <c r="S9" s="274">
        <f t="shared" si="2"/>
        <v>0.99858309080151031</v>
      </c>
      <c r="T9" s="272"/>
      <c r="U9" s="271"/>
      <c r="V9" s="255">
        <f t="shared" ref="V9:X10" si="3">+V2-V7</f>
        <v>-2.3320754784919018E-2</v>
      </c>
      <c r="W9" s="275">
        <f t="shared" si="3"/>
        <v>0.51635146057603265</v>
      </c>
      <c r="X9" s="275">
        <f t="shared" si="3"/>
        <v>0.51635146057603265</v>
      </c>
      <c r="Y9" s="275">
        <f t="shared" ref="Y9:AC10" si="4">+Y2-Y7</f>
        <v>-0.13688650574764694</v>
      </c>
      <c r="Z9" s="275">
        <f t="shared" si="4"/>
        <v>0.42832391330392738</v>
      </c>
      <c r="AA9" s="275">
        <f>+AA2-AA7</f>
        <v>0.33175857247755403</v>
      </c>
      <c r="AB9" s="255">
        <f t="shared" si="4"/>
        <v>-0.16020726053255885</v>
      </c>
      <c r="AC9" s="275">
        <f t="shared" si="4"/>
        <v>1.1246517232924589</v>
      </c>
      <c r="AD9" s="255">
        <f>AD2-AD7</f>
        <v>0.99858309080151031</v>
      </c>
      <c r="AE9" s="255"/>
      <c r="AF9" s="275"/>
      <c r="AG9" s="243"/>
      <c r="AH9" s="275"/>
      <c r="AI9" s="275"/>
    </row>
    <row r="10" spans="1:35">
      <c r="A10" s="187" t="s">
        <v>738</v>
      </c>
      <c r="B10" s="187" cm="1">
        <f t="array" aca="1" ref="B10" ca="1">INDIRECT(A10)</f>
        <v>0</v>
      </c>
      <c r="H10" s="271" t="s">
        <v>458</v>
      </c>
      <c r="I10" s="274">
        <f t="shared" si="0"/>
        <v>2.2259999999995728E-2</v>
      </c>
      <c r="J10" s="274">
        <f t="shared" si="0"/>
        <v>-0.18695999999999913</v>
      </c>
      <c r="K10" s="307">
        <f t="shared" si="0"/>
        <v>-0.1647000000000034</v>
      </c>
      <c r="L10" s="274"/>
      <c r="M10" s="274">
        <f t="shared" si="1"/>
        <v>6.0620000000000118E-2</v>
      </c>
      <c r="N10" s="274">
        <f t="shared" si="1"/>
        <v>-0.13380999999999688</v>
      </c>
      <c r="O10" s="307">
        <f>+AC10</f>
        <v>-0.31707000000000107</v>
      </c>
      <c r="P10" s="274"/>
      <c r="Q10" s="274">
        <f t="shared" si="2"/>
        <v>8.2979999999999166E-2</v>
      </c>
      <c r="R10" s="310">
        <f t="shared" si="2"/>
        <v>-0.31707000000000107</v>
      </c>
      <c r="S10" s="274">
        <f t="shared" si="2"/>
        <v>-0.23410000000000508</v>
      </c>
      <c r="T10" s="272"/>
      <c r="U10" s="271"/>
      <c r="V10" s="255">
        <f t="shared" si="3"/>
        <v>2.2259999999995728E-2</v>
      </c>
      <c r="W10" s="255">
        <f t="shared" si="3"/>
        <v>-0.18695999999999913</v>
      </c>
      <c r="X10" s="255">
        <f t="shared" si="3"/>
        <v>-0.1647000000000034</v>
      </c>
      <c r="Y10" s="276">
        <f t="shared" si="4"/>
        <v>6.0620000000000118E-2</v>
      </c>
      <c r="Z10" s="255">
        <f t="shared" si="4"/>
        <v>-0.13380999999999688</v>
      </c>
      <c r="AA10" s="255">
        <f>+AA3-AA8</f>
        <v>-7.1500000000000341E-2</v>
      </c>
      <c r="AB10" s="255">
        <f t="shared" si="4"/>
        <v>8.2979999999999166E-2</v>
      </c>
      <c r="AC10" s="255">
        <f t="shared" si="4"/>
        <v>-0.31707000000000107</v>
      </c>
      <c r="AD10" s="255">
        <f>AD3-AD8</f>
        <v>-0.23410000000000508</v>
      </c>
      <c r="AE10" s="255"/>
      <c r="AF10" s="255"/>
      <c r="AG10" s="243"/>
      <c r="AH10" s="276"/>
      <c r="AI10" s="255"/>
    </row>
    <row r="11" spans="1:35">
      <c r="A11" s="187" t="s">
        <v>739</v>
      </c>
      <c r="B11" s="187" cm="1">
        <f t="array" aca="1" ref="B11" ca="1">INDIRECT(A11)</f>
        <v>0</v>
      </c>
      <c r="H11" s="271" t="s">
        <v>459</v>
      </c>
      <c r="I11" s="311">
        <f>+V11</f>
        <v>6.094650448098772</v>
      </c>
      <c r="J11" s="664">
        <f>-W11</f>
        <v>-139.99636065737522</v>
      </c>
      <c r="K11" s="664">
        <f>-X11</f>
        <v>-133.90171020927642</v>
      </c>
      <c r="L11" s="277"/>
      <c r="M11" s="311">
        <f t="shared" si="1"/>
        <v>34.52220804313469</v>
      </c>
      <c r="N11" s="664">
        <f>-Z11</f>
        <v>-112.33094875917585</v>
      </c>
      <c r="O11" s="664">
        <f>-AC11</f>
        <v>-252.32730941655106</v>
      </c>
      <c r="P11" s="307"/>
      <c r="Q11" s="274">
        <f t="shared" si="2"/>
        <v>40.616858491233465</v>
      </c>
      <c r="R11" s="665">
        <f>-AC11</f>
        <v>-252.32730941655106</v>
      </c>
      <c r="S11" s="664">
        <f>-AD11</f>
        <v>-211.71045092531759</v>
      </c>
      <c r="T11" s="272"/>
      <c r="U11" s="260" t="s">
        <v>740</v>
      </c>
      <c r="V11" s="278">
        <f>INDEX(stats!$D:$D,MATCH(_xlfn.CONCAT($W$34,"_",V5,$U11),stats!$A:$A,0))/1000000000</f>
        <v>6.094650448098772</v>
      </c>
      <c r="W11" s="278">
        <f>INDEX(stats!$D:$D,MATCH(_xlfn.CONCAT($W$34,"_",W5,$U11),stats!$A:$A,0))/1000000000</f>
        <v>139.99636065737522</v>
      </c>
      <c r="X11" s="278">
        <f>INDEX(stats!$D:$D,MATCH(_xlfn.CONCAT($W$34,"_",X5,$U11),stats!$A:$A,0))/1000000000</f>
        <v>133.90171020927642</v>
      </c>
      <c r="Y11" s="278">
        <f>INDEX(stats!$D:$D,MATCH(_xlfn.CONCAT($W$34,"_",Y5,$U11),stats!$A:$A,0))/1000000000</f>
        <v>34.52220804313469</v>
      </c>
      <c r="Z11" s="278">
        <f>INDEX(stats!$D:$D,MATCH(_xlfn.CONCAT($W$34,"_",Z5,$U11),stats!$A:$A,0))/1000000000</f>
        <v>112.33094875917585</v>
      </c>
      <c r="AA11" s="278">
        <f>INDEX(stats!$D:$D,MATCH(_xlfn.CONCAT($W$34,"_",AA5,$U11),stats!$A:$A,0))/1000000000</f>
        <v>77.808740716041171</v>
      </c>
      <c r="AB11" s="278">
        <f>INDEX(stats!$D:$D,MATCH(_xlfn.CONCAT($W$34,"_",AB5,$U11),stats!$A:$A,0))/1000000000</f>
        <v>40.616858491233465</v>
      </c>
      <c r="AC11" s="278">
        <f>INDEX(stats!$D:$D,MATCH(_xlfn.CONCAT($W$34,"_",AC5,$U11),stats!$A:$A,0))/1000000000</f>
        <v>252.32730941655106</v>
      </c>
      <c r="AD11" s="279">
        <f>INDEX(stats!$D:$D,MATCH(_xlfn.CONCAT($W$34,"_",AD5,U11),stats!$A:$A,0))/1000000000</f>
        <v>211.71045092531759</v>
      </c>
      <c r="AE11" s="278"/>
      <c r="AF11" s="278"/>
      <c r="AG11" s="280"/>
      <c r="AH11" s="278"/>
      <c r="AI11" s="278"/>
    </row>
    <row r="12" spans="1:35">
      <c r="A12" s="187" t="s">
        <v>741</v>
      </c>
      <c r="B12" s="187" cm="1">
        <f t="array" aca="1" ref="B12" ca="1">INDIRECT(A12)</f>
        <v>0</v>
      </c>
      <c r="H12" s="281" t="s">
        <v>460</v>
      </c>
      <c r="I12" s="312">
        <f>+V12</f>
        <v>3.6970885338785391E-2</v>
      </c>
      <c r="J12" s="666">
        <f>-W12</f>
        <v>-0.84923482352062607</v>
      </c>
      <c r="K12" s="666">
        <f>-X12</f>
        <v>-0.81226393818184062</v>
      </c>
      <c r="L12" s="283"/>
      <c r="M12" s="313">
        <f t="shared" si="1"/>
        <v>0.20941588136569422</v>
      </c>
      <c r="N12" s="666">
        <f>-Z12</f>
        <v>-0.68141309529375704</v>
      </c>
      <c r="O12" s="666">
        <f>-AC12</f>
        <v>-1.5306479188143831</v>
      </c>
      <c r="P12" s="313"/>
      <c r="Q12" s="312">
        <f t="shared" si="2"/>
        <v>0.24638676670447965</v>
      </c>
      <c r="R12" s="667">
        <f>-AC12</f>
        <v>-1.5306479188143831</v>
      </c>
      <c r="S12" s="668">
        <f>-AD12</f>
        <v>-1.2842611521099034</v>
      </c>
      <c r="T12" s="272"/>
      <c r="U12" s="284">
        <f>GDP_2022</f>
        <v>16485</v>
      </c>
      <c r="V12" s="285">
        <f t="shared" ref="V12:AD12" si="5">100*(V11/$U12)</f>
        <v>3.6970885338785391E-2</v>
      </c>
      <c r="W12" s="285">
        <f t="shared" si="5"/>
        <v>0.84923482352062607</v>
      </c>
      <c r="X12" s="285">
        <f t="shared" si="5"/>
        <v>0.81226393818184062</v>
      </c>
      <c r="Y12" s="285">
        <f t="shared" si="5"/>
        <v>0.20941588136569422</v>
      </c>
      <c r="Z12" s="285">
        <f t="shared" si="5"/>
        <v>0.68141309529375704</v>
      </c>
      <c r="AA12" s="285">
        <f t="shared" si="5"/>
        <v>0.47199721392806288</v>
      </c>
      <c r="AB12" s="285">
        <f t="shared" si="5"/>
        <v>0.24638676670447965</v>
      </c>
      <c r="AC12" s="285">
        <f t="shared" si="5"/>
        <v>1.5306479188143831</v>
      </c>
      <c r="AD12" s="285">
        <f t="shared" si="5"/>
        <v>1.2842611521099034</v>
      </c>
      <c r="AE12" s="285"/>
      <c r="AF12" s="285"/>
      <c r="AG12" s="286"/>
      <c r="AH12" s="285"/>
      <c r="AI12" s="285"/>
    </row>
    <row r="13" spans="1:35">
      <c r="S13" s="245"/>
      <c r="T13" s="245"/>
    </row>
    <row r="14" spans="1:35">
      <c r="A14" s="248" t="s">
        <v>682</v>
      </c>
      <c r="B14" s="187" t="s">
        <v>352</v>
      </c>
      <c r="D14" s="243"/>
      <c r="E14" s="250"/>
      <c r="V14" s="259"/>
      <c r="W14" s="259"/>
      <c r="X14" s="259"/>
      <c r="Y14" s="259"/>
      <c r="Z14" s="259"/>
      <c r="AA14" s="259"/>
    </row>
    <row r="15" spans="1:35">
      <c r="A15" s="249" t="s">
        <v>683</v>
      </c>
      <c r="B15" s="250" t="s">
        <v>684</v>
      </c>
      <c r="R15" s="254"/>
      <c r="U15" s="260"/>
      <c r="V15" s="255"/>
      <c r="W15" s="255"/>
      <c r="X15" s="261"/>
      <c r="Y15" s="255"/>
      <c r="Z15" s="255"/>
      <c r="AA15" s="255"/>
    </row>
    <row r="16" spans="1:35">
      <c r="A16" s="248" t="s">
        <v>685</v>
      </c>
      <c r="B16" s="187" t="s">
        <v>686</v>
      </c>
      <c r="U16" s="260"/>
      <c r="V16" s="287" t="s">
        <v>742</v>
      </c>
      <c r="W16" s="255"/>
      <c r="X16" s="261"/>
      <c r="Y16" s="255"/>
      <c r="Z16" s="255"/>
      <c r="AA16" s="255"/>
    </row>
    <row r="18" spans="8:35">
      <c r="H18" s="242"/>
      <c r="I18" s="858" t="s">
        <v>418</v>
      </c>
      <c r="J18" s="858"/>
      <c r="K18" s="264"/>
      <c r="L18" s="264"/>
      <c r="M18" s="858" t="s">
        <v>432</v>
      </c>
      <c r="N18" s="858"/>
      <c r="O18" s="265"/>
      <c r="P18" s="265"/>
      <c r="V18" s="287" t="s">
        <v>743</v>
      </c>
      <c r="W18" s="287" t="s">
        <v>744</v>
      </c>
      <c r="Y18" s="287" t="s">
        <v>745</v>
      </c>
      <c r="Z18" s="287" t="s">
        <v>746</v>
      </c>
      <c r="AA18" s="287"/>
      <c r="AC18" s="262"/>
      <c r="AE18" s="259"/>
      <c r="AF18" s="259"/>
      <c r="AG18" s="248"/>
      <c r="AH18" s="259"/>
      <c r="AI18" s="259"/>
    </row>
    <row r="19" spans="8:35">
      <c r="H19" s="267"/>
      <c r="I19" s="268" t="s">
        <v>426</v>
      </c>
      <c r="J19" s="268" t="s">
        <v>439</v>
      </c>
      <c r="K19" s="268"/>
      <c r="L19" s="268"/>
      <c r="M19" s="268" t="s">
        <v>426</v>
      </c>
      <c r="N19" s="268" t="s">
        <v>439</v>
      </c>
      <c r="O19" s="265"/>
      <c r="P19" s="265"/>
      <c r="V19" s="258" t="s">
        <v>747</v>
      </c>
      <c r="W19" s="258" t="s">
        <v>748</v>
      </c>
      <c r="Y19" s="258" t="s">
        <v>749</v>
      </c>
      <c r="Z19" s="258" t="s">
        <v>750</v>
      </c>
      <c r="AC19" s="262"/>
      <c r="AD19" s="260"/>
      <c r="AE19" s="255"/>
      <c r="AF19" s="255"/>
      <c r="AG19" s="256"/>
      <c r="AH19" s="255"/>
      <c r="AI19" s="255"/>
    </row>
    <row r="20" spans="8:35">
      <c r="H20" s="271" t="s">
        <v>733</v>
      </c>
      <c r="I20" s="272">
        <f t="shared" ref="I20:J23" si="6">+V20</f>
        <v>38.128908694985839</v>
      </c>
      <c r="J20" s="272">
        <f t="shared" si="6"/>
        <v>38.454916941149051</v>
      </c>
      <c r="K20" s="272"/>
      <c r="L20" s="265"/>
      <c r="M20" s="272">
        <f t="shared" ref="M20:N23" si="7">+Y20</f>
        <v>38.341213381002845</v>
      </c>
      <c r="N20" s="272">
        <f t="shared" si="7"/>
        <v>38.314604042406373</v>
      </c>
      <c r="O20" s="272"/>
      <c r="P20" s="272"/>
      <c r="S20" s="260"/>
      <c r="T20" s="260"/>
      <c r="U20" s="260" t="s">
        <v>734</v>
      </c>
      <c r="V20" s="258">
        <f>100*INDEX(stats!$D:$D,MATCH(_xlfn.CONCAT($W$34,"_",V$19,$U20),stats!$A:$A,0))</f>
        <v>38.128908694985839</v>
      </c>
      <c r="W20" s="258">
        <f>100*INDEX(stats!$D:$D,MATCH(_xlfn.CONCAT($W$34,"_",W$19,$U20),stats!$A:$A,0))</f>
        <v>38.454916941149051</v>
      </c>
      <c r="Y20" s="258">
        <f>100*INDEX(stats!$D:$D,MATCH(_xlfn.CONCAT($W$34,"_",Y$19,$U20),stats!$A:$A,0))</f>
        <v>38.341213381002845</v>
      </c>
      <c r="Z20" s="258">
        <f>100*INDEX(stats!$D:$D,MATCH(_xlfn.CONCAT($W$34,"_",Z$19,$U20),stats!$A:$A,0))</f>
        <v>38.314604042406373</v>
      </c>
      <c r="AC20" s="262"/>
      <c r="AD20" s="260"/>
      <c r="AE20" s="255"/>
      <c r="AF20" s="255"/>
      <c r="AG20" s="256"/>
      <c r="AH20" s="255"/>
      <c r="AI20" s="255"/>
    </row>
    <row r="21" spans="8:35">
      <c r="H21" s="271" t="s">
        <v>735</v>
      </c>
      <c r="I21" s="272">
        <f t="shared" si="6"/>
        <v>38.075779999999995</v>
      </c>
      <c r="J21" s="272">
        <f t="shared" si="6"/>
        <v>37.897120000000001</v>
      </c>
      <c r="K21" s="272"/>
      <c r="L21" s="265"/>
      <c r="M21" s="272">
        <f t="shared" si="7"/>
        <v>38.020150000000001</v>
      </c>
      <c r="N21" s="272">
        <f t="shared" si="7"/>
        <v>37.899860000000004</v>
      </c>
      <c r="O21" s="272"/>
      <c r="P21" s="272"/>
      <c r="S21" s="260"/>
      <c r="T21" s="260"/>
      <c r="U21" s="260" t="s">
        <v>736</v>
      </c>
      <c r="V21" s="258">
        <f>100*INDEX(stats!$D:$D,MATCH(_xlfn.CONCAT($W$34,"_",V$19,$U21),stats!$A:$A,0))</f>
        <v>38.075779999999995</v>
      </c>
      <c r="W21" s="258">
        <f>100*INDEX(stats!$D:$D,MATCH(_xlfn.CONCAT($W$34,"_",W$19,$U21),stats!$A:$A,0))</f>
        <v>37.897120000000001</v>
      </c>
      <c r="Y21" s="258">
        <f>100*INDEX(stats!$D:$D,MATCH(_xlfn.CONCAT($W$34,"_",Y$19,$U21),stats!$A:$A,0))</f>
        <v>38.020150000000001</v>
      </c>
      <c r="Z21" s="258">
        <f>100*INDEX(stats!$D:$D,MATCH(_xlfn.CONCAT($W$34,"_",Z$19,$U21),stats!$A:$A,0))</f>
        <v>37.899860000000004</v>
      </c>
      <c r="AC21" s="262"/>
    </row>
    <row r="22" spans="8:35">
      <c r="H22" s="271" t="s">
        <v>456</v>
      </c>
      <c r="I22" s="273">
        <f t="shared" si="6"/>
        <v>0.38895486649144573</v>
      </c>
      <c r="J22" s="273">
        <f t="shared" si="6"/>
        <v>6.2946620328233394E-2</v>
      </c>
      <c r="K22" s="273"/>
      <c r="L22" s="274"/>
      <c r="M22" s="273">
        <f t="shared" si="7"/>
        <v>0.17665018047443937</v>
      </c>
      <c r="N22" s="273">
        <f t="shared" si="7"/>
        <v>0.20325951907091167</v>
      </c>
      <c r="O22" s="273"/>
      <c r="P22" s="273"/>
      <c r="S22" s="260"/>
      <c r="T22" s="260"/>
      <c r="U22" s="271"/>
      <c r="V22" s="255">
        <f>+V2-V20</f>
        <v>0.38895486649144573</v>
      </c>
      <c r="W22" s="255">
        <f>+W2-W20</f>
        <v>6.2946620328233394E-2</v>
      </c>
      <c r="Y22" s="255">
        <f>+Y2-Y20</f>
        <v>0.17665018047443937</v>
      </c>
      <c r="Z22" s="255">
        <f>+Z2-Z20</f>
        <v>0.20325951907091167</v>
      </c>
      <c r="AA22" s="255"/>
      <c r="AC22" s="262"/>
      <c r="AI22" s="259"/>
    </row>
    <row r="23" spans="8:35" ht="15.6">
      <c r="H23" s="271" t="s">
        <v>458</v>
      </c>
      <c r="I23" s="273">
        <f t="shared" si="6"/>
        <v>-0.1830099999999959</v>
      </c>
      <c r="J23" s="273">
        <f t="shared" si="6"/>
        <v>-4.3500000000022965E-3</v>
      </c>
      <c r="K23" s="273"/>
      <c r="L23" s="274"/>
      <c r="M23" s="273">
        <f t="shared" si="7"/>
        <v>-0.12738000000000227</v>
      </c>
      <c r="N23" s="273">
        <f t="shared" si="7"/>
        <v>-7.0900000000051477E-3</v>
      </c>
      <c r="O23" s="273"/>
      <c r="P23" s="273"/>
      <c r="S23" s="288"/>
      <c r="T23" s="288"/>
      <c r="U23" s="271"/>
      <c r="V23" s="255">
        <f>+V3-V21</f>
        <v>-0.1830099999999959</v>
      </c>
      <c r="W23" s="255">
        <f>+W3-W21</f>
        <v>-4.3500000000022965E-3</v>
      </c>
      <c r="Y23" s="276">
        <f>+Y3-Y21</f>
        <v>-0.12738000000000227</v>
      </c>
      <c r="Z23" s="255">
        <f>+Z3-Z21</f>
        <v>-7.0900000000051477E-3</v>
      </c>
      <c r="AA23" s="255"/>
      <c r="AC23" s="262"/>
    </row>
    <row r="24" spans="8:35">
      <c r="H24" s="271" t="s">
        <v>459</v>
      </c>
      <c r="I24" s="669">
        <f>-V24</f>
        <v>-120.28019686259547</v>
      </c>
      <c r="J24" s="669">
        <f>-W24</f>
        <v>-19.716163794779725</v>
      </c>
      <c r="K24" s="669"/>
      <c r="L24" s="670"/>
      <c r="M24" s="669">
        <f>-Y24</f>
        <v>-70.855575161216592</v>
      </c>
      <c r="N24" s="669">
        <f>-Z24</f>
        <v>-41.475373597959262</v>
      </c>
      <c r="O24" s="272"/>
      <c r="P24" s="272"/>
      <c r="U24" s="260" t="s">
        <v>740</v>
      </c>
      <c r="V24" s="278">
        <f>INDEX(stats!$D:$D,MATCH(_xlfn.CONCAT($W$34,"_",V18,$U24),stats!$A:$A,0))/1000000000</f>
        <v>120.28019686259547</v>
      </c>
      <c r="W24" s="278">
        <f>INDEX(stats!$D:$D,MATCH(_xlfn.CONCAT($W$34,"_",W18,$U24),stats!$A:$A,0))/1000000000</f>
        <v>19.716163794779725</v>
      </c>
      <c r="X24" s="278"/>
      <c r="Y24" s="278">
        <f>INDEX(stats!$D:$D,MATCH(_xlfn.CONCAT($W$34,"_",Y18,$U24),stats!$A:$A,0))/1000000000</f>
        <v>70.855575161216592</v>
      </c>
      <c r="Z24" s="278">
        <f>INDEX(stats!$D:$D,MATCH(_xlfn.CONCAT($W$34,"_",Z18,$U24),stats!$A:$A,0))/1000000000</f>
        <v>41.475373597959262</v>
      </c>
      <c r="AA24" s="278"/>
      <c r="AD24" s="260"/>
    </row>
    <row r="25" spans="8:35">
      <c r="H25" s="281" t="s">
        <v>460</v>
      </c>
      <c r="I25" s="282">
        <f>-V25</f>
        <v>-0.72963419388896256</v>
      </c>
      <c r="J25" s="282">
        <f>-W25</f>
        <v>-0.11960062963166347</v>
      </c>
      <c r="K25" s="282"/>
      <c r="L25" s="283"/>
      <c r="M25" s="282">
        <f>-Y25</f>
        <v>-0.42981847231553888</v>
      </c>
      <c r="N25" s="282">
        <f>-Z25</f>
        <v>-0.25159462297821816</v>
      </c>
      <c r="O25" s="272"/>
      <c r="P25" s="272"/>
      <c r="U25" s="284">
        <f>GDP_2022</f>
        <v>16485</v>
      </c>
      <c r="V25" s="285">
        <f>100*(V24/$U25)</f>
        <v>0.72963419388896256</v>
      </c>
      <c r="W25" s="285">
        <f>100*(W24/$U25)</f>
        <v>0.11960062963166347</v>
      </c>
      <c r="X25" s="285"/>
      <c r="Y25" s="285">
        <f>100*(Y24/$U25)</f>
        <v>0.42981847231553888</v>
      </c>
      <c r="Z25" s="285">
        <f>100*(Z24/$U25)</f>
        <v>0.25159462297821816</v>
      </c>
      <c r="AA25" s="285"/>
      <c r="AD25" s="260"/>
    </row>
    <row r="26" spans="8:35">
      <c r="AD26" s="271"/>
      <c r="AE26" s="255"/>
      <c r="AF26" s="255"/>
      <c r="AG26" s="243"/>
      <c r="AH26" s="275"/>
      <c r="AI26" s="275"/>
    </row>
    <row r="27" spans="8:35">
      <c r="AD27" s="271"/>
      <c r="AE27" s="255"/>
      <c r="AF27" s="255"/>
      <c r="AG27" s="243"/>
      <c r="AH27" s="276"/>
      <c r="AI27" s="255"/>
    </row>
    <row r="28" spans="8:35">
      <c r="I28" s="257" t="s">
        <v>751</v>
      </c>
      <c r="AD28" s="260"/>
      <c r="AE28" s="279"/>
      <c r="AF28" s="289"/>
      <c r="AG28" s="280"/>
      <c r="AH28" s="278"/>
      <c r="AI28" s="278"/>
    </row>
    <row r="29" spans="8:35" ht="15.6">
      <c r="H29" s="257" t="s">
        <v>752</v>
      </c>
      <c r="I29" s="257" t="s">
        <v>753</v>
      </c>
      <c r="AD29" s="290"/>
      <c r="AG29" s="286"/>
      <c r="AH29" s="285"/>
      <c r="AI29" s="285"/>
    </row>
    <row r="30" spans="8:35">
      <c r="AD30" s="287"/>
      <c r="AE30" s="279"/>
    </row>
    <row r="31" spans="8:35">
      <c r="I31" s="257" t="s">
        <v>754</v>
      </c>
    </row>
    <row r="32" spans="8:35">
      <c r="H32" s="257" t="s">
        <v>752</v>
      </c>
      <c r="I32" s="257" t="s">
        <v>755</v>
      </c>
    </row>
    <row r="33" spans="22:23">
      <c r="V33" s="187" t="s">
        <v>687</v>
      </c>
      <c r="W33" s="187" t="s">
        <v>688</v>
      </c>
    </row>
    <row r="34" spans="22:23">
      <c r="V34" s="1" t="str">
        <f>H2</f>
        <v>Baseline</v>
      </c>
      <c r="W34" s="1">
        <f>VLOOKUP(V34,labels!$F$2:$G$8,2,FALSE)</f>
        <v>1</v>
      </c>
    </row>
  </sheetData>
  <mergeCells count="5">
    <mergeCell ref="Q5:S5"/>
    <mergeCell ref="I18:J18"/>
    <mergeCell ref="M18:N18"/>
    <mergeCell ref="I5:K5"/>
    <mergeCell ref="M5:O5"/>
  </mergeCells>
  <dataValidations count="1">
    <dataValidation type="list" allowBlank="1" showInputMessage="1" showErrorMessage="1" sqref="H2" xr:uid="{00000000-0002-0000-1300-000000000000}">
      <formula1>scenarios</formula1>
    </dataValidation>
  </dataValidation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61DC9-CF70-46ED-BD44-9D40CE22BD7D}">
  <sheetPr codeName="Hoja20">
    <tabColor rgb="FF90ECA6"/>
  </sheetPr>
  <dimension ref="A2:V29"/>
  <sheetViews>
    <sheetView topLeftCell="G1" workbookViewId="0">
      <selection activeCell="X13" sqref="X13"/>
    </sheetView>
  </sheetViews>
  <sheetFormatPr baseColWidth="10" defaultColWidth="17" defaultRowHeight="14.4"/>
  <cols>
    <col min="1" max="1" width="9.33203125" style="1" customWidth="1"/>
    <col min="2" max="6" width="8" style="1" customWidth="1"/>
    <col min="7" max="7" width="4" style="1" customWidth="1"/>
    <col min="8" max="8" width="17" style="1"/>
    <col min="9" max="9" width="19" style="1" bestFit="1" customWidth="1"/>
    <col min="10" max="10" width="18.6640625" style="1" customWidth="1"/>
    <col min="11" max="14" width="11.6640625" style="1" customWidth="1"/>
    <col min="15" max="17" width="7.44140625" style="1" customWidth="1"/>
    <col min="18" max="18" width="3" style="1" hidden="1" customWidth="1"/>
    <col min="19" max="19" width="25.33203125" style="1" hidden="1" customWidth="1"/>
    <col min="20" max="22" width="17" style="1" hidden="1" customWidth="1"/>
    <col min="23" max="23" width="17" style="1" customWidth="1"/>
    <col min="24" max="16384" width="17" style="1"/>
  </cols>
  <sheetData>
    <row r="2" spans="1:22">
      <c r="H2" s="196" t="s">
        <v>673</v>
      </c>
      <c r="I2" s="293" t="s">
        <v>14</v>
      </c>
    </row>
    <row r="3" spans="1:22">
      <c r="H3" s="196" t="s">
        <v>693</v>
      </c>
      <c r="I3" s="293" t="s">
        <v>415</v>
      </c>
      <c r="K3" s="301"/>
      <c r="L3" s="301"/>
      <c r="M3" s="301"/>
      <c r="N3" s="301"/>
    </row>
    <row r="4" spans="1:22">
      <c r="A4" s="187" t="s">
        <v>400</v>
      </c>
      <c r="B4" s="187"/>
      <c r="C4" s="187"/>
      <c r="D4" s="187"/>
      <c r="E4" s="187"/>
      <c r="K4" s="301">
        <v>2</v>
      </c>
      <c r="L4" s="301">
        <v>3</v>
      </c>
      <c r="M4" s="301">
        <v>4</v>
      </c>
      <c r="N4" s="301">
        <v>5</v>
      </c>
      <c r="O4" s="295"/>
    </row>
    <row r="5" spans="1:22" ht="27.6" customHeight="1">
      <c r="A5" s="187" t="s">
        <v>694</v>
      </c>
      <c r="B5" s="187" t="str">
        <f>labels!I2</f>
        <v>Bottom decile</v>
      </c>
      <c r="C5" s="187"/>
      <c r="D5" s="187"/>
      <c r="E5" s="187"/>
      <c r="J5" s="300" t="str">
        <f>_xlfn.CONCAT("Distribution of ",I3," in the ",I2," scenario")</f>
        <v>Distribution of Fuel Subsidies in the Baseline scenario</v>
      </c>
    </row>
    <row r="6" spans="1:22">
      <c r="A6" s="187" t="s">
        <v>695</v>
      </c>
      <c r="B6" s="187">
        <f>labels!I3</f>
        <v>2</v>
      </c>
      <c r="C6" s="187"/>
      <c r="D6" s="187"/>
      <c r="E6" s="187"/>
      <c r="J6" s="1" t="str">
        <f ca="1">_xlfn.CONCAT("(",B18,")")</f>
        <v>(Percentage of Disposable Income)</v>
      </c>
      <c r="S6" s="295">
        <v>2</v>
      </c>
      <c r="T6" s="295">
        <v>3</v>
      </c>
      <c r="U6" s="295">
        <v>4</v>
      </c>
      <c r="V6" s="295">
        <v>5</v>
      </c>
    </row>
    <row r="7" spans="1:22" ht="28.8">
      <c r="A7" s="251" t="s">
        <v>696</v>
      </c>
      <c r="B7" s="187">
        <f>labels!I4</f>
        <v>3</v>
      </c>
      <c r="C7" s="187"/>
      <c r="D7" s="187"/>
      <c r="E7" s="187"/>
      <c r="J7" s="297" t="str">
        <f>B15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S7" s="296" t="str">
        <f>IF(HLOOKUP($I$3,colcodes,S6,FALSE)&lt;&gt;0,HLOOKUP($I$3,colcodes,S6,FALSE),"")</f>
        <v>subsidy_fuel_direct</v>
      </c>
      <c r="T7" s="296" t="str">
        <f>IF(HLOOKUP($I$3,colcodes,T6,FALSE)&lt;&gt;0,HLOOKUP($I$3,colcodes,T6,FALSE),"")</f>
        <v>subsidy_fuel_indirect</v>
      </c>
      <c r="U7" s="296" t="str">
        <f>IF(HLOOKUP($I$3,colcodes,U6,FALSE)&lt;&gt;0,HLOOKUP($I$3,colcodes,U6,FALSE),"")</f>
        <v>subsidy_fuel</v>
      </c>
      <c r="V7" s="296" t="str">
        <f>IF(HLOOKUP($I$3,colcodes,V6,FALSE)&lt;&gt;0,HLOOKUP($I$3,colcodes,V6,FALSE),"")</f>
        <v/>
      </c>
    </row>
    <row r="8" spans="1:22">
      <c r="A8" s="187" t="s">
        <v>697</v>
      </c>
      <c r="B8" s="187">
        <f>labels!I5</f>
        <v>4</v>
      </c>
      <c r="C8" s="187"/>
      <c r="D8" s="187"/>
      <c r="E8" s="187"/>
      <c r="J8" s="298" t="str">
        <f t="shared" ref="J8:J17" si="0">B5</f>
        <v>Bottom decile</v>
      </c>
      <c r="K8" s="299">
        <f>_xlfn.IFNA(100*INDEX(stats!$D:$D,MATCH(S8,stats!$A:$A,0)),"")</f>
        <v>0.27306197122921166</v>
      </c>
      <c r="L8" s="299">
        <f>_xlfn.IFNA(100*INDEX(stats!$D:$D,MATCH(T8,stats!$A:$A,0)),"")</f>
        <v>0.3289242627940841</v>
      </c>
      <c r="M8" s="299">
        <f>_xlfn.IFNA(100*INDEX(stats!$D:$D,MATCH(U8,stats!$A:$A,0)),"")</f>
        <v>0.60198623402329576</v>
      </c>
      <c r="N8" s="299" t="str">
        <f>_xlfn.IFNA(IF(N$7="Total",SUM($K8:M8),100*INDEX(stats!$D:$D,MATCH(V8,stats!$A:$A,0))),"")</f>
        <v/>
      </c>
      <c r="R8" s="252">
        <v>1</v>
      </c>
      <c r="S8" s="1" t="str">
        <f>_xlfn.CONCAT($B$29,"_",S$7,"_pc_netcash__yd_",$R8)</f>
        <v>1_subsidy_fuel_direct_pc_netcash__yd_1</v>
      </c>
      <c r="T8" s="1" t="str">
        <f>_xlfn.CONCAT($B$29,"_",T$7,"_pc_netcash__yd_",$R8)</f>
        <v>1_subsidy_fuel_indirect_pc_netcash__yd_1</v>
      </c>
      <c r="U8" s="1" t="str">
        <f>_xlfn.CONCAT($B$29,"_",U$7,"_pc_netcash__yd_",$R8)</f>
        <v>1_subsidy_fuel_pc_netcash__yd_1</v>
      </c>
      <c r="V8" s="1" t="str">
        <f>_xlfn.CONCAT($B$29,"_",V$7,"_pc_netcash__yd_",$R8)</f>
        <v>1__pc_netcash__yd_1</v>
      </c>
    </row>
    <row r="9" spans="1:22">
      <c r="A9" s="187" t="s">
        <v>698</v>
      </c>
      <c r="B9" s="187">
        <f>labels!I6</f>
        <v>5</v>
      </c>
      <c r="C9" s="187"/>
      <c r="D9" s="187"/>
      <c r="E9" s="187"/>
      <c r="J9" s="298">
        <f t="shared" si="0"/>
        <v>2</v>
      </c>
      <c r="K9" s="299">
        <f>_xlfn.IFNA(100*INDEX(stats!$D:$D,MATCH(S9,stats!$A:$A,0)),"")</f>
        <v>0.38075674211330962</v>
      </c>
      <c r="L9" s="299">
        <f>_xlfn.IFNA(100*INDEX(stats!$D:$D,MATCH(T9,stats!$A:$A,0)),"")</f>
        <v>0.36028599332093314</v>
      </c>
      <c r="M9" s="299">
        <f>_xlfn.IFNA(100*INDEX(stats!$D:$D,MATCH(U9,stats!$A:$A,0)),"")</f>
        <v>0.74104273543424282</v>
      </c>
      <c r="N9" s="299" t="str">
        <f>_xlfn.IFNA(IF(N$7="Total",SUM($K9:M9),100*INDEX(stats!$D:$D,MATCH(V9,stats!$A:$A,0))),"")</f>
        <v/>
      </c>
      <c r="R9" s="252">
        <v>2</v>
      </c>
      <c r="S9" s="1" t="str">
        <f t="shared" ref="S9:V17" si="1">_xlfn.CONCAT($B$29,"_",S$7,"_pc_netcash__yd_",$R9)</f>
        <v>1_subsidy_fuel_direct_pc_netcash__yd_2</v>
      </c>
      <c r="T9" s="1" t="str">
        <f t="shared" si="1"/>
        <v>1_subsidy_fuel_indirect_pc_netcash__yd_2</v>
      </c>
      <c r="U9" s="1" t="str">
        <f t="shared" si="1"/>
        <v>1_subsidy_fuel_pc_netcash__yd_2</v>
      </c>
      <c r="V9" s="1" t="str">
        <f t="shared" si="1"/>
        <v>1__pc_netcash__yd_2</v>
      </c>
    </row>
    <row r="10" spans="1:22">
      <c r="A10" s="187" t="s">
        <v>699</v>
      </c>
      <c r="B10" s="187">
        <f>labels!I7</f>
        <v>6</v>
      </c>
      <c r="C10" s="187"/>
      <c r="D10" s="187"/>
      <c r="E10" s="187"/>
      <c r="J10" s="298">
        <f t="shared" si="0"/>
        <v>3</v>
      </c>
      <c r="K10" s="299">
        <f>_xlfn.IFNA(100*INDEX(stats!$D:$D,MATCH(S10,stats!$A:$A,0)),"")</f>
        <v>0.31611845255830928</v>
      </c>
      <c r="L10" s="299">
        <f>_xlfn.IFNA(100*INDEX(stats!$D:$D,MATCH(T10,stats!$A:$A,0)),"")</f>
        <v>0.36705643966509383</v>
      </c>
      <c r="M10" s="299">
        <f>_xlfn.IFNA(100*INDEX(stats!$D:$D,MATCH(U10,stats!$A:$A,0)),"")</f>
        <v>0.68317489222340322</v>
      </c>
      <c r="N10" s="299" t="str">
        <f>_xlfn.IFNA(IF(N$7="Total",SUM($K10:M10),100*INDEX(stats!$D:$D,MATCH(V10,stats!$A:$A,0))),"")</f>
        <v/>
      </c>
      <c r="R10" s="252">
        <v>3</v>
      </c>
      <c r="S10" s="1" t="str">
        <f t="shared" si="1"/>
        <v>1_subsidy_fuel_direct_pc_netcash__yd_3</v>
      </c>
      <c r="T10" s="1" t="str">
        <f t="shared" si="1"/>
        <v>1_subsidy_fuel_indirect_pc_netcash__yd_3</v>
      </c>
      <c r="U10" s="1" t="str">
        <f t="shared" si="1"/>
        <v>1_subsidy_fuel_pc_netcash__yd_3</v>
      </c>
      <c r="V10" s="1" t="str">
        <f t="shared" si="1"/>
        <v>1__pc_netcash__yd_3</v>
      </c>
    </row>
    <row r="11" spans="1:22">
      <c r="A11" s="187" t="s">
        <v>700</v>
      </c>
      <c r="B11" s="187">
        <f>labels!I8</f>
        <v>7</v>
      </c>
      <c r="C11" s="187"/>
      <c r="D11" s="187"/>
      <c r="E11" s="187"/>
      <c r="J11" s="298">
        <f t="shared" si="0"/>
        <v>4</v>
      </c>
      <c r="K11" s="299">
        <f>_xlfn.IFNA(100*INDEX(stats!$D:$D,MATCH(S11,stats!$A:$A,0)),"")</f>
        <v>0.35497759472974699</v>
      </c>
      <c r="L11" s="299">
        <f>_xlfn.IFNA(100*INDEX(stats!$D:$D,MATCH(T11,stats!$A:$A,0)),"")</f>
        <v>0.38865667458878972</v>
      </c>
      <c r="M11" s="299">
        <f>_xlfn.IFNA(100*INDEX(stats!$D:$D,MATCH(U11,stats!$A:$A,0)),"")</f>
        <v>0.74363426931853671</v>
      </c>
      <c r="N11" s="299" t="str">
        <f>_xlfn.IFNA(IF(N$7="Total",SUM($K11:M11),100*INDEX(stats!$D:$D,MATCH(V11,stats!$A:$A,0))),"")</f>
        <v/>
      </c>
      <c r="R11" s="252">
        <v>4</v>
      </c>
      <c r="S11" s="1" t="str">
        <f t="shared" si="1"/>
        <v>1_subsidy_fuel_direct_pc_netcash__yd_4</v>
      </c>
      <c r="T11" s="1" t="str">
        <f t="shared" si="1"/>
        <v>1_subsidy_fuel_indirect_pc_netcash__yd_4</v>
      </c>
      <c r="U11" s="1" t="str">
        <f t="shared" si="1"/>
        <v>1_subsidy_fuel_pc_netcash__yd_4</v>
      </c>
      <c r="V11" s="1" t="str">
        <f t="shared" si="1"/>
        <v>1__pc_netcash__yd_4</v>
      </c>
    </row>
    <row r="12" spans="1:22">
      <c r="A12" s="187" t="s">
        <v>701</v>
      </c>
      <c r="B12" s="187">
        <f>labels!I9</f>
        <v>8</v>
      </c>
      <c r="C12" s="187"/>
      <c r="D12" s="187"/>
      <c r="E12" s="187"/>
      <c r="J12" s="298">
        <f t="shared" si="0"/>
        <v>5</v>
      </c>
      <c r="K12" s="299">
        <f>_xlfn.IFNA(100*INDEX(stats!$D:$D,MATCH(S12,stats!$A:$A,0)),"")</f>
        <v>0.43797507581312711</v>
      </c>
      <c r="L12" s="299">
        <f>_xlfn.IFNA(100*INDEX(stats!$D:$D,MATCH(T12,stats!$A:$A,0)),"")</f>
        <v>0.39408544362300746</v>
      </c>
      <c r="M12" s="299">
        <f>_xlfn.IFNA(100*INDEX(stats!$D:$D,MATCH(U12,stats!$A:$A,0)),"")</f>
        <v>0.83206051943613468</v>
      </c>
      <c r="N12" s="299" t="str">
        <f>_xlfn.IFNA(IF(N$7="Total",SUM($K12:M12),100*INDEX(stats!$D:$D,MATCH(V12,stats!$A:$A,0))),"")</f>
        <v/>
      </c>
      <c r="R12" s="252">
        <v>5</v>
      </c>
      <c r="S12" s="1" t="str">
        <f t="shared" si="1"/>
        <v>1_subsidy_fuel_direct_pc_netcash__yd_5</v>
      </c>
      <c r="T12" s="1" t="str">
        <f t="shared" si="1"/>
        <v>1_subsidy_fuel_indirect_pc_netcash__yd_5</v>
      </c>
      <c r="U12" s="1" t="str">
        <f t="shared" si="1"/>
        <v>1_subsidy_fuel_pc_netcash__yd_5</v>
      </c>
      <c r="V12" s="1" t="str">
        <f t="shared" si="1"/>
        <v>1__pc_netcash__yd_5</v>
      </c>
    </row>
    <row r="13" spans="1:22">
      <c r="A13" s="187" t="s">
        <v>702</v>
      </c>
      <c r="B13" s="187">
        <f>labels!I10</f>
        <v>9</v>
      </c>
      <c r="C13" s="187"/>
      <c r="D13" s="187"/>
      <c r="E13" s="187"/>
      <c r="J13" s="298">
        <f t="shared" si="0"/>
        <v>6</v>
      </c>
      <c r="K13" s="299">
        <f>_xlfn.IFNA(100*INDEX(stats!$D:$D,MATCH(S13,stats!$A:$A,0)),"")</f>
        <v>0.50604452989921744</v>
      </c>
      <c r="L13" s="299">
        <f>_xlfn.IFNA(100*INDEX(stats!$D:$D,MATCH(T13,stats!$A:$A,0)),"")</f>
        <v>0.39360415713108315</v>
      </c>
      <c r="M13" s="299">
        <f>_xlfn.IFNA(100*INDEX(stats!$D:$D,MATCH(U13,stats!$A:$A,0)),"")</f>
        <v>0.89964868703030065</v>
      </c>
      <c r="N13" s="299" t="str">
        <f>_xlfn.IFNA(IF(N$7="Total",SUM($K13:M13),100*INDEX(stats!$D:$D,MATCH(V13,stats!$A:$A,0))),"")</f>
        <v/>
      </c>
      <c r="R13" s="252">
        <v>6</v>
      </c>
      <c r="S13" s="1" t="str">
        <f t="shared" si="1"/>
        <v>1_subsidy_fuel_direct_pc_netcash__yd_6</v>
      </c>
      <c r="T13" s="1" t="str">
        <f t="shared" si="1"/>
        <v>1_subsidy_fuel_indirect_pc_netcash__yd_6</v>
      </c>
      <c r="U13" s="1" t="str">
        <f t="shared" si="1"/>
        <v>1_subsidy_fuel_pc_netcash__yd_6</v>
      </c>
      <c r="V13" s="1" t="str">
        <f t="shared" si="1"/>
        <v>1__pc_netcash__yd_6</v>
      </c>
    </row>
    <row r="14" spans="1:22">
      <c r="A14" s="187" t="s">
        <v>703</v>
      </c>
      <c r="B14" s="187" t="str">
        <f>labels!I11</f>
        <v>Top decile</v>
      </c>
      <c r="C14" s="187"/>
      <c r="D14" s="187"/>
      <c r="E14" s="187"/>
      <c r="J14" s="298">
        <f t="shared" si="0"/>
        <v>7</v>
      </c>
      <c r="K14" s="299">
        <f>_xlfn.IFNA(100*INDEX(stats!$D:$D,MATCH(S14,stats!$A:$A,0)),"")</f>
        <v>0.53498929814240148</v>
      </c>
      <c r="L14" s="299">
        <f>_xlfn.IFNA(100*INDEX(stats!$D:$D,MATCH(T14,stats!$A:$A,0)),"")</f>
        <v>0.40257348552363215</v>
      </c>
      <c r="M14" s="299">
        <f>_xlfn.IFNA(100*INDEX(stats!$D:$D,MATCH(U14,stats!$A:$A,0)),"")</f>
        <v>0.93756278366603374</v>
      </c>
      <c r="N14" s="299" t="str">
        <f>_xlfn.IFNA(IF(N$7="Total",SUM($K14:M14),100*INDEX(stats!$D:$D,MATCH(V14,stats!$A:$A,0))),"")</f>
        <v/>
      </c>
      <c r="R14" s="252">
        <v>7</v>
      </c>
      <c r="S14" s="1" t="str">
        <f t="shared" si="1"/>
        <v>1_subsidy_fuel_direct_pc_netcash__yd_7</v>
      </c>
      <c r="T14" s="1" t="str">
        <f t="shared" si="1"/>
        <v>1_subsidy_fuel_indirect_pc_netcash__yd_7</v>
      </c>
      <c r="U14" s="1" t="str">
        <f t="shared" si="1"/>
        <v>1_subsidy_fuel_pc_netcash__yd_7</v>
      </c>
      <c r="V14" s="1" t="str">
        <f t="shared" si="1"/>
        <v>1__pc_netcash__yd_7</v>
      </c>
    </row>
    <row r="15" spans="1:22">
      <c r="A15" s="187" t="s">
        <v>704</v>
      </c>
      <c r="B15" s="187" t="str">
        <f>labels!J2</f>
        <v>Deciles of Per Capita Disposable Income</v>
      </c>
      <c r="C15" s="187"/>
      <c r="D15" s="187"/>
      <c r="E15" s="187"/>
      <c r="J15" s="298">
        <f t="shared" si="0"/>
        <v>8</v>
      </c>
      <c r="K15" s="299">
        <f>_xlfn.IFNA(100*INDEX(stats!$D:$D,MATCH(S15,stats!$A:$A,0)),"")</f>
        <v>0.7063797417061326</v>
      </c>
      <c r="L15" s="299">
        <f>_xlfn.IFNA(100*INDEX(stats!$D:$D,MATCH(T15,stats!$A:$A,0)),"")</f>
        <v>0.40244905314516827</v>
      </c>
      <c r="M15" s="299">
        <f>_xlfn.IFNA(100*INDEX(stats!$D:$D,MATCH(U15,stats!$A:$A,0)),"")</f>
        <v>1.1088287948513009</v>
      </c>
      <c r="N15" s="299" t="str">
        <f>_xlfn.IFNA(IF(N$7="Total",SUM($K15:M15),100*INDEX(stats!$D:$D,MATCH(V15,stats!$A:$A,0))),"")</f>
        <v/>
      </c>
      <c r="R15" s="252">
        <v>8</v>
      </c>
      <c r="S15" s="1" t="str">
        <f t="shared" si="1"/>
        <v>1_subsidy_fuel_direct_pc_netcash__yd_8</v>
      </c>
      <c r="T15" s="1" t="str">
        <f t="shared" si="1"/>
        <v>1_subsidy_fuel_indirect_pc_netcash__yd_8</v>
      </c>
      <c r="U15" s="1" t="str">
        <f t="shared" si="1"/>
        <v>1_subsidy_fuel_pc_netcash__yd_8</v>
      </c>
      <c r="V15" s="1" t="str">
        <f t="shared" si="1"/>
        <v>1__pc_netcash__yd_8</v>
      </c>
    </row>
    <row r="16" spans="1:22">
      <c r="A16" s="187"/>
      <c r="B16" s="187"/>
      <c r="C16" s="187"/>
      <c r="D16" s="243"/>
      <c r="E16" s="250"/>
      <c r="J16" s="298">
        <f t="shared" si="0"/>
        <v>9</v>
      </c>
      <c r="K16" s="299">
        <f>_xlfn.IFNA(100*INDEX(stats!$D:$D,MATCH(S16,stats!$A:$A,0)),"")</f>
        <v>0.74301592560844143</v>
      </c>
      <c r="L16" s="299">
        <f>_xlfn.IFNA(100*INDEX(stats!$D:$D,MATCH(T16,stats!$A:$A,0)),"")</f>
        <v>0.39867946724971726</v>
      </c>
      <c r="M16" s="299">
        <f>_xlfn.IFNA(100*INDEX(stats!$D:$D,MATCH(U16,stats!$A:$A,0)),"")</f>
        <v>1.1416953928581586</v>
      </c>
      <c r="N16" s="299" t="str">
        <f>_xlfn.IFNA(IF(N$7="Total",SUM($K16:M16),100*INDEX(stats!$D:$D,MATCH(V16,stats!$A:$A,0))),"")</f>
        <v/>
      </c>
      <c r="R16" s="252">
        <v>9</v>
      </c>
      <c r="S16" s="1" t="str">
        <f t="shared" si="1"/>
        <v>1_subsidy_fuel_direct_pc_netcash__yd_9</v>
      </c>
      <c r="T16" s="1" t="str">
        <f t="shared" si="1"/>
        <v>1_subsidy_fuel_indirect_pc_netcash__yd_9</v>
      </c>
      <c r="U16" s="1" t="str">
        <f t="shared" si="1"/>
        <v>1_subsidy_fuel_pc_netcash__yd_9</v>
      </c>
      <c r="V16" s="1" t="str">
        <f t="shared" si="1"/>
        <v>1__pc_netcash__yd_9</v>
      </c>
    </row>
    <row r="17" spans="1:22">
      <c r="A17" s="187" t="s">
        <v>395</v>
      </c>
      <c r="B17" s="187"/>
      <c r="C17" s="187"/>
      <c r="D17" s="187"/>
      <c r="E17" s="187"/>
      <c r="I17" s="243"/>
      <c r="J17" s="298" t="str">
        <f t="shared" si="0"/>
        <v>Top decile</v>
      </c>
      <c r="K17" s="299">
        <f>_xlfn.IFNA(100*INDEX(stats!$D:$D,MATCH(S17,stats!$A:$A,0)),"")</f>
        <v>0.89877856149871083</v>
      </c>
      <c r="L17" s="299">
        <f>_xlfn.IFNA(100*INDEX(stats!$D:$D,MATCH(T17,stats!$A:$A,0)),"")</f>
        <v>0.40980617771800965</v>
      </c>
      <c r="M17" s="299">
        <f>_xlfn.IFNA(100*INDEX(stats!$D:$D,MATCH(U17,stats!$A:$A,0)),"")</f>
        <v>1.3085847392167205</v>
      </c>
      <c r="N17" s="299" t="str">
        <f>_xlfn.IFNA(IF(N$7="Total",SUM($K17:M17),100*INDEX(stats!$D:$D,MATCH(V17,stats!$A:$A,0))),"")</f>
        <v/>
      </c>
      <c r="R17" s="252">
        <v>10</v>
      </c>
      <c r="S17" s="1" t="str">
        <f t="shared" si="1"/>
        <v>1_subsidy_fuel_direct_pc_netcash__yd_10</v>
      </c>
      <c r="T17" s="1" t="str">
        <f t="shared" si="1"/>
        <v>1_subsidy_fuel_indirect_pc_netcash__yd_10</v>
      </c>
      <c r="U17" s="1" t="str">
        <f t="shared" si="1"/>
        <v>1_subsidy_fuel_pc_netcash__yd_10</v>
      </c>
      <c r="V17" s="1" t="str">
        <f t="shared" si="1"/>
        <v>1__pc_netcash__yd_10</v>
      </c>
    </row>
    <row r="18" spans="1:22">
      <c r="A18" s="187" t="s">
        <v>705</v>
      </c>
      <c r="B18" s="187" t="str" cm="1">
        <f t="array" aca="1" ref="B18" ca="1">+INDIRECT(A18)</f>
        <v>Percentage of Disposable Income</v>
      </c>
      <c r="C18" s="187"/>
      <c r="D18" s="187"/>
      <c r="E18" s="187"/>
      <c r="I18" s="243"/>
    </row>
    <row r="19" spans="1:22">
      <c r="A19" s="187" t="s">
        <v>678</v>
      </c>
      <c r="B19" s="187"/>
      <c r="C19" s="187"/>
      <c r="D19" s="187"/>
      <c r="E19" s="187"/>
    </row>
    <row r="20" spans="1:22">
      <c r="A20" s="187" t="s">
        <v>679</v>
      </c>
      <c r="B20" s="187" t="str" cm="1">
        <f t="array" aca="1" ref="B20" ca="1">+INDIRECT(A20)</f>
        <v>Tranche1</v>
      </c>
      <c r="C20" s="187"/>
      <c r="D20" s="187"/>
      <c r="E20" s="187"/>
    </row>
    <row r="21" spans="1:22">
      <c r="A21" s="187" t="s">
        <v>680</v>
      </c>
      <c r="B21" s="187" t="str" cm="1">
        <f t="array" aca="1" ref="B21" ca="1">+INDIRECT(A21)</f>
        <v>Tranche2</v>
      </c>
      <c r="C21" s="187"/>
      <c r="D21" s="187"/>
      <c r="E21" s="187"/>
    </row>
    <row r="22" spans="1:22">
      <c r="A22" s="187" t="s">
        <v>681</v>
      </c>
      <c r="B22" s="187" t="str" cm="1">
        <f t="array" aca="1" ref="B22" ca="1">+INDIRECT(A22)</f>
        <v>Tranche3</v>
      </c>
      <c r="C22" s="187"/>
      <c r="D22" s="187"/>
      <c r="E22" s="187"/>
    </row>
    <row r="23" spans="1:22">
      <c r="A23" s="187"/>
      <c r="B23" s="187"/>
      <c r="C23" s="187"/>
      <c r="D23" s="187"/>
      <c r="E23" s="187"/>
    </row>
    <row r="24" spans="1:22">
      <c r="A24" s="248" t="s">
        <v>682</v>
      </c>
      <c r="B24" s="187" t="s">
        <v>352</v>
      </c>
      <c r="C24" s="187"/>
      <c r="D24" s="187"/>
      <c r="E24" s="187"/>
    </row>
    <row r="25" spans="1:22">
      <c r="A25" s="249" t="s">
        <v>683</v>
      </c>
      <c r="B25" s="250" t="s">
        <v>684</v>
      </c>
      <c r="C25" s="187"/>
      <c r="D25" s="187"/>
      <c r="E25" s="187"/>
    </row>
    <row r="26" spans="1:22">
      <c r="A26" s="248" t="s">
        <v>685</v>
      </c>
      <c r="B26" s="187" t="s">
        <v>686</v>
      </c>
      <c r="C26" s="187"/>
      <c r="D26" s="187"/>
      <c r="E26" s="187"/>
    </row>
    <row r="27" spans="1:22">
      <c r="A27" s="187"/>
      <c r="B27" s="187"/>
      <c r="C27" s="187"/>
      <c r="D27" s="187"/>
      <c r="E27" s="187"/>
    </row>
    <row r="28" spans="1:22">
      <c r="A28" s="187" t="s">
        <v>687</v>
      </c>
      <c r="B28" s="187" t="s">
        <v>688</v>
      </c>
      <c r="C28" s="187"/>
      <c r="D28" s="187"/>
      <c r="E28" s="187"/>
    </row>
    <row r="29" spans="1:22">
      <c r="A29" s="1" t="str">
        <f>I2</f>
        <v>Baseline</v>
      </c>
      <c r="B29" s="1">
        <f>VLOOKUP(A29,labels!$F$2:$G$8,2,FALSE)</f>
        <v>1</v>
      </c>
    </row>
  </sheetData>
  <phoneticPr fontId="50" type="noConversion"/>
  <conditionalFormatting sqref="J7:N7">
    <cfRule type="cellIs" dxfId="1" priority="1" operator="notEqual">
      <formula>""</formula>
    </cfRule>
  </conditionalFormatting>
  <dataValidations count="2">
    <dataValidation type="list" allowBlank="1" showInputMessage="1" showErrorMessage="1" sqref="I3" xr:uid="{00000000-0002-0000-1400-000000000000}">
      <formula1>policies</formula1>
    </dataValidation>
    <dataValidation type="list" allowBlank="1" showInputMessage="1" showErrorMessage="1" sqref="I2" xr:uid="{00000000-0002-0000-1400-000001000000}">
      <formula1>scenarios</formula1>
    </dataValidation>
  </dataValidation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E716C-F69B-4E5A-8214-2E5817207966}">
  <sheetPr codeName="Hoja21">
    <tabColor rgb="FF90ECA6"/>
  </sheetPr>
  <dimension ref="A2:V34"/>
  <sheetViews>
    <sheetView topLeftCell="G1" zoomScale="85" zoomScaleNormal="85" workbookViewId="0">
      <selection activeCell="S10" sqref="S10"/>
    </sheetView>
  </sheetViews>
  <sheetFormatPr baseColWidth="10" defaultColWidth="17" defaultRowHeight="14.4"/>
  <cols>
    <col min="1" max="1" width="9.33203125" style="1" hidden="1" customWidth="1"/>
    <col min="2" max="6" width="8" style="1" hidden="1" customWidth="1"/>
    <col min="7" max="7" width="4" style="1" customWidth="1"/>
    <col min="8" max="8" width="17" style="1"/>
    <col min="9" max="9" width="21.21875" style="1" bestFit="1" customWidth="1"/>
    <col min="10" max="10" width="18.6640625" style="1" customWidth="1"/>
    <col min="11" max="12" width="11.6640625" style="1" customWidth="1"/>
    <col min="13" max="13" width="19.44140625" style="1" customWidth="1"/>
    <col min="14" max="14" width="11.6640625" style="1" customWidth="1"/>
    <col min="15" max="17" width="7.44140625" style="1" customWidth="1"/>
    <col min="18" max="18" width="3" style="1" bestFit="1" customWidth="1"/>
    <col min="19" max="19" width="31.44140625" style="1" bestFit="1" customWidth="1"/>
    <col min="20" max="20" width="32.88671875" style="1" bestFit="1" customWidth="1"/>
    <col min="21" max="21" width="37.109375" style="1" customWidth="1"/>
    <col min="22" max="22" width="15.33203125" style="1" bestFit="1" customWidth="1"/>
    <col min="23" max="23" width="17" style="1" customWidth="1"/>
    <col min="24" max="16384" width="17" style="1"/>
  </cols>
  <sheetData>
    <row r="2" spans="1:22">
      <c r="H2" s="196" t="s">
        <v>673</v>
      </c>
      <c r="I2" s="293" t="s">
        <v>14</v>
      </c>
    </row>
    <row r="3" spans="1:22">
      <c r="H3" s="196" t="s">
        <v>693</v>
      </c>
      <c r="I3" s="293" t="s">
        <v>415</v>
      </c>
    </row>
    <row r="4" spans="1:22">
      <c r="A4" s="187" t="s">
        <v>400</v>
      </c>
      <c r="B4" s="187"/>
      <c r="C4" s="187"/>
      <c r="D4" s="187"/>
      <c r="E4" s="187"/>
      <c r="K4" s="301">
        <v>2</v>
      </c>
      <c r="L4" s="301">
        <v>3</v>
      </c>
      <c r="M4" s="301">
        <v>4</v>
      </c>
      <c r="N4" s="301">
        <v>5</v>
      </c>
      <c r="O4" s="295"/>
    </row>
    <row r="5" spans="1:22" ht="27.6" customHeight="1">
      <c r="A5" s="187" t="str">
        <f>labels!I2</f>
        <v>Bottom decile</v>
      </c>
      <c r="C5" s="187"/>
      <c r="D5" s="187"/>
      <c r="E5" s="187"/>
      <c r="J5" s="300" t="str">
        <f>_xlfn.CONCAT("Distribution of ",I3," in the ",I2," scenario")</f>
        <v>Distribution of Fuel Subsidies in the Baseline scenario</v>
      </c>
    </row>
    <row r="6" spans="1:22">
      <c r="A6" s="187">
        <f>labels!I3</f>
        <v>2</v>
      </c>
      <c r="C6" s="187"/>
      <c r="D6" s="187"/>
      <c r="E6" s="187"/>
      <c r="J6" s="1" t="str">
        <f ca="1">_xlfn.CONCAT("(",B18,")")</f>
        <v>(Percentage of total subsidy)</v>
      </c>
      <c r="S6" s="295">
        <v>2</v>
      </c>
      <c r="T6" s="295">
        <v>3</v>
      </c>
      <c r="U6" s="295">
        <v>4</v>
      </c>
      <c r="V6" s="295">
        <v>5</v>
      </c>
    </row>
    <row r="7" spans="1:22" ht="28.8">
      <c r="A7" s="187">
        <f>labels!I4</f>
        <v>3</v>
      </c>
      <c r="C7" s="187"/>
      <c r="D7" s="187"/>
      <c r="E7" s="187"/>
      <c r="J7" s="297" t="str">
        <f>A15</f>
        <v>Deciles of Per Capita Disposable Income</v>
      </c>
      <c r="K7" s="297" t="str">
        <f>IF(HLOOKUP($I$3,colnames,K4,FALSE)&lt;&gt;0,HLOOKUP($I$3,colnames,K4,FALSE),"")</f>
        <v>Direct</v>
      </c>
      <c r="L7" s="297" t="str">
        <f>IF(HLOOKUP($I$3,colnames,L4,FALSE)&lt;&gt;0,HLOOKUP($I$3,colnames,L4,FALSE),"")</f>
        <v>Indirect</v>
      </c>
      <c r="M7" s="297" t="str">
        <f>IF(HLOOKUP($I$3,colnames,M4,FALSE)&lt;&gt;0,HLOOKUP($I$3,colnames,M4,FALSE),"")</f>
        <v>Total</v>
      </c>
      <c r="N7" s="210" t="str">
        <f>IF(HLOOKUP($I$3,colnames,N4,FALSE)&lt;&gt;0,HLOOKUP($I$3,colnames,N4,FALSE),"")</f>
        <v/>
      </c>
      <c r="Q7" s="726"/>
      <c r="R7" s="726"/>
      <c r="S7" s="727" t="str">
        <f>IF(HLOOKUP($I$3,colcodes,S6,FALSE)&lt;&gt;0,HLOOKUP($I$3,colcodes,S6,FALSE),"")</f>
        <v>subsidy_fuel_direct</v>
      </c>
      <c r="T7" s="727" t="str">
        <f>IF(HLOOKUP($I$3,colcodes,T6,FALSE)&lt;&gt;0,HLOOKUP($I$3,colcodes,T6,FALSE),"")</f>
        <v>subsidy_fuel_indirect</v>
      </c>
      <c r="U7" s="727" t="str">
        <f>IF(HLOOKUP($I$3,colcodes,U6,FALSE)&lt;&gt;0,HLOOKUP($I$3,colcodes,U6,FALSE),"")</f>
        <v>subsidy_fuel</v>
      </c>
      <c r="V7" s="727" t="str">
        <f>IF(HLOOKUP($I$3,colcodes,V6,FALSE)&lt;&gt;0,HLOOKUP($I$3,colcodes,V6,FALSE),"")</f>
        <v/>
      </c>
    </row>
    <row r="8" spans="1:22">
      <c r="A8" s="187">
        <f>labels!I5</f>
        <v>4</v>
      </c>
      <c r="C8" s="187"/>
      <c r="D8" s="187"/>
      <c r="E8" s="187"/>
      <c r="J8" s="298" t="str">
        <f t="shared" ref="J8:J17" si="0">A5</f>
        <v>Bottom decile</v>
      </c>
      <c r="K8" s="299">
        <f>_xlfn.IFNA(100*INDEX(stats!$D:$D,MATCH(S8,stats!$A:$A,0)),"")</f>
        <v>1.1111328215431018</v>
      </c>
      <c r="L8" s="506">
        <f>_xlfn.IFNA(100*INDEX(stats!$D:$D,MATCH(T8,stats!$A:$A,0)),"")</f>
        <v>2.3851802028715809</v>
      </c>
      <c r="M8" s="594">
        <f>_xlfn.IFNA(100*INDEX(stats!$D:$D,MATCH(U8,stats!$A:$A,0)),"")</f>
        <v>1.5815427282143819</v>
      </c>
      <c r="N8" s="299" t="str">
        <f>_xlfn.IFNA(IF(N$7="Total",SUM($K8:M8)/3,100*INDEX(stats!$D:$D,MATCH(V8,stats!$A:$A,0))),"")</f>
        <v/>
      </c>
      <c r="Q8" s="726"/>
      <c r="R8" s="728">
        <v>1</v>
      </c>
      <c r="S8" s="726" t="str">
        <f>_xlfn.CONCAT($B$29,"_",S$7,"_pc_ai__yd_",$R8)</f>
        <v>1_subsidy_fuel_direct_pc_ai__yd_1</v>
      </c>
      <c r="T8" s="726" t="str">
        <f>_xlfn.CONCAT($B$29,"_",T$7,"_pc_ai__yd_",$R8)</f>
        <v>1_subsidy_fuel_indirect_pc_ai__yd_1</v>
      </c>
      <c r="U8" s="726" t="str">
        <f>_xlfn.CONCAT($B$29,"_",U$7,"_pc_ai__yd_",$R8)</f>
        <v>1_subsidy_fuel_pc_ai__yd_1</v>
      </c>
      <c r="V8" s="726" t="str">
        <f>_xlfn.CONCAT($B$29,"_",V$7,"_pc_ai__yd_",$R8)</f>
        <v>1__pc_ai__yd_1</v>
      </c>
    </row>
    <row r="9" spans="1:22">
      <c r="A9" s="187">
        <f>labels!I6</f>
        <v>5</v>
      </c>
      <c r="C9" s="187"/>
      <c r="D9" s="187"/>
      <c r="E9" s="187"/>
      <c r="J9" s="298">
        <f t="shared" si="0"/>
        <v>2</v>
      </c>
      <c r="K9" s="299">
        <f>_xlfn.IFNA(100*INDEX(stats!$D:$D,MATCH(S9,stats!$A:$A,0)),"")</f>
        <v>2.3103496454869852</v>
      </c>
      <c r="L9" s="506">
        <f>_xlfn.IFNA(100*INDEX(stats!$D:$D,MATCH(T9,stats!$A:$A,0)),"")</f>
        <v>3.7367319909258319</v>
      </c>
      <c r="M9" s="594">
        <f>_xlfn.IFNA(100*INDEX(stats!$D:$D,MATCH(U9,stats!$A:$A,0)),"")</f>
        <v>2.8370054008606962</v>
      </c>
      <c r="N9" s="299" t="str">
        <f>_xlfn.IFNA(IF(N$7="Total",SUM($K9:M9)/3,100*INDEX(stats!$D:$D,MATCH(V9,stats!$A:$A,0))),"")</f>
        <v/>
      </c>
      <c r="Q9" s="726"/>
      <c r="R9" s="728">
        <v>2</v>
      </c>
      <c r="S9" s="726" t="str">
        <f t="shared" ref="S9:V17" si="1">_xlfn.CONCAT($B$29,"_",S$7,"_pc_ai__yd_",$R9)</f>
        <v>1_subsidy_fuel_direct_pc_ai__yd_2</v>
      </c>
      <c r="T9" s="726" t="str">
        <f t="shared" si="1"/>
        <v>1_subsidy_fuel_indirect_pc_ai__yd_2</v>
      </c>
      <c r="U9" s="726" t="str">
        <f t="shared" si="1"/>
        <v>1_subsidy_fuel_pc_ai__yd_2</v>
      </c>
      <c r="V9" s="726" t="str">
        <f t="shared" si="1"/>
        <v>1__pc_ai__yd_2</v>
      </c>
    </row>
    <row r="10" spans="1:22">
      <c r="A10" s="187">
        <f>labels!I7</f>
        <v>6</v>
      </c>
      <c r="C10" s="187"/>
      <c r="D10" s="187"/>
      <c r="E10" s="187"/>
      <c r="J10" s="298">
        <f t="shared" si="0"/>
        <v>3</v>
      </c>
      <c r="K10" s="299">
        <f>_xlfn.IFNA(100*INDEX(stats!$D:$D,MATCH(S10,stats!$A:$A,0)),"")</f>
        <v>2.3352025152583824</v>
      </c>
      <c r="L10" s="506">
        <f>_xlfn.IFNA(100*INDEX(stats!$D:$D,MATCH(T10,stats!$A:$A,0)),"")</f>
        <v>4.6386531257942236</v>
      </c>
      <c r="M10" s="594">
        <f>_xlfn.IFNA(100*INDEX(stats!$D:$D,MATCH(U10,stats!$A:$A,0)),"")</f>
        <v>3.1856936371774185</v>
      </c>
      <c r="N10" s="299" t="str">
        <f>_xlfn.IFNA(IF(N$7="Total",SUM($K10:M10)/3,100*INDEX(stats!$D:$D,MATCH(V10,stats!$A:$A,0))),"")</f>
        <v/>
      </c>
      <c r="Q10" s="726"/>
      <c r="R10" s="728">
        <v>3</v>
      </c>
      <c r="S10" s="726" t="str">
        <f t="shared" si="1"/>
        <v>1_subsidy_fuel_direct_pc_ai__yd_3</v>
      </c>
      <c r="T10" s="726" t="str">
        <f t="shared" si="1"/>
        <v>1_subsidy_fuel_indirect_pc_ai__yd_3</v>
      </c>
      <c r="U10" s="726" t="str">
        <f t="shared" si="1"/>
        <v>1_subsidy_fuel_pc_ai__yd_3</v>
      </c>
      <c r="V10" s="726" t="str">
        <f t="shared" si="1"/>
        <v>1__pc_ai__yd_3</v>
      </c>
    </row>
    <row r="11" spans="1:22">
      <c r="A11" s="187">
        <f>labels!I8</f>
        <v>7</v>
      </c>
      <c r="C11" s="187"/>
      <c r="D11" s="187"/>
      <c r="E11" s="187"/>
      <c r="J11" s="298">
        <f t="shared" si="0"/>
        <v>4</v>
      </c>
      <c r="K11" s="299">
        <f>_xlfn.IFNA(100*INDEX(stats!$D:$D,MATCH(S11,stats!$A:$A,0)),"")</f>
        <v>3.1222540868277036</v>
      </c>
      <c r="L11" s="506">
        <f>_xlfn.IFNA(100*INDEX(stats!$D:$D,MATCH(T11,stats!$A:$A,0)),"")</f>
        <v>5.835464092220028</v>
      </c>
      <c r="M11" s="594">
        <f>_xlfn.IFNA(100*INDEX(stats!$D:$D,MATCH(U11,stats!$A:$A,0)),"")</f>
        <v>4.1240385448635868</v>
      </c>
      <c r="N11" s="299" t="str">
        <f>_xlfn.IFNA(IF(N$7="Total",SUM($K11:M11)/3,100*INDEX(stats!$D:$D,MATCH(V11,stats!$A:$A,0))),"")</f>
        <v/>
      </c>
      <c r="Q11" s="726"/>
      <c r="R11" s="728">
        <v>4</v>
      </c>
      <c r="S11" s="726" t="str">
        <f t="shared" si="1"/>
        <v>1_subsidy_fuel_direct_pc_ai__yd_4</v>
      </c>
      <c r="T11" s="726" t="str">
        <f t="shared" si="1"/>
        <v>1_subsidy_fuel_indirect_pc_ai__yd_4</v>
      </c>
      <c r="U11" s="726" t="str">
        <f t="shared" si="1"/>
        <v>1_subsidy_fuel_pc_ai__yd_4</v>
      </c>
      <c r="V11" s="726" t="str">
        <f t="shared" si="1"/>
        <v>1__pc_ai__yd_4</v>
      </c>
    </row>
    <row r="12" spans="1:22">
      <c r="A12" s="187">
        <f>labels!I9</f>
        <v>8</v>
      </c>
      <c r="C12" s="187"/>
      <c r="D12" s="187"/>
      <c r="E12" s="187"/>
      <c r="J12" s="298">
        <f t="shared" si="0"/>
        <v>5</v>
      </c>
      <c r="K12" s="299">
        <f>_xlfn.IFNA(100*INDEX(stats!$D:$D,MATCH(S12,stats!$A:$A,0)),"")</f>
        <v>4.4988623406524066</v>
      </c>
      <c r="L12" s="506">
        <f>_xlfn.IFNA(100*INDEX(stats!$D:$D,MATCH(T12,stats!$A:$A,0)),"")</f>
        <v>6.9262926254852655</v>
      </c>
      <c r="M12" s="594">
        <f>_xlfn.IFNA(100*INDEX(stats!$D:$D,MATCH(U12,stats!$A:$A,0)),"")</f>
        <v>5.3951298346828009</v>
      </c>
      <c r="N12" s="299" t="str">
        <f>_xlfn.IFNA(IF(N$7="Total",SUM($K12:M12)/3,100*INDEX(stats!$D:$D,MATCH(V12,stats!$A:$A,0))),"")</f>
        <v/>
      </c>
      <c r="Q12" s="726"/>
      <c r="R12" s="728">
        <v>5</v>
      </c>
      <c r="S12" s="726" t="str">
        <f t="shared" si="1"/>
        <v>1_subsidy_fuel_direct_pc_ai__yd_5</v>
      </c>
      <c r="T12" s="726" t="str">
        <f t="shared" si="1"/>
        <v>1_subsidy_fuel_indirect_pc_ai__yd_5</v>
      </c>
      <c r="U12" s="726" t="str">
        <f t="shared" si="1"/>
        <v>1_subsidy_fuel_pc_ai__yd_5</v>
      </c>
      <c r="V12" s="726" t="str">
        <f t="shared" si="1"/>
        <v>1__pc_ai__yd_5</v>
      </c>
    </row>
    <row r="13" spans="1:22">
      <c r="A13" s="187">
        <f>labels!I10</f>
        <v>9</v>
      </c>
      <c r="C13" s="187"/>
      <c r="D13" s="187"/>
      <c r="E13" s="187"/>
      <c r="J13" s="298">
        <f t="shared" si="0"/>
        <v>6</v>
      </c>
      <c r="K13" s="299">
        <f>_xlfn.IFNA(100*INDEX(stats!$D:$D,MATCH(S13,stats!$A:$A,0)),"")</f>
        <v>6.1353773160896568</v>
      </c>
      <c r="L13" s="506">
        <f>_xlfn.IFNA(100*INDEX(stats!$D:$D,MATCH(T13,stats!$A:$A,0)),"")</f>
        <v>8.1353075837813584</v>
      </c>
      <c r="M13" s="594">
        <f>_xlfn.IFNA(100*INDEX(stats!$D:$D,MATCH(U13,stats!$A:$A,0)),"")</f>
        <v>6.8738011960500227</v>
      </c>
      <c r="N13" s="299" t="str">
        <f>_xlfn.IFNA(IF(N$7="Total",SUM($K13:M13)/3,100*INDEX(stats!$D:$D,MATCH(V13,stats!$A:$A,0))),"")</f>
        <v/>
      </c>
      <c r="Q13" s="726"/>
      <c r="R13" s="728">
        <v>6</v>
      </c>
      <c r="S13" s="726" t="str">
        <f t="shared" si="1"/>
        <v>1_subsidy_fuel_direct_pc_ai__yd_6</v>
      </c>
      <c r="T13" s="726" t="str">
        <f t="shared" si="1"/>
        <v>1_subsidy_fuel_indirect_pc_ai__yd_6</v>
      </c>
      <c r="U13" s="726" t="str">
        <f t="shared" si="1"/>
        <v>1_subsidy_fuel_pc_ai__yd_6</v>
      </c>
      <c r="V13" s="726" t="str">
        <f t="shared" si="1"/>
        <v>1__pc_ai__yd_6</v>
      </c>
    </row>
    <row r="14" spans="1:22">
      <c r="A14" s="187" t="str">
        <f>labels!I11</f>
        <v>Top decile</v>
      </c>
      <c r="C14" s="187"/>
      <c r="D14" s="187"/>
      <c r="E14" s="187"/>
      <c r="J14" s="298">
        <f t="shared" si="0"/>
        <v>7</v>
      </c>
      <c r="K14" s="299">
        <f>_xlfn.IFNA(100*INDEX(stats!$D:$D,MATCH(S14,stats!$A:$A,0)),"")</f>
        <v>7.7528679320398712</v>
      </c>
      <c r="L14" s="506">
        <f>_xlfn.IFNA(100*INDEX(stats!$D:$D,MATCH(T14,stats!$A:$A,0)),"")</f>
        <v>10.010900752559373</v>
      </c>
      <c r="M14" s="594">
        <f>_xlfn.IFNA(100*INDEX(stats!$D:$D,MATCH(U14,stats!$A:$A,0)),"")</f>
        <v>8.5865896789137448</v>
      </c>
      <c r="N14" s="299" t="str">
        <f>_xlfn.IFNA(IF(N$7="Total",SUM($K14:M14)/3,100*INDEX(stats!$D:$D,MATCH(V14,stats!$A:$A,0))),"")</f>
        <v/>
      </c>
      <c r="Q14" s="726"/>
      <c r="R14" s="728">
        <v>7</v>
      </c>
      <c r="S14" s="726" t="str">
        <f t="shared" si="1"/>
        <v>1_subsidy_fuel_direct_pc_ai__yd_7</v>
      </c>
      <c r="T14" s="726" t="str">
        <f t="shared" si="1"/>
        <v>1_subsidy_fuel_indirect_pc_ai__yd_7</v>
      </c>
      <c r="U14" s="726" t="str">
        <f t="shared" si="1"/>
        <v>1_subsidy_fuel_pc_ai__yd_7</v>
      </c>
      <c r="V14" s="726" t="str">
        <f t="shared" si="1"/>
        <v>1__pc_ai__yd_7</v>
      </c>
    </row>
    <row r="15" spans="1:22">
      <c r="A15" s="187" t="str">
        <f>labels!J2</f>
        <v>Deciles of Per Capita Disposable Income</v>
      </c>
      <c r="C15" s="187"/>
      <c r="D15" s="187"/>
      <c r="E15" s="187"/>
      <c r="J15" s="298">
        <f t="shared" si="0"/>
        <v>8</v>
      </c>
      <c r="K15" s="299">
        <f>_xlfn.IFNA(100*INDEX(stats!$D:$D,MATCH(S15,stats!$A:$A,0)),"")</f>
        <v>12.366136699133571</v>
      </c>
      <c r="L15" s="506">
        <f>_xlfn.IFNA(100*INDEX(stats!$D:$D,MATCH(T15,stats!$A:$A,0)),"")</f>
        <v>12.137539801981557</v>
      </c>
      <c r="M15" s="594">
        <f>_xlfn.IFNA(100*INDEX(stats!$D:$D,MATCH(U15,stats!$A:$A,0)),"")</f>
        <v>12.281733052432063</v>
      </c>
      <c r="N15" s="299" t="str">
        <f>_xlfn.IFNA(IF(N$7="Total",SUM($K15:M15)/3,100*INDEX(stats!$D:$D,MATCH(V15,stats!$A:$A,0))),"")</f>
        <v/>
      </c>
      <c r="Q15" s="726"/>
      <c r="R15" s="728">
        <v>8</v>
      </c>
      <c r="S15" s="726" t="str">
        <f t="shared" si="1"/>
        <v>1_subsidy_fuel_direct_pc_ai__yd_8</v>
      </c>
      <c r="T15" s="726" t="str">
        <f t="shared" si="1"/>
        <v>1_subsidy_fuel_indirect_pc_ai__yd_8</v>
      </c>
      <c r="U15" s="726" t="str">
        <f t="shared" si="1"/>
        <v>1_subsidy_fuel_pc_ai__yd_8</v>
      </c>
      <c r="V15" s="726" t="str">
        <f t="shared" si="1"/>
        <v>1__pc_ai__yd_8</v>
      </c>
    </row>
    <row r="16" spans="1:22">
      <c r="A16" s="187"/>
      <c r="B16" s="187"/>
      <c r="C16" s="187"/>
      <c r="D16" s="243"/>
      <c r="E16" s="250"/>
      <c r="J16" s="298">
        <f t="shared" si="0"/>
        <v>9</v>
      </c>
      <c r="K16" s="299">
        <f>_xlfn.IFNA(100*INDEX(stats!$D:$D,MATCH(S16,stats!$A:$A,0)),"")</f>
        <v>16.987904561102106</v>
      </c>
      <c r="L16" s="506">
        <f>_xlfn.IFNA(100*INDEX(stats!$D:$D,MATCH(T16,stats!$A:$A,0)),"")</f>
        <v>15.58840196597002</v>
      </c>
      <c r="M16" s="594">
        <f>_xlfn.IFNA(100*INDEX(stats!$D:$D,MATCH(U16,stats!$A:$A,0)),"")</f>
        <v>16.471173476520431</v>
      </c>
      <c r="N16" s="299" t="str">
        <f>_xlfn.IFNA(IF(N$7="Total",SUM($K16:M16)/3,100*INDEX(stats!$D:$D,MATCH(V16,stats!$A:$A,0))),"")</f>
        <v/>
      </c>
      <c r="Q16" s="726"/>
      <c r="R16" s="728">
        <v>9</v>
      </c>
      <c r="S16" s="726" t="str">
        <f t="shared" si="1"/>
        <v>1_subsidy_fuel_direct_pc_ai__yd_9</v>
      </c>
      <c r="T16" s="726" t="str">
        <f t="shared" si="1"/>
        <v>1_subsidy_fuel_indirect_pc_ai__yd_9</v>
      </c>
      <c r="U16" s="726" t="str">
        <f t="shared" si="1"/>
        <v>1_subsidy_fuel_pc_ai__yd_9</v>
      </c>
      <c r="V16" s="726" t="str">
        <f t="shared" si="1"/>
        <v>1__pc_ai__yd_9</v>
      </c>
    </row>
    <row r="17" spans="1:22">
      <c r="A17" s="187" t="s">
        <v>395</v>
      </c>
      <c r="B17" s="187"/>
      <c r="C17" s="187"/>
      <c r="D17" s="187"/>
      <c r="E17" s="187"/>
      <c r="I17" s="243"/>
      <c r="J17" s="298" t="str">
        <f t="shared" si="0"/>
        <v>Top decile</v>
      </c>
      <c r="K17" s="299">
        <f>_xlfn.IFNA(100*INDEX(stats!$D:$D,MATCH(S17,stats!$A:$A,0)),"")</f>
        <v>43.379912081866216</v>
      </c>
      <c r="L17" s="506">
        <f>_xlfn.IFNA(100*INDEX(stats!$D:$D,MATCH(T17,stats!$A:$A,0)),"")</f>
        <v>30.605527858410763</v>
      </c>
      <c r="M17" s="594">
        <f>_xlfn.IFNA(100*INDEX(stats!$D:$D,MATCH(U17,stats!$A:$A,0)),"")</f>
        <v>38.663292450284814</v>
      </c>
      <c r="N17" s="299" t="str">
        <f>_xlfn.IFNA(IF(N$7="Total",SUM($K17:M17)/3,100*INDEX(stats!$D:$D,MATCH(V17,stats!$A:$A,0))),"")</f>
        <v/>
      </c>
      <c r="Q17" s="726"/>
      <c r="R17" s="728">
        <v>10</v>
      </c>
      <c r="S17" s="726" t="str">
        <f t="shared" si="1"/>
        <v>1_subsidy_fuel_direct_pc_ai__yd_10</v>
      </c>
      <c r="T17" s="726" t="str">
        <f t="shared" si="1"/>
        <v>1_subsidy_fuel_indirect_pc_ai__yd_10</v>
      </c>
      <c r="U17" s="726" t="str">
        <f t="shared" si="1"/>
        <v>1_subsidy_fuel_pc_ai__yd_10</v>
      </c>
      <c r="V17" s="726" t="str">
        <f t="shared" si="1"/>
        <v>1__pc_ai__yd_10</v>
      </c>
    </row>
    <row r="18" spans="1:22">
      <c r="A18" s="187" t="str">
        <f>_xlfn.CONCAT("labels!D",MATCH(I3,policies,0)+1)</f>
        <v>labels!D6</v>
      </c>
      <c r="B18" s="187" t="str" cm="1">
        <f t="array" aca="1" ref="B18" ca="1">+INDIRECT(A18)</f>
        <v>Percentage of total subsidy</v>
      </c>
      <c r="C18" s="187"/>
      <c r="D18" s="187"/>
      <c r="E18" s="187"/>
      <c r="I18" s="243"/>
      <c r="Q18" s="726"/>
      <c r="R18" s="726"/>
      <c r="S18" s="726"/>
      <c r="T18" s="726"/>
      <c r="U18" s="726"/>
      <c r="V18" s="726"/>
    </row>
    <row r="19" spans="1:22">
      <c r="A19" s="187" t="s">
        <v>678</v>
      </c>
      <c r="B19" s="187"/>
      <c r="C19" s="187"/>
      <c r="D19" s="187"/>
      <c r="E19" s="187"/>
      <c r="Q19" s="726"/>
      <c r="R19" s="726"/>
      <c r="S19" s="726"/>
      <c r="T19" s="726"/>
      <c r="U19" s="726"/>
      <c r="V19" s="726"/>
    </row>
    <row r="20" spans="1:22">
      <c r="A20" s="187" t="s">
        <v>679</v>
      </c>
      <c r="B20" s="187" t="str" cm="1">
        <f t="array" aca="1" ref="B20" ca="1">+INDIRECT(A20)</f>
        <v>Tranche1</v>
      </c>
      <c r="C20" s="187"/>
      <c r="D20" s="187"/>
      <c r="E20" s="187"/>
      <c r="Q20" s="726"/>
      <c r="R20" s="726"/>
      <c r="S20" s="726"/>
      <c r="T20" s="726"/>
      <c r="U20" s="726"/>
      <c r="V20" s="726"/>
    </row>
    <row r="21" spans="1:22">
      <c r="A21" s="187" t="s">
        <v>680</v>
      </c>
      <c r="B21" s="187" t="str" cm="1">
        <f t="array" aca="1" ref="B21" ca="1">+INDIRECT(A21)</f>
        <v>Tranche2</v>
      </c>
      <c r="C21" s="187"/>
      <c r="D21" s="187"/>
      <c r="E21" s="187"/>
      <c r="Q21" s="726"/>
      <c r="R21" s="726"/>
      <c r="S21" s="726"/>
      <c r="T21" s="726"/>
      <c r="U21" s="726"/>
      <c r="V21" s="726"/>
    </row>
    <row r="22" spans="1:22">
      <c r="A22" s="187" t="s">
        <v>681</v>
      </c>
      <c r="B22" s="187" t="str" cm="1">
        <f t="array" aca="1" ref="B22" ca="1">+INDIRECT(A22)</f>
        <v>Tranche3</v>
      </c>
      <c r="C22" s="187"/>
      <c r="D22" s="187"/>
      <c r="E22" s="187"/>
      <c r="Q22" s="726"/>
      <c r="R22" s="726"/>
      <c r="S22" s="726"/>
      <c r="T22" s="726" t="s">
        <v>410</v>
      </c>
      <c r="U22" s="726">
        <v>140723254441.61591</v>
      </c>
      <c r="V22" s="726">
        <f>+U22/1000000000</f>
        <v>140.72325444161589</v>
      </c>
    </row>
    <row r="23" spans="1:22">
      <c r="A23" s="187"/>
      <c r="B23" s="187"/>
      <c r="C23" s="187"/>
      <c r="D23" s="187"/>
      <c r="E23" s="187"/>
      <c r="Q23" s="726"/>
      <c r="R23" s="726"/>
      <c r="S23" s="726"/>
      <c r="T23" s="726">
        <v>2</v>
      </c>
      <c r="U23" s="726">
        <v>271379317840.30051</v>
      </c>
      <c r="V23" s="726">
        <f t="shared" ref="V23:V31" si="2">+U23/1000000000</f>
        <v>271.37931784030053</v>
      </c>
    </row>
    <row r="24" spans="1:22">
      <c r="A24" s="248" t="s">
        <v>682</v>
      </c>
      <c r="B24" s="187" t="s">
        <v>352</v>
      </c>
      <c r="C24" s="187"/>
      <c r="D24" s="187"/>
      <c r="E24" s="187"/>
      <c r="Q24" s="726"/>
      <c r="R24" s="726"/>
      <c r="S24" s="726"/>
      <c r="T24" s="726">
        <v>3</v>
      </c>
      <c r="U24" s="726">
        <v>397377541853.53601</v>
      </c>
      <c r="V24" s="726">
        <f t="shared" si="2"/>
        <v>397.377541853536</v>
      </c>
    </row>
    <row r="25" spans="1:22">
      <c r="A25" s="249" t="s">
        <v>683</v>
      </c>
      <c r="B25" s="250" t="s">
        <v>684</v>
      </c>
      <c r="C25" s="187"/>
      <c r="D25" s="187"/>
      <c r="E25" s="187"/>
      <c r="Q25" s="726"/>
      <c r="R25" s="726"/>
      <c r="S25" s="726"/>
      <c r="T25" s="726">
        <v>4</v>
      </c>
      <c r="U25" s="726">
        <v>577525439294.14539</v>
      </c>
      <c r="V25" s="726">
        <f t="shared" si="2"/>
        <v>577.52543929414537</v>
      </c>
    </row>
    <row r="26" spans="1:22">
      <c r="A26" s="248" t="s">
        <v>685</v>
      </c>
      <c r="B26" s="187" t="s">
        <v>686</v>
      </c>
      <c r="C26" s="187"/>
      <c r="D26" s="187"/>
      <c r="E26" s="187"/>
      <c r="Q26" s="726"/>
      <c r="R26" s="726"/>
      <c r="S26" s="726"/>
      <c r="T26" s="726">
        <v>5</v>
      </c>
      <c r="U26" s="726">
        <v>701871393348.09155</v>
      </c>
      <c r="V26" s="726">
        <f t="shared" si="2"/>
        <v>701.8713933480916</v>
      </c>
    </row>
    <row r="27" spans="1:22">
      <c r="A27" s="187"/>
      <c r="B27" s="187"/>
      <c r="C27" s="187"/>
      <c r="D27" s="187"/>
      <c r="E27" s="187"/>
      <c r="Q27" s="726"/>
      <c r="R27" s="726"/>
      <c r="S27" s="726"/>
      <c r="T27" s="726">
        <v>6</v>
      </c>
      <c r="U27" s="726">
        <v>1019301136839.8069</v>
      </c>
      <c r="V27" s="726">
        <f t="shared" si="2"/>
        <v>1019.3011368398069</v>
      </c>
    </row>
    <row r="28" spans="1:22">
      <c r="A28" s="187" t="s">
        <v>687</v>
      </c>
      <c r="B28" s="187" t="s">
        <v>688</v>
      </c>
      <c r="C28" s="187"/>
      <c r="D28" s="187"/>
      <c r="E28" s="187"/>
      <c r="Q28" s="726"/>
      <c r="R28" s="726"/>
      <c r="S28" s="726"/>
      <c r="T28" s="726">
        <v>7</v>
      </c>
      <c r="U28" s="726">
        <v>1406891013539.417</v>
      </c>
      <c r="V28" s="726">
        <f t="shared" si="2"/>
        <v>1406.8910135394169</v>
      </c>
    </row>
    <row r="29" spans="1:22">
      <c r="A29" s="1" t="str">
        <f>I2</f>
        <v>Baseline</v>
      </c>
      <c r="B29" s="1">
        <f>VLOOKUP(A29,labels!$F$2:$G$8,2,FALSE)</f>
        <v>1</v>
      </c>
      <c r="Q29" s="726"/>
      <c r="R29" s="726"/>
      <c r="S29" s="726"/>
      <c r="T29" s="726">
        <v>8</v>
      </c>
      <c r="U29" s="726">
        <v>1814037904761.6951</v>
      </c>
      <c r="V29" s="726">
        <f t="shared" si="2"/>
        <v>1814.037904761695</v>
      </c>
    </row>
    <row r="30" spans="1:22">
      <c r="Q30" s="726"/>
      <c r="R30" s="726"/>
      <c r="S30" s="726"/>
      <c r="T30" s="726">
        <v>9</v>
      </c>
      <c r="U30" s="726">
        <v>2523354020171.498</v>
      </c>
      <c r="V30" s="726">
        <f t="shared" si="2"/>
        <v>2523.3540201714982</v>
      </c>
    </row>
    <row r="31" spans="1:22">
      <c r="Q31" s="726"/>
      <c r="R31" s="726"/>
      <c r="S31" s="726"/>
      <c r="T31" s="726" t="s">
        <v>457</v>
      </c>
      <c r="U31" s="726">
        <v>5147334843096.5234</v>
      </c>
      <c r="V31" s="726">
        <f t="shared" si="2"/>
        <v>5147.3348430965234</v>
      </c>
    </row>
    <row r="32" spans="1:22">
      <c r="Q32" s="726"/>
      <c r="R32" s="726"/>
      <c r="S32" s="726"/>
      <c r="T32" s="726"/>
      <c r="U32" s="726"/>
      <c r="V32" s="726"/>
    </row>
    <row r="33" spans="17:22">
      <c r="Q33" s="726"/>
      <c r="R33" s="726"/>
      <c r="S33" s="726"/>
      <c r="T33" s="726"/>
      <c r="U33" s="726"/>
      <c r="V33" s="726"/>
    </row>
    <row r="34" spans="17:22">
      <c r="Q34" s="726"/>
      <c r="R34" s="726"/>
      <c r="S34" s="726"/>
      <c r="T34" s="726"/>
      <c r="U34" s="726"/>
      <c r="V34" s="726"/>
    </row>
  </sheetData>
  <conditionalFormatting sqref="J7:N7">
    <cfRule type="cellIs" dxfId="0" priority="1" operator="notEqual">
      <formula>""</formula>
    </cfRule>
  </conditionalFormatting>
  <dataValidations count="2">
    <dataValidation type="list" allowBlank="1" showInputMessage="1" showErrorMessage="1" sqref="I2" xr:uid="{00000000-0002-0000-1500-000000000000}">
      <formula1>scenarios</formula1>
    </dataValidation>
    <dataValidation type="list" allowBlank="1" showInputMessage="1" showErrorMessage="1" sqref="I3" xr:uid="{00000000-0002-0000-1500-000001000000}">
      <formula1>policies</formula1>
    </dataValidation>
  </dataValidations>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99161-7584-43DC-8917-3A74CA0F49F5}">
  <sheetPr codeName="Hoja22">
    <tabColor rgb="FF90ECA6"/>
  </sheetPr>
  <dimension ref="A2:W78"/>
  <sheetViews>
    <sheetView zoomScale="85" zoomScaleNormal="85" workbookViewId="0">
      <selection activeCell="L7" sqref="L7"/>
    </sheetView>
  </sheetViews>
  <sheetFormatPr baseColWidth="10" defaultColWidth="10.88671875" defaultRowHeight="14.4"/>
  <cols>
    <col min="1" max="4" width="10.88671875" style="187" customWidth="1"/>
    <col min="5" max="5" width="3.5546875" style="187" customWidth="1"/>
    <col min="6" max="6" width="15" style="187" bestFit="1" customWidth="1"/>
    <col min="7" max="7" width="10.88671875" style="187"/>
    <col min="8" max="8" width="13" style="187" bestFit="1" customWidth="1"/>
    <col min="9" max="13" width="10.88671875" style="187"/>
    <col min="14" max="18" width="10.88671875" style="187" customWidth="1"/>
    <col min="19" max="16384" width="10.88671875" style="187"/>
  </cols>
  <sheetData>
    <row r="2" spans="1:23">
      <c r="F2" s="196" t="s">
        <v>673</v>
      </c>
      <c r="G2" s="293" t="s">
        <v>14</v>
      </c>
    </row>
    <row r="3" spans="1:23">
      <c r="F3" s="196" t="s">
        <v>706</v>
      </c>
      <c r="G3" s="293" t="s">
        <v>418</v>
      </c>
      <c r="I3" s="187" t="str">
        <f ca="1">B20</f>
        <v>Percentage of Disposable Income</v>
      </c>
    </row>
    <row r="5" spans="1:23">
      <c r="I5" s="860" t="s">
        <v>425</v>
      </c>
      <c r="J5" s="859" t="s">
        <v>440</v>
      </c>
      <c r="K5" s="859"/>
      <c r="L5" s="859"/>
      <c r="N5" s="731"/>
      <c r="O5" s="731" t="s">
        <v>707</v>
      </c>
      <c r="P5" s="731"/>
      <c r="Q5" s="731"/>
      <c r="R5" s="731"/>
      <c r="S5" s="731"/>
      <c r="T5" s="731"/>
      <c r="U5" s="731"/>
    </row>
    <row r="6" spans="1:23">
      <c r="A6" s="187" t="s">
        <v>400</v>
      </c>
      <c r="H6" s="243"/>
      <c r="I6" s="861"/>
      <c r="J6" s="314" t="s">
        <v>426</v>
      </c>
      <c r="K6" s="315" t="s">
        <v>439</v>
      </c>
      <c r="L6" s="314" t="s">
        <v>210</v>
      </c>
      <c r="N6" s="732"/>
      <c r="O6" s="732" t="str">
        <f>_xlfn.CONCAT($B$37,"_","vat_",$A$33,"_pc_")</f>
        <v>1_vat_elec_pc_</v>
      </c>
      <c r="P6" s="732" t="str">
        <f>_xlfn.CONCAT($B$37,"_subsidy_",$A$33,"_direct_pc_")</f>
        <v>1_subsidy_elec_direct_pc_</v>
      </c>
      <c r="Q6" s="732" t="str">
        <f>_xlfn.CONCAT($B$37,"_subsidy_",$A$33,"_indirect_pc_")</f>
        <v>1_subsidy_elec_indirect_pc_</v>
      </c>
      <c r="R6" s="732" t="str">
        <f>_xlfn.CONCAT($B$37,"_subsidy_",$A$33,"_pc_")</f>
        <v>1_subsidy_elec_pc_</v>
      </c>
      <c r="S6" s="731"/>
      <c r="T6" s="731"/>
      <c r="U6" s="731"/>
    </row>
    <row r="7" spans="1:23">
      <c r="A7" s="187" t="str">
        <f>labels!I2</f>
        <v>Bottom decile</v>
      </c>
      <c r="H7" s="304" t="str">
        <f t="shared" ref="H7:H16" si="0">+A7</f>
        <v>Bottom decile</v>
      </c>
      <c r="I7" s="316">
        <f>100*INDEX(stats!$D:$D,MATCH(RI_Con!O7,stats!$A:$A,0))</f>
        <v>-0.31591006014435408</v>
      </c>
      <c r="J7" s="316">
        <f>100*INDEX(stats!$D:$D,MATCH(RI_Con!P7,stats!$A:$A,0))</f>
        <v>1.8646537230965414</v>
      </c>
      <c r="K7" s="316">
        <f>100*INDEX(stats!$D:$D,MATCH(RI_Con!Q7,stats!$A:$A,0))</f>
        <v>0.15854670130420459</v>
      </c>
      <c r="L7" s="316">
        <f>100*INDEX(stats!$D:$D,MATCH(RI_Con!R7,stats!$A:$A,0))</f>
        <v>0.47032077114791732</v>
      </c>
      <c r="N7" s="732">
        <v>1</v>
      </c>
      <c r="O7" s="733" t="str">
        <f>+_xlfn.CONCAT(O$6,$O$5,"_yd_",$N7)</f>
        <v>1_vat_elec_pc_cond_netcash__yd_1</v>
      </c>
      <c r="P7" s="733" t="str">
        <f>+_xlfn.CONCAT(P$6,$O$5,"_yd_",$N7)</f>
        <v>1_subsidy_elec_direct_pc_cond_netcash__yd_1</v>
      </c>
      <c r="Q7" s="733" t="str">
        <f>+_xlfn.CONCAT(Q$6,$O$5,"_yd_",$N7)</f>
        <v>1_subsidy_elec_indirect_pc_cond_netcash__yd_1</v>
      </c>
      <c r="R7" s="733" t="str">
        <f>+_xlfn.CONCAT(R$6,$O$5,"_yd_",$N7)</f>
        <v>1_subsidy_elec_pc_cond_netcash__yd_1</v>
      </c>
      <c r="S7" s="733"/>
      <c r="T7" s="733"/>
      <c r="U7" s="733"/>
      <c r="V7" s="253"/>
      <c r="W7" s="253"/>
    </row>
    <row r="8" spans="1:23">
      <c r="A8" s="187">
        <f>labels!I3</f>
        <v>2</v>
      </c>
      <c r="H8" s="298">
        <f t="shared" si="0"/>
        <v>2</v>
      </c>
      <c r="I8" s="254">
        <f>100*INDEX(stats!$D:$D,MATCH(RI_Con!O8,stats!$A:$A,0))</f>
        <v>-0.40561424065831736</v>
      </c>
      <c r="J8" s="254">
        <f>100*INDEX(stats!$D:$D,MATCH(RI_Con!P8,stats!$A:$A,0))</f>
        <v>1.6639703040210796</v>
      </c>
      <c r="K8" s="254">
        <f>100*INDEX(stats!$D:$D,MATCH(RI_Con!Q8,stats!$A:$A,0))</f>
        <v>0.17168898408505401</v>
      </c>
      <c r="L8" s="254">
        <f>100*INDEX(stats!$D:$D,MATCH(RI_Con!R8,stats!$A:$A,0))</f>
        <v>0.61713638539413829</v>
      </c>
      <c r="N8" s="732">
        <v>2</v>
      </c>
      <c r="O8" s="733" t="str">
        <f t="shared" ref="O8:R16" si="1">+_xlfn.CONCAT(O$6,$O$5,"_yd_",$N8)</f>
        <v>1_vat_elec_pc_cond_netcash__yd_2</v>
      </c>
      <c r="P8" s="733" t="str">
        <f t="shared" si="1"/>
        <v>1_subsidy_elec_direct_pc_cond_netcash__yd_2</v>
      </c>
      <c r="Q8" s="733" t="str">
        <f t="shared" si="1"/>
        <v>1_subsidy_elec_indirect_pc_cond_netcash__yd_2</v>
      </c>
      <c r="R8" s="733" t="str">
        <f t="shared" si="1"/>
        <v>1_subsidy_elec_pc_cond_netcash__yd_2</v>
      </c>
      <c r="S8" s="733"/>
      <c r="T8" s="733"/>
      <c r="U8" s="733"/>
      <c r="V8" s="253"/>
      <c r="W8" s="253"/>
    </row>
    <row r="9" spans="1:23">
      <c r="A9" s="187">
        <f>labels!I4</f>
        <v>3</v>
      </c>
      <c r="H9" s="298">
        <f t="shared" si="0"/>
        <v>3</v>
      </c>
      <c r="I9" s="254">
        <f>100*INDEX(stats!$D:$D,MATCH(RI_Con!O9,stats!$A:$A,0))</f>
        <v>-0.36818582832656721</v>
      </c>
      <c r="J9" s="254">
        <f>100*INDEX(stats!$D:$D,MATCH(RI_Con!P9,stats!$A:$A,0))</f>
        <v>1.6847763201693633</v>
      </c>
      <c r="K9" s="254">
        <f>100*INDEX(stats!$D:$D,MATCH(RI_Con!Q9,stats!$A:$A,0))</f>
        <v>0.1726251399049285</v>
      </c>
      <c r="L9" s="254">
        <f>100*INDEX(stats!$D:$D,MATCH(RI_Con!R9,stats!$A:$A,0))</f>
        <v>0.76481699319227414</v>
      </c>
      <c r="N9" s="732">
        <v>3</v>
      </c>
      <c r="O9" s="733" t="str">
        <f t="shared" si="1"/>
        <v>1_vat_elec_pc_cond_netcash__yd_3</v>
      </c>
      <c r="P9" s="733" t="str">
        <f t="shared" si="1"/>
        <v>1_subsidy_elec_direct_pc_cond_netcash__yd_3</v>
      </c>
      <c r="Q9" s="733" t="str">
        <f t="shared" si="1"/>
        <v>1_subsidy_elec_indirect_pc_cond_netcash__yd_3</v>
      </c>
      <c r="R9" s="733" t="str">
        <f t="shared" si="1"/>
        <v>1_subsidy_elec_pc_cond_netcash__yd_3</v>
      </c>
      <c r="S9" s="733"/>
      <c r="T9" s="733"/>
      <c r="U9" s="733"/>
      <c r="V9" s="253"/>
      <c r="W9" s="253"/>
    </row>
    <row r="10" spans="1:23">
      <c r="A10" s="187">
        <f>labels!I5</f>
        <v>4</v>
      </c>
      <c r="H10" s="298">
        <f t="shared" si="0"/>
        <v>4</v>
      </c>
      <c r="I10" s="254">
        <f>100*INDEX(stats!$D:$D,MATCH(RI_Con!O10,stats!$A:$A,0))</f>
        <v>-0.15080541209886858</v>
      </c>
      <c r="J10" s="254">
        <f>100*INDEX(stats!$D:$D,MATCH(RI_Con!P10,stats!$A:$A,0))</f>
        <v>1.5502095556503199</v>
      </c>
      <c r="K10" s="254">
        <f>100*INDEX(stats!$D:$D,MATCH(RI_Con!Q10,stats!$A:$A,0))</f>
        <v>0.176790032536808</v>
      </c>
      <c r="L10" s="254">
        <f>100*INDEX(stats!$D:$D,MATCH(RI_Con!R10,stats!$A:$A,0))</f>
        <v>0.92027871583215104</v>
      </c>
      <c r="N10" s="732">
        <v>4</v>
      </c>
      <c r="O10" s="733" t="str">
        <f t="shared" si="1"/>
        <v>1_vat_elec_pc_cond_netcash__yd_4</v>
      </c>
      <c r="P10" s="733" t="str">
        <f t="shared" si="1"/>
        <v>1_subsidy_elec_direct_pc_cond_netcash__yd_4</v>
      </c>
      <c r="Q10" s="733" t="str">
        <f t="shared" si="1"/>
        <v>1_subsidy_elec_indirect_pc_cond_netcash__yd_4</v>
      </c>
      <c r="R10" s="733" t="str">
        <f t="shared" si="1"/>
        <v>1_subsidy_elec_pc_cond_netcash__yd_4</v>
      </c>
      <c r="S10" s="733"/>
      <c r="T10" s="733"/>
      <c r="U10" s="733"/>
      <c r="V10" s="253"/>
      <c r="W10" s="253"/>
    </row>
    <row r="11" spans="1:23">
      <c r="A11" s="187">
        <f>labels!I6</f>
        <v>5</v>
      </c>
      <c r="H11" s="298">
        <f t="shared" si="0"/>
        <v>5</v>
      </c>
      <c r="I11" s="254">
        <f>100*INDEX(stats!$D:$D,MATCH(RI_Con!O11,stats!$A:$A,0))</f>
        <v>-0.13238654783822923</v>
      </c>
      <c r="J11" s="254">
        <f>100*INDEX(stats!$D:$D,MATCH(RI_Con!P11,stats!$A:$A,0))</f>
        <v>1.4377070267536982</v>
      </c>
      <c r="K11" s="254">
        <f>100*INDEX(stats!$D:$D,MATCH(RI_Con!Q11,stats!$A:$A,0))</f>
        <v>0.18435679040192027</v>
      </c>
      <c r="L11" s="254">
        <f>100*INDEX(stats!$D:$D,MATCH(RI_Con!R11,stats!$A:$A,0))</f>
        <v>0.97080287202868865</v>
      </c>
      <c r="N11" s="732">
        <v>5</v>
      </c>
      <c r="O11" s="733" t="str">
        <f t="shared" si="1"/>
        <v>1_vat_elec_pc_cond_netcash__yd_5</v>
      </c>
      <c r="P11" s="733" t="str">
        <f t="shared" si="1"/>
        <v>1_subsidy_elec_direct_pc_cond_netcash__yd_5</v>
      </c>
      <c r="Q11" s="733" t="str">
        <f t="shared" si="1"/>
        <v>1_subsidy_elec_indirect_pc_cond_netcash__yd_5</v>
      </c>
      <c r="R11" s="733" t="str">
        <f t="shared" si="1"/>
        <v>1_subsidy_elec_pc_cond_netcash__yd_5</v>
      </c>
      <c r="S11" s="733"/>
      <c r="T11" s="733"/>
      <c r="U11" s="733"/>
      <c r="V11" s="253"/>
      <c r="W11" s="253"/>
    </row>
    <row r="12" spans="1:23">
      <c r="A12" s="187">
        <f>labels!I7</f>
        <v>6</v>
      </c>
      <c r="H12" s="298">
        <f t="shared" si="0"/>
        <v>6</v>
      </c>
      <c r="I12" s="254">
        <f>100*INDEX(stats!$D:$D,MATCH(RI_Con!O12,stats!$A:$A,0))</f>
        <v>-0.18491181662994943</v>
      </c>
      <c r="J12" s="254">
        <f>100*INDEX(stats!$D:$D,MATCH(RI_Con!P12,stats!$A:$A,0))</f>
        <v>1.5295880981254708</v>
      </c>
      <c r="K12" s="254">
        <f>100*INDEX(stats!$D:$D,MATCH(RI_Con!Q12,stats!$A:$A,0))</f>
        <v>0.18386667152323954</v>
      </c>
      <c r="L12" s="254">
        <f>100*INDEX(stats!$D:$D,MATCH(RI_Con!R12,stats!$A:$A,0))</f>
        <v>1.1862015390143066</v>
      </c>
      <c r="N12" s="732">
        <v>6</v>
      </c>
      <c r="O12" s="733" t="str">
        <f t="shared" si="1"/>
        <v>1_vat_elec_pc_cond_netcash__yd_6</v>
      </c>
      <c r="P12" s="733" t="str">
        <f t="shared" si="1"/>
        <v>1_subsidy_elec_direct_pc_cond_netcash__yd_6</v>
      </c>
      <c r="Q12" s="733" t="str">
        <f t="shared" si="1"/>
        <v>1_subsidy_elec_indirect_pc_cond_netcash__yd_6</v>
      </c>
      <c r="R12" s="733" t="str">
        <f t="shared" si="1"/>
        <v>1_subsidy_elec_pc_cond_netcash__yd_6</v>
      </c>
      <c r="S12" s="733"/>
      <c r="T12" s="733"/>
      <c r="U12" s="733"/>
      <c r="V12" s="253"/>
      <c r="W12" s="253"/>
    </row>
    <row r="13" spans="1:23">
      <c r="A13" s="187">
        <f>labels!I8</f>
        <v>7</v>
      </c>
      <c r="H13" s="298">
        <f t="shared" si="0"/>
        <v>7</v>
      </c>
      <c r="I13" s="254">
        <f>100*INDEX(stats!$D:$D,MATCH(RI_Con!O13,stats!$A:$A,0))</f>
        <v>-0.28242321525108383</v>
      </c>
      <c r="J13" s="254">
        <f>100*INDEX(stats!$D:$D,MATCH(RI_Con!P13,stats!$A:$A,0))</f>
        <v>1.541968188952304</v>
      </c>
      <c r="K13" s="254">
        <f>100*INDEX(stats!$D:$D,MATCH(RI_Con!Q13,stats!$A:$A,0))</f>
        <v>0.18768171487638274</v>
      </c>
      <c r="L13" s="254">
        <f>100*INDEX(stats!$D:$D,MATCH(RI_Con!R13,stats!$A:$A,0))</f>
        <v>1.3601768795453835</v>
      </c>
      <c r="N13" s="732">
        <v>7</v>
      </c>
      <c r="O13" s="733" t="str">
        <f t="shared" si="1"/>
        <v>1_vat_elec_pc_cond_netcash__yd_7</v>
      </c>
      <c r="P13" s="733" t="str">
        <f t="shared" si="1"/>
        <v>1_subsidy_elec_direct_pc_cond_netcash__yd_7</v>
      </c>
      <c r="Q13" s="733" t="str">
        <f t="shared" si="1"/>
        <v>1_subsidy_elec_indirect_pc_cond_netcash__yd_7</v>
      </c>
      <c r="R13" s="733" t="str">
        <f t="shared" si="1"/>
        <v>1_subsidy_elec_pc_cond_netcash__yd_7</v>
      </c>
      <c r="S13" s="733"/>
      <c r="T13" s="733"/>
      <c r="U13" s="733"/>
      <c r="V13" s="253"/>
      <c r="W13" s="253"/>
    </row>
    <row r="14" spans="1:23">
      <c r="A14" s="187">
        <f>labels!I9</f>
        <v>8</v>
      </c>
      <c r="H14" s="298">
        <f t="shared" si="0"/>
        <v>8</v>
      </c>
      <c r="I14" s="254">
        <f>100*INDEX(stats!$D:$D,MATCH(RI_Con!O14,stats!$A:$A,0))</f>
        <v>-0.17730340904342468</v>
      </c>
      <c r="J14" s="254">
        <f>100*INDEX(stats!$D:$D,MATCH(RI_Con!P14,stats!$A:$A,0))</f>
        <v>1.4985168184915711</v>
      </c>
      <c r="K14" s="254">
        <f>100*INDEX(stats!$D:$D,MATCH(RI_Con!Q14,stats!$A:$A,0))</f>
        <v>0.19548588740272677</v>
      </c>
      <c r="L14" s="254">
        <f>100*INDEX(stats!$D:$D,MATCH(RI_Con!R14,stats!$A:$A,0))</f>
        <v>1.4537675031014643</v>
      </c>
      <c r="N14" s="732">
        <v>8</v>
      </c>
      <c r="O14" s="733" t="str">
        <f t="shared" si="1"/>
        <v>1_vat_elec_pc_cond_netcash__yd_8</v>
      </c>
      <c r="P14" s="733" t="str">
        <f t="shared" si="1"/>
        <v>1_subsidy_elec_direct_pc_cond_netcash__yd_8</v>
      </c>
      <c r="Q14" s="733" t="str">
        <f t="shared" si="1"/>
        <v>1_subsidy_elec_indirect_pc_cond_netcash__yd_8</v>
      </c>
      <c r="R14" s="733" t="str">
        <f t="shared" si="1"/>
        <v>1_subsidy_elec_pc_cond_netcash__yd_8</v>
      </c>
      <c r="S14" s="733"/>
      <c r="T14" s="733"/>
      <c r="U14" s="733"/>
      <c r="V14" s="253"/>
      <c r="W14" s="253"/>
    </row>
    <row r="15" spans="1:23">
      <c r="A15" s="187">
        <f>labels!I10</f>
        <v>9</v>
      </c>
      <c r="H15" s="298">
        <f t="shared" si="0"/>
        <v>9</v>
      </c>
      <c r="I15" s="254">
        <f>100*INDEX(stats!$D:$D,MATCH(RI_Con!O15,stats!$A:$A,0))</f>
        <v>-0.15770028757103097</v>
      </c>
      <c r="J15" s="254">
        <f>100*INDEX(stats!$D:$D,MATCH(RI_Con!P15,stats!$A:$A,0))</f>
        <v>1.5144232024777395</v>
      </c>
      <c r="K15" s="254">
        <f>100*INDEX(stats!$D:$D,MATCH(RI_Con!Q15,stats!$A:$A,0))</f>
        <v>0.1934686675876604</v>
      </c>
      <c r="L15" s="254">
        <f>100*INDEX(stats!$D:$D,MATCH(RI_Con!R15,stats!$A:$A,0))</f>
        <v>1.5528837709047172</v>
      </c>
      <c r="N15" s="732">
        <v>9</v>
      </c>
      <c r="O15" s="733" t="str">
        <f t="shared" si="1"/>
        <v>1_vat_elec_pc_cond_netcash__yd_9</v>
      </c>
      <c r="P15" s="733" t="str">
        <f t="shared" si="1"/>
        <v>1_subsidy_elec_direct_pc_cond_netcash__yd_9</v>
      </c>
      <c r="Q15" s="733" t="str">
        <f t="shared" si="1"/>
        <v>1_subsidy_elec_indirect_pc_cond_netcash__yd_9</v>
      </c>
      <c r="R15" s="733" t="str">
        <f t="shared" si="1"/>
        <v>1_subsidy_elec_pc_cond_netcash__yd_9</v>
      </c>
      <c r="S15" s="733"/>
      <c r="T15" s="733"/>
      <c r="U15" s="733"/>
      <c r="V15" s="253"/>
      <c r="W15" s="253"/>
    </row>
    <row r="16" spans="1:23">
      <c r="A16" s="187" t="str">
        <f>labels!I11</f>
        <v>Top decile</v>
      </c>
      <c r="H16" s="661" t="str">
        <f t="shared" si="0"/>
        <v>Top decile</v>
      </c>
      <c r="I16" s="663">
        <f>100*INDEX(stats!$D:$D,MATCH(RI_Con!O16,stats!$A:$A,0))</f>
        <v>-0.20416378039047156</v>
      </c>
      <c r="J16" s="663">
        <f>100*INDEX(stats!$D:$D,MATCH(RI_Con!P16,stats!$A:$A,0))</f>
        <v>1.4340124695758667</v>
      </c>
      <c r="K16" s="663">
        <f>100*INDEX(stats!$D:$D,MATCH(RI_Con!Q16,stats!$A:$A,0))</f>
        <v>0.19309800219100426</v>
      </c>
      <c r="L16" s="663">
        <f>100*INDEX(stats!$D:$D,MATCH(RI_Con!R16,stats!$A:$A,0))</f>
        <v>1.5593511121870991</v>
      </c>
      <c r="N16" s="732">
        <v>10</v>
      </c>
      <c r="O16" s="733" t="str">
        <f t="shared" si="1"/>
        <v>1_vat_elec_pc_cond_netcash__yd_10</v>
      </c>
      <c r="P16" s="733" t="str">
        <f t="shared" si="1"/>
        <v>1_subsidy_elec_direct_pc_cond_netcash__yd_10</v>
      </c>
      <c r="Q16" s="733" t="str">
        <f t="shared" si="1"/>
        <v>1_subsidy_elec_indirect_pc_cond_netcash__yd_10</v>
      </c>
      <c r="R16" s="733" t="str">
        <f t="shared" si="1"/>
        <v>1_subsidy_elec_pc_cond_netcash__yd_10</v>
      </c>
      <c r="S16" s="733"/>
      <c r="T16" s="733"/>
      <c r="U16" s="733"/>
      <c r="V16" s="253"/>
      <c r="W16" s="253"/>
    </row>
    <row r="17" spans="1:5">
      <c r="A17" s="187" t="str">
        <f>labels!J2</f>
        <v>Deciles of Per Capita Disposable Income</v>
      </c>
    </row>
    <row r="18" spans="1:5">
      <c r="D18" s="243"/>
      <c r="E18" s="250"/>
    </row>
    <row r="19" spans="1:5">
      <c r="A19" s="187" t="s">
        <v>395</v>
      </c>
    </row>
    <row r="20" spans="1:5">
      <c r="A20" s="187" t="s">
        <v>705</v>
      </c>
      <c r="B20" s="187" t="str" cm="1">
        <f t="array" aca="1" ref="B20" ca="1">+INDIRECT(A20)</f>
        <v>Percentage of Disposable Income</v>
      </c>
    </row>
    <row r="21" spans="1:5">
      <c r="A21" s="187" t="s">
        <v>705</v>
      </c>
      <c r="B21" s="187" t="s">
        <v>708</v>
      </c>
    </row>
    <row r="22" spans="1:5">
      <c r="A22" s="187" t="s">
        <v>678</v>
      </c>
    </row>
    <row r="23" spans="1:5">
      <c r="A23" s="187" t="s">
        <v>679</v>
      </c>
      <c r="B23" s="187" t="str">
        <f>+[5]labels!A3</f>
        <v>Tranche1</v>
      </c>
    </row>
    <row r="24" spans="1:5">
      <c r="A24" s="187" t="s">
        <v>680</v>
      </c>
      <c r="B24" s="187" t="str">
        <f>+[5]labels!A4</f>
        <v>Tranche2</v>
      </c>
    </row>
    <row r="25" spans="1:5">
      <c r="A25" s="187" t="s">
        <v>681</v>
      </c>
      <c r="B25" s="187" t="str">
        <f>+[5]labels!A5</f>
        <v>Tranche3</v>
      </c>
    </row>
    <row r="27" spans="1:5">
      <c r="A27" s="248" t="s">
        <v>682</v>
      </c>
      <c r="B27" s="187" t="s">
        <v>352</v>
      </c>
    </row>
    <row r="28" spans="1:5">
      <c r="A28" s="249" t="s">
        <v>683</v>
      </c>
      <c r="B28" s="250" t="s">
        <v>684</v>
      </c>
    </row>
    <row r="29" spans="1:5">
      <c r="A29" s="248" t="s">
        <v>685</v>
      </c>
      <c r="B29" s="187" t="s">
        <v>686</v>
      </c>
    </row>
    <row r="32" spans="1:5">
      <c r="A32" s="187" t="s">
        <v>709</v>
      </c>
    </row>
    <row r="33" spans="1:2">
      <c r="A33" s="187" t="str">
        <f>LOWER(LEFT(G3,4))</f>
        <v>elec</v>
      </c>
    </row>
    <row r="36" spans="1:2">
      <c r="A36" s="187" t="s">
        <v>687</v>
      </c>
      <c r="B36" s="187" t="s">
        <v>688</v>
      </c>
    </row>
    <row r="37" spans="1:2">
      <c r="A37" s="1" t="str">
        <f>G2</f>
        <v>Baseline</v>
      </c>
      <c r="B37" s="1">
        <f>VLOOKUP(A37,labels!$F$2:$G$8,2,FALSE)</f>
        <v>1</v>
      </c>
    </row>
    <row r="78" spans="13:13">
      <c r="M78" s="254">
        <f>J7+K7</f>
        <v>2.0232004244007462</v>
      </c>
    </row>
  </sheetData>
  <mergeCells count="2">
    <mergeCell ref="J5:L5"/>
    <mergeCell ref="I5:I6"/>
  </mergeCells>
  <phoneticPr fontId="50" type="noConversion"/>
  <dataValidations count="1">
    <dataValidation type="list" allowBlank="1" showInputMessage="1" showErrorMessage="1" sqref="G2" xr:uid="{00000000-0002-0000-1600-000000000000}">
      <formula1>scenarios</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A5B82021-1D5A-4116-B3AD-D7F0F8AA84F6}">
          <x14:formula1>
            <xm:f>labels!$AC$2:$AC$3</xm:f>
          </x14:formula1>
          <xm:sqref>G3</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F91F-B273-4690-803F-CC8A83C05C5B}">
  <sheetPr codeName="Hoja24">
    <tabColor rgb="FFB7EE8E"/>
  </sheetPr>
  <dimension ref="A1:Q15"/>
  <sheetViews>
    <sheetView zoomScale="70" zoomScaleNormal="70" workbookViewId="0">
      <selection activeCell="D7" sqref="D7"/>
    </sheetView>
  </sheetViews>
  <sheetFormatPr baseColWidth="10" defaultColWidth="11.5546875" defaultRowHeight="14.4"/>
  <cols>
    <col min="1" max="1" width="3" style="1" bestFit="1" customWidth="1"/>
    <col min="2" max="2" width="31" style="1" customWidth="1"/>
    <col min="3" max="5" width="9.88671875" style="1" customWidth="1"/>
    <col min="6" max="16384" width="11.5546875" style="1"/>
  </cols>
  <sheetData>
    <row r="1" spans="1:17">
      <c r="K1" s="371"/>
      <c r="L1" s="371"/>
      <c r="M1" s="371"/>
      <c r="N1" s="371"/>
      <c r="O1" s="371"/>
      <c r="P1" s="371"/>
      <c r="Q1" s="371"/>
    </row>
    <row r="2" spans="1:17">
      <c r="B2" s="339" t="s">
        <v>756</v>
      </c>
      <c r="C2" s="364" t="s">
        <v>423</v>
      </c>
      <c r="J2" s="295"/>
      <c r="K2" s="371"/>
      <c r="L2" s="371"/>
      <c r="M2" s="371"/>
      <c r="N2" s="371"/>
      <c r="O2" s="371"/>
      <c r="P2" s="371"/>
      <c r="Q2" s="371"/>
    </row>
    <row r="3" spans="1:17">
      <c r="J3" s="295"/>
      <c r="K3" s="371"/>
      <c r="L3" s="371"/>
      <c r="M3" s="371"/>
      <c r="N3" s="371"/>
      <c r="O3" s="371"/>
      <c r="P3" s="371"/>
      <c r="Q3" s="371"/>
    </row>
    <row r="4" spans="1:17">
      <c r="J4" s="295"/>
      <c r="K4" s="371"/>
      <c r="L4" s="371"/>
      <c r="M4" s="371"/>
      <c r="N4" s="371"/>
      <c r="O4" s="371"/>
      <c r="P4" s="371"/>
      <c r="Q4" s="371"/>
    </row>
    <row r="5" spans="1:17">
      <c r="J5" s="295"/>
      <c r="K5" s="371"/>
      <c r="L5" s="371"/>
      <c r="M5" s="371"/>
      <c r="N5" s="371"/>
      <c r="O5" s="371"/>
      <c r="P5" s="371"/>
      <c r="Q5" s="371"/>
    </row>
    <row r="6" spans="1:17">
      <c r="Q6" s="371"/>
    </row>
    <row r="7" spans="1:17" ht="28.8">
      <c r="A7" s="301">
        <f>VLOOKUP(C2,[2]labels!$F$2:$G$8,2,FALSE)</f>
        <v>2</v>
      </c>
      <c r="B7" s="577"/>
      <c r="C7" s="595" t="s">
        <v>14</v>
      </c>
      <c r="D7" s="596" t="s">
        <v>15</v>
      </c>
      <c r="E7" s="597" t="s">
        <v>757</v>
      </c>
      <c r="Q7" s="371"/>
    </row>
    <row r="8" spans="1:17">
      <c r="A8" s="301">
        <v>6</v>
      </c>
      <c r="B8" s="190" t="s">
        <v>605</v>
      </c>
      <c r="C8" s="533">
        <f>[2]Parameters!C6</f>
        <v>476.32255555555554</v>
      </c>
      <c r="D8" s="533" cm="1">
        <f t="array" aca="1" ref="D8" ca="1">INDIRECT(_xlfn.CONCAT("Parameters!",VLOOKUP($C$2,[2]labels!$F$2:$H$8,3,FALSE),A8))</f>
        <v>476.32255555555554</v>
      </c>
      <c r="E8" s="533">
        <f>[2]Parameters!D6</f>
        <v>641.59355555555555</v>
      </c>
    </row>
    <row r="9" spans="1:17">
      <c r="A9" s="301">
        <v>7</v>
      </c>
      <c r="B9" s="191" t="s">
        <v>606</v>
      </c>
      <c r="C9" s="533">
        <f>[2]Parameters!C7</f>
        <v>409.99941999999999</v>
      </c>
      <c r="D9" s="533" cm="1">
        <f t="array" aca="1" ref="D9" ca="1">INDIRECT(_xlfn.CONCAT("Parameters!",VLOOKUP($C$2,[2]labels!$F$2:$H$8,3,FALSE),A9))</f>
        <v>409.99941999999999</v>
      </c>
      <c r="E9" s="533">
        <f>[2]Parameters!D7</f>
        <v>771.7300251821863</v>
      </c>
      <c r="Q9" s="371"/>
    </row>
    <row r="10" spans="1:17">
      <c r="A10" s="301">
        <v>8</v>
      </c>
      <c r="B10" s="190" t="s">
        <v>607</v>
      </c>
      <c r="C10" s="533">
        <f>[2]Parameters!C8</f>
        <v>654.99999999999784</v>
      </c>
      <c r="D10" s="533" cm="1">
        <f t="array" aca="1" ref="D10" ca="1">INDIRECT(_xlfn.CONCAT("Parameters!",VLOOKUP($C$2,[2]labels!$F$2:$H$8,3,FALSE),A10))</f>
        <v>754.9995600000002</v>
      </c>
      <c r="E10" s="533">
        <f>[2]Parameters!D8</f>
        <v>922.80154137931049</v>
      </c>
      <c r="Q10" s="371"/>
    </row>
    <row r="11" spans="1:17" ht="28.8">
      <c r="A11" s="301">
        <v>9</v>
      </c>
      <c r="B11" s="11" t="s">
        <v>608</v>
      </c>
      <c r="C11" s="533">
        <f>[2]Parameters!C9</f>
        <v>664.9997800000001</v>
      </c>
      <c r="D11" s="533" cm="1">
        <f t="array" aca="1" ref="D11" ca="1">INDIRECT(_xlfn.CONCAT("Parameters!",VLOOKUP($C$2,[2]labels!$F$2:$H$8,3,FALSE),A11))</f>
        <v>664.9997800000001</v>
      </c>
      <c r="E11" s="533">
        <f>[2]Parameters!D9</f>
        <v>872.64418834668618</v>
      </c>
    </row>
    <row r="12" spans="1:17">
      <c r="A12" s="301">
        <v>10</v>
      </c>
      <c r="B12" s="11" t="s">
        <v>609</v>
      </c>
      <c r="C12" s="533">
        <f>[2]Parameters!C10</f>
        <v>496.99964</v>
      </c>
      <c r="D12" s="533" cm="1">
        <f t="array" aca="1" ref="D12" ca="1">INDIRECT(_xlfn.CONCAT("Parameters!",VLOOKUP($C$2,[2]labels!$F$2:$H$8,3,FALSE),A12))</f>
        <v>496.99964</v>
      </c>
      <c r="E12" s="533">
        <f>[2]Parameters!D10</f>
        <v>720.61888834668605</v>
      </c>
    </row>
    <row r="13" spans="1:17" ht="29.4" thickBot="1">
      <c r="A13" s="301">
        <v>11</v>
      </c>
      <c r="B13" s="470" t="s">
        <v>610</v>
      </c>
      <c r="C13" s="534">
        <f>[2]Parameters!C11</f>
        <v>889.99999999999727</v>
      </c>
      <c r="D13" s="534" cm="1">
        <f t="array" aca="1" ref="D13" ca="1">INDIRECT(_xlfn.CONCAT("Parameters!",VLOOKUP($C$2,[2]labels!$F$2:$H$8,3,FALSE),A13))</f>
        <v>990.00009999999997</v>
      </c>
      <c r="E13" s="534">
        <f>[2]Parameters!D11</f>
        <v>990.00039042128606</v>
      </c>
    </row>
    <row r="14" spans="1:17" ht="15" thickTop="1">
      <c r="A14" s="301"/>
    </row>
    <row r="15" spans="1:17">
      <c r="A15" s="301"/>
    </row>
  </sheetData>
  <dataValidations count="1">
    <dataValidation type="list" allowBlank="1" showInputMessage="1" showErrorMessage="1" sqref="C2" xr:uid="{00000000-0002-0000-1700-000000000000}">
      <formula1>reforms</formula1>
    </dataValidation>
  </dataValidations>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E941E-7662-41FD-B38A-65FDC1E8516F}">
  <sheetPr codeName="Hoja25">
    <tabColor rgb="FFB7EE8E"/>
  </sheetPr>
  <dimension ref="B2:T34"/>
  <sheetViews>
    <sheetView topLeftCell="A8" zoomScale="78" workbookViewId="0">
      <selection activeCell="K26" sqref="K26"/>
    </sheetView>
  </sheetViews>
  <sheetFormatPr baseColWidth="10" defaultColWidth="11.5546875" defaultRowHeight="14.4"/>
  <cols>
    <col min="1" max="1" width="3" style="1" customWidth="1"/>
    <col min="2" max="2" width="17.44140625" style="1" customWidth="1"/>
    <col min="3" max="4" width="22.6640625" style="1" customWidth="1"/>
    <col min="5" max="5" width="1.88671875" style="1" customWidth="1"/>
    <col min="6" max="7" width="22.5546875" style="1" customWidth="1"/>
    <col min="8" max="9" width="11.5546875" style="1"/>
    <col min="10" max="10" width="10.33203125" style="1" bestFit="1" customWidth="1"/>
    <col min="11" max="11" width="12.88671875" style="1" bestFit="1" customWidth="1"/>
    <col min="12" max="12" width="12.6640625" style="1" bestFit="1" customWidth="1"/>
    <col min="13" max="13" width="12.88671875" style="1" bestFit="1" customWidth="1"/>
    <col min="14" max="14" width="10.33203125" style="1" bestFit="1" customWidth="1"/>
    <col min="15" max="16" width="11.6640625" style="1" bestFit="1" customWidth="1"/>
    <col min="17" max="16384" width="11.5546875" style="1"/>
  </cols>
  <sheetData>
    <row r="2" spans="2:19" ht="23.4">
      <c r="B2" s="317" t="s">
        <v>758</v>
      </c>
      <c r="M2" s="196" t="s">
        <v>756</v>
      </c>
    </row>
    <row r="3" spans="2:19" ht="25.2" customHeight="1">
      <c r="B3" s="318"/>
      <c r="C3" s="865" t="s">
        <v>262</v>
      </c>
      <c r="D3" s="865"/>
      <c r="E3" s="318"/>
      <c r="F3" s="865" t="s">
        <v>759</v>
      </c>
      <c r="G3" s="865"/>
      <c r="J3" s="868" t="s">
        <v>760</v>
      </c>
      <c r="K3" s="866" t="s">
        <v>14</v>
      </c>
      <c r="L3" s="866"/>
      <c r="M3" s="867" t="s">
        <v>437</v>
      </c>
      <c r="N3" s="867"/>
    </row>
    <row r="4" spans="2:19" ht="25.2">
      <c r="B4" s="320"/>
      <c r="C4" s="319" t="s">
        <v>761</v>
      </c>
      <c r="D4" s="319" t="s">
        <v>762</v>
      </c>
      <c r="E4" s="321"/>
      <c r="F4" s="319" t="s">
        <v>761</v>
      </c>
      <c r="G4" s="319" t="s">
        <v>762</v>
      </c>
      <c r="J4" s="869"/>
      <c r="K4" s="322" t="s">
        <v>761</v>
      </c>
      <c r="L4" s="322" t="s">
        <v>762</v>
      </c>
      <c r="M4" s="322" t="s">
        <v>761</v>
      </c>
      <c r="N4" s="322" t="s">
        <v>762</v>
      </c>
    </row>
    <row r="5" spans="2:19" ht="25.2">
      <c r="B5" s="318" t="s">
        <v>418</v>
      </c>
      <c r="C5" s="323">
        <f>K5-M5</f>
        <v>77.704617606339554</v>
      </c>
      <c r="D5" s="323">
        <f>(L5-N5)*100</f>
        <v>0.47136559057530819</v>
      </c>
      <c r="E5" s="324"/>
      <c r="F5" s="324">
        <v>99.7</v>
      </c>
      <c r="G5" s="324">
        <v>0.6</v>
      </c>
      <c r="J5" s="325" t="s">
        <v>418</v>
      </c>
      <c r="K5" s="326">
        <f>INDEX(stats!$D:$D,MATCH(_xlfn.CONCAT(K$10,"_all_elec_pc_benefits__yd_0"),stats!$A:$A,0))/1000000000</f>
        <v>133.90171020927642</v>
      </c>
      <c r="L5" s="327">
        <f>K5/$L$13</f>
        <v>8.122639381818406E-3</v>
      </c>
      <c r="M5" s="326">
        <f>INDEX(stats!$D:$D,MATCH(_xlfn.CONCAT(M$10,"_all_elec_pc_benefits__yd_0"),stats!$A:$A,0))/1000000000</f>
        <v>56.19709260293687</v>
      </c>
      <c r="N5" s="327">
        <f>M5/$L$13</f>
        <v>3.4089834760653243E-3</v>
      </c>
    </row>
    <row r="6" spans="2:19" ht="25.2">
      <c r="B6" s="328" t="s">
        <v>432</v>
      </c>
      <c r="C6" s="329">
        <f>K6-M6</f>
        <v>32.999860925335646</v>
      </c>
      <c r="D6" s="329">
        <f>(L6-N6)*100</f>
        <v>0.20018113997777157</v>
      </c>
      <c r="E6" s="330"/>
      <c r="F6" s="330">
        <v>158.5</v>
      </c>
      <c r="G6" s="330">
        <v>0.9</v>
      </c>
      <c r="J6" s="331" t="s">
        <v>432</v>
      </c>
      <c r="K6" s="332">
        <f>INDEX(stats!$D:$D,MATCH(_xlfn.CONCAT(K$10,"_all_fuel_pc_benefits__yd_0"),stats!$A:$A,0))/1000000000</f>
        <v>77.808740716041171</v>
      </c>
      <c r="L6" s="333">
        <f t="shared" ref="L6:N7" si="0">K6/$L$13</f>
        <v>4.7199721392806289E-3</v>
      </c>
      <c r="M6" s="332">
        <f>INDEX(stats!$D:$D,MATCH(_xlfn.CONCAT(M$10,"_all_fuel_pc_benefits__yd_0"),stats!$A:$A,0))/1000000000</f>
        <v>44.808879790705525</v>
      </c>
      <c r="N6" s="333">
        <f t="shared" si="0"/>
        <v>2.7181607395029132E-3</v>
      </c>
    </row>
    <row r="7" spans="2:19" ht="25.2">
      <c r="B7" s="334" t="s">
        <v>210</v>
      </c>
      <c r="C7" s="335">
        <f>K7-M7</f>
        <v>110.70447853167519</v>
      </c>
      <c r="D7" s="335">
        <f>(L7-N7)*100</f>
        <v>0.67154673055307956</v>
      </c>
      <c r="E7" s="330"/>
      <c r="F7" s="321">
        <v>258.2</v>
      </c>
      <c r="G7" s="321">
        <v>1.5</v>
      </c>
      <c r="J7" s="336" t="s">
        <v>210</v>
      </c>
      <c r="K7" s="337">
        <f>INDEX(stats!$D:$D,MATCH(_xlfn.CONCAT(K$10,"_all_policies_pc_benefits__yd_0"),stats!$A:$A,0))/1000000000</f>
        <v>211.71045092531759</v>
      </c>
      <c r="L7" s="338">
        <f t="shared" si="0"/>
        <v>1.2842611521099034E-2</v>
      </c>
      <c r="M7" s="337">
        <f>INDEX(stats!$D:$D,MATCH(_xlfn.CONCAT(M$10,"_all_policies_pc_benefits__yd_0"),stats!$A:$A,0))/1000000000</f>
        <v>101.00597239364239</v>
      </c>
      <c r="N7" s="338">
        <f t="shared" si="0"/>
        <v>6.1271442155682379E-3</v>
      </c>
    </row>
    <row r="8" spans="2:19">
      <c r="K8" s="295"/>
      <c r="L8" s="295"/>
      <c r="M8" s="295"/>
      <c r="N8" s="295"/>
      <c r="O8" s="295"/>
      <c r="P8" s="295"/>
      <c r="Q8" s="295"/>
      <c r="R8" s="295"/>
      <c r="S8" s="295"/>
    </row>
    <row r="9" spans="2:19">
      <c r="K9" s="295"/>
      <c r="L9" s="295"/>
      <c r="M9" s="295"/>
      <c r="N9" s="295"/>
      <c r="O9" s="295"/>
      <c r="P9" s="295"/>
      <c r="Q9" s="295"/>
      <c r="R9" s="295"/>
      <c r="S9" s="295"/>
    </row>
    <row r="10" spans="2:19">
      <c r="K10" s="301">
        <v>1</v>
      </c>
      <c r="L10" s="301">
        <v>1</v>
      </c>
      <c r="M10" s="301">
        <f>VLOOKUP(M3,labels!$F$2:$G$8,2,FALSE)</f>
        <v>3</v>
      </c>
      <c r="N10" s="301">
        <f>M10</f>
        <v>3</v>
      </c>
      <c r="O10" s="295"/>
      <c r="P10" s="295"/>
      <c r="Q10" s="295"/>
      <c r="R10" s="295"/>
      <c r="S10" s="295"/>
    </row>
    <row r="11" spans="2:19">
      <c r="K11" s="295"/>
      <c r="L11" s="295"/>
      <c r="M11" s="295"/>
      <c r="N11" s="295"/>
      <c r="O11" s="295"/>
      <c r="P11" s="295"/>
      <c r="Q11" s="295"/>
      <c r="R11" s="295"/>
      <c r="S11" s="295"/>
    </row>
    <row r="12" spans="2:19">
      <c r="K12" s="295"/>
      <c r="L12" s="295"/>
      <c r="M12" s="295"/>
      <c r="N12" s="295"/>
      <c r="O12" s="295"/>
      <c r="P12" s="295"/>
      <c r="Q12" s="295"/>
      <c r="R12" s="295"/>
      <c r="S12" s="295"/>
    </row>
    <row r="13" spans="2:19">
      <c r="K13" s="339" t="s">
        <v>763</v>
      </c>
      <c r="L13" s="340">
        <f>GDP_2022</f>
        <v>16485</v>
      </c>
    </row>
    <row r="19" spans="10:20">
      <c r="K19" s="862" t="s">
        <v>764</v>
      </c>
      <c r="L19" s="863"/>
      <c r="M19" s="864"/>
      <c r="N19" s="862" t="s">
        <v>14</v>
      </c>
      <c r="O19" s="863"/>
      <c r="P19" s="864"/>
      <c r="Q19" s="863" t="str">
        <f>M3</f>
        <v>Reform 2</v>
      </c>
      <c r="R19" s="863"/>
      <c r="S19" s="863"/>
    </row>
    <row r="20" spans="10:20">
      <c r="J20" s="85"/>
      <c r="K20" s="351" t="s">
        <v>425</v>
      </c>
      <c r="L20" s="341" t="s">
        <v>440</v>
      </c>
      <c r="M20" s="347" t="s">
        <v>210</v>
      </c>
      <c r="N20" s="351" t="s">
        <v>425</v>
      </c>
      <c r="O20" s="341" t="s">
        <v>440</v>
      </c>
      <c r="P20" s="347" t="s">
        <v>210</v>
      </c>
      <c r="Q20" s="341" t="s">
        <v>425</v>
      </c>
      <c r="R20" s="341" t="s">
        <v>440</v>
      </c>
      <c r="S20" s="341" t="s">
        <v>210</v>
      </c>
    </row>
    <row r="21" spans="10:20">
      <c r="J21" s="342" t="s">
        <v>418</v>
      </c>
      <c r="K21" s="357">
        <f t="shared" ref="K21:M23" si="1">Q21-N21</f>
        <v>1.9613442177740321</v>
      </c>
      <c r="L21" s="358">
        <f t="shared" si="1"/>
        <v>75.743273388565555</v>
      </c>
      <c r="M21" s="535">
        <f t="shared" si="1"/>
        <v>77.704617606339554</v>
      </c>
      <c r="N21" s="352">
        <f>INDEX(stats!$D:$D,MATCH(_xlfn.CONCAT(N$24,N25),stats!$A:$A,0))/1000000000</f>
        <v>6.094650448098772</v>
      </c>
      <c r="O21" s="344">
        <f>-INDEX(stats!$D:$D,MATCH(_xlfn.CONCAT(O$24,O25),stats!$A:$A,0))/1000000000</f>
        <v>-139.99636065737522</v>
      </c>
      <c r="P21" s="348">
        <f>-INDEX(stats!$D:$D,MATCH(_xlfn.CONCAT(P$24,P25),stats!$A:$A,0))/1000000000</f>
        <v>-133.90171020927642</v>
      </c>
      <c r="Q21" s="352">
        <f>INDEX(stats!$D:$D,MATCH(_xlfn.CONCAT(Q$24,Q25),stats!$A:$A,0))/1000000000</f>
        <v>8.0559946658728041</v>
      </c>
      <c r="R21" s="344">
        <f>-INDEX(stats!$D:$D,MATCH(_xlfn.CONCAT(R$24,R25),stats!$A:$A,0))/1000000000</f>
        <v>-64.253087268809665</v>
      </c>
      <c r="S21" s="348">
        <f>-INDEX(stats!$D:$D,MATCH(_xlfn.CONCAT(S$24,S25),stats!$A:$A,0))/1000000000</f>
        <v>-56.19709260293687</v>
      </c>
    </row>
    <row r="22" spans="10:20">
      <c r="J22" s="85" t="s">
        <v>432</v>
      </c>
      <c r="K22" s="359">
        <f t="shared" si="1"/>
        <v>2.3263567123228839</v>
      </c>
      <c r="L22" s="360">
        <f t="shared" si="1"/>
        <v>30.673504213012748</v>
      </c>
      <c r="M22" s="536">
        <f t="shared" si="1"/>
        <v>32.999860925335646</v>
      </c>
      <c r="N22" s="353">
        <f>INDEX(stats!$D:$D,MATCH(_xlfn.CONCAT(N$24,N26),stats!$A:$A,0))/1000000000</f>
        <v>34.52220804313469</v>
      </c>
      <c r="O22" s="345">
        <f>-INDEX(stats!$D:$D,MATCH(_xlfn.CONCAT(O$24,O26),stats!$A:$A,0))/1000000000</f>
        <v>-112.33094875917585</v>
      </c>
      <c r="P22" s="349">
        <f>-INDEX(stats!$D:$D,MATCH(_xlfn.CONCAT(P$24,P26),stats!$A:$A,0))/1000000000</f>
        <v>-77.808740716041171</v>
      </c>
      <c r="Q22" s="353">
        <f>INDEX(stats!$D:$D,MATCH(_xlfn.CONCAT(Q$24,Q26),stats!$A:$A,0))/1000000000</f>
        <v>36.848564755457573</v>
      </c>
      <c r="R22" s="345">
        <f>-INDEX(stats!$D:$D,MATCH(_xlfn.CONCAT(R$24,R26),stats!$A:$A,0))/1000000000</f>
        <v>-81.657444546163106</v>
      </c>
      <c r="S22" s="349">
        <f>-INDEX(stats!$D:$D,MATCH(_xlfn.CONCAT(S$24,S26),stats!$A:$A,0))/1000000000</f>
        <v>-44.808879790705525</v>
      </c>
    </row>
    <row r="23" spans="10:20">
      <c r="J23" s="343" t="s">
        <v>210</v>
      </c>
      <c r="K23" s="361">
        <f t="shared" si="1"/>
        <v>4.2877009300969178</v>
      </c>
      <c r="L23" s="362">
        <f t="shared" si="1"/>
        <v>106.41677760157827</v>
      </c>
      <c r="M23" s="537">
        <f t="shared" si="1"/>
        <v>110.70447853167519</v>
      </c>
      <c r="N23" s="354">
        <f>INDEX(stats!$D:$D,MATCH(_xlfn.CONCAT(N$24,N27),stats!$A:$A,0))/1000000000</f>
        <v>40.616858491233465</v>
      </c>
      <c r="O23" s="346">
        <f>-INDEX(stats!$D:$D,MATCH(_xlfn.CONCAT(O$24,O27),stats!$A:$A,0))/1000000000</f>
        <v>-252.32730941655106</v>
      </c>
      <c r="P23" s="350">
        <f>-INDEX(stats!$D:$D,MATCH(_xlfn.CONCAT(P$24,P27),stats!$A:$A,0))/1000000000</f>
        <v>-211.71045092531759</v>
      </c>
      <c r="Q23" s="346">
        <f>INDEX(stats!$D:$D,MATCH(_xlfn.CONCAT(Q$24,Q27),stats!$A:$A,0))/1000000000</f>
        <v>44.904559421330383</v>
      </c>
      <c r="R23" s="346">
        <f>-INDEX(stats!$D:$D,MATCH(_xlfn.CONCAT(R$24,R27),stats!$A:$A,0))/1000000000</f>
        <v>-145.91053181497279</v>
      </c>
      <c r="S23" s="350">
        <f>-INDEX(stats!$D:$D,MATCH(_xlfn.CONCAT(S$24,S27),stats!$A:$A,0))/1000000000</f>
        <v>-101.00597239364239</v>
      </c>
    </row>
    <row r="24" spans="10:20">
      <c r="M24" s="301"/>
      <c r="N24" s="301">
        <v>1</v>
      </c>
      <c r="O24" s="301">
        <v>1</v>
      </c>
      <c r="P24" s="301">
        <v>1</v>
      </c>
      <c r="Q24" s="301">
        <f>M10</f>
        <v>3</v>
      </c>
      <c r="R24" s="301">
        <f>Q24</f>
        <v>3</v>
      </c>
      <c r="S24" s="301">
        <f>R24</f>
        <v>3</v>
      </c>
      <c r="T24" s="301"/>
    </row>
    <row r="25" spans="10:20">
      <c r="M25" s="356" t="s">
        <v>419</v>
      </c>
      <c r="N25" s="301" t="str">
        <f t="shared" ref="N25:S26" si="2">_xlfn.CONCAT("_",N$28,"_",$M25,"_pc_benefits__yd_0")</f>
        <v>_vat_elec_pc_benefits__yd_0</v>
      </c>
      <c r="O25" s="301" t="str">
        <f t="shared" si="2"/>
        <v>_subsidy_elec_pc_benefits__yd_0</v>
      </c>
      <c r="P25" s="301" t="str">
        <f t="shared" si="2"/>
        <v>_all_elec_pc_benefits__yd_0</v>
      </c>
      <c r="Q25" s="301" t="str">
        <f t="shared" si="2"/>
        <v>_vat_elec_pc_benefits__yd_0</v>
      </c>
      <c r="R25" s="301" t="str">
        <f t="shared" si="2"/>
        <v>_subsidy_elec_pc_benefits__yd_0</v>
      </c>
      <c r="S25" s="301" t="str">
        <f t="shared" si="2"/>
        <v>_all_elec_pc_benefits__yd_0</v>
      </c>
      <c r="T25" s="301"/>
    </row>
    <row r="26" spans="10:20">
      <c r="M26" s="356" t="s">
        <v>433</v>
      </c>
      <c r="N26" s="301" t="str">
        <f t="shared" si="2"/>
        <v>_vat_fuel_pc_benefits__yd_0</v>
      </c>
      <c r="O26" s="301" t="str">
        <f t="shared" si="2"/>
        <v>_subsidy_fuel_pc_benefits__yd_0</v>
      </c>
      <c r="P26" s="301" t="str">
        <f t="shared" si="2"/>
        <v>_all_fuel_pc_benefits__yd_0</v>
      </c>
      <c r="Q26" s="301" t="str">
        <f t="shared" si="2"/>
        <v>_vat_fuel_pc_benefits__yd_0</v>
      </c>
      <c r="R26" s="301" t="str">
        <f t="shared" si="2"/>
        <v>_subsidy_fuel_pc_benefits__yd_0</v>
      </c>
      <c r="S26" s="301" t="str">
        <f t="shared" si="2"/>
        <v>_all_fuel_pc_benefits__yd_0</v>
      </c>
      <c r="T26" s="301"/>
    </row>
    <row r="27" spans="10:20">
      <c r="M27" s="301"/>
      <c r="N27" s="301" t="s">
        <v>765</v>
      </c>
      <c r="O27" s="301" t="s">
        <v>766</v>
      </c>
      <c r="P27" s="301" t="s">
        <v>671</v>
      </c>
      <c r="Q27" s="301" t="s">
        <v>765</v>
      </c>
      <c r="R27" s="301" t="s">
        <v>766</v>
      </c>
      <c r="S27" s="301" t="s">
        <v>671</v>
      </c>
      <c r="T27" s="301"/>
    </row>
    <row r="28" spans="10:20">
      <c r="M28" s="301"/>
      <c r="N28" s="356" t="s">
        <v>674</v>
      </c>
      <c r="O28" s="356" t="s">
        <v>675</v>
      </c>
      <c r="P28" s="356" t="s">
        <v>767</v>
      </c>
      <c r="Q28" s="356" t="s">
        <v>674</v>
      </c>
      <c r="R28" s="356" t="s">
        <v>675</v>
      </c>
      <c r="S28" s="356" t="s">
        <v>767</v>
      </c>
      <c r="T28" s="301"/>
    </row>
    <row r="29" spans="10:20">
      <c r="M29" s="301"/>
      <c r="N29" s="301"/>
      <c r="O29" s="301"/>
      <c r="P29" s="301"/>
      <c r="Q29" s="301"/>
      <c r="R29" s="301"/>
      <c r="S29" s="301"/>
      <c r="T29" s="301"/>
    </row>
    <row r="30" spans="10:20">
      <c r="M30" s="301"/>
      <c r="N30" s="301"/>
      <c r="O30" s="301"/>
      <c r="P30" s="301"/>
      <c r="Q30" s="301"/>
      <c r="R30" s="301"/>
      <c r="S30" s="301"/>
      <c r="T30" s="301"/>
    </row>
    <row r="31" spans="10:20">
      <c r="M31" s="301"/>
      <c r="N31" s="301"/>
      <c r="O31" s="301"/>
      <c r="P31" s="301"/>
      <c r="Q31" s="301"/>
      <c r="R31" s="301"/>
      <c r="S31" s="301"/>
      <c r="T31" s="301"/>
    </row>
    <row r="32" spans="10:20">
      <c r="L32" s="355"/>
      <c r="M32" s="355"/>
      <c r="N32" s="355"/>
    </row>
    <row r="33" spans="12:14">
      <c r="L33" s="355"/>
      <c r="M33" s="355"/>
      <c r="N33" s="355"/>
    </row>
    <row r="34" spans="12:14">
      <c r="L34" s="355"/>
      <c r="M34" s="355"/>
      <c r="N34" s="355"/>
    </row>
  </sheetData>
  <mergeCells count="8">
    <mergeCell ref="K19:M19"/>
    <mergeCell ref="N19:P19"/>
    <mergeCell ref="Q19:S19"/>
    <mergeCell ref="C3:D3"/>
    <mergeCell ref="F3:G3"/>
    <mergeCell ref="K3:L3"/>
    <mergeCell ref="M3:N3"/>
    <mergeCell ref="J3:J4"/>
  </mergeCells>
  <dataValidations count="1">
    <dataValidation type="list" allowBlank="1" showInputMessage="1" showErrorMessage="1" sqref="M3:N3" xr:uid="{00000000-0002-0000-1800-000000000000}">
      <formula1>reforms</formula1>
    </dataValidation>
  </dataValidations>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422255-06BD-4B32-9C12-63D3277B0ABF}">
  <sheetPr codeName="Hoja26">
    <tabColor rgb="FFB7EE8E"/>
  </sheetPr>
  <dimension ref="A2:AC48"/>
  <sheetViews>
    <sheetView topLeftCell="G1" zoomScale="70" zoomScaleNormal="70" workbookViewId="0">
      <selection activeCell="L8" sqref="L8:L17"/>
    </sheetView>
  </sheetViews>
  <sheetFormatPr baseColWidth="10" defaultColWidth="11.5546875" defaultRowHeight="14.4"/>
  <cols>
    <col min="1" max="1" width="9.5546875" style="1" hidden="1" customWidth="1"/>
    <col min="2" max="2" width="12.44140625" style="1" hidden="1" customWidth="1"/>
    <col min="3" max="6" width="11.5546875" style="1" hidden="1" customWidth="1"/>
    <col min="7" max="7" width="3.88671875" style="1" customWidth="1"/>
    <col min="8" max="8" width="16" style="1" customWidth="1"/>
    <col min="9" max="9" width="12.6640625" style="1" bestFit="1" customWidth="1"/>
    <col min="10" max="10" width="8.33203125" style="1" bestFit="1" customWidth="1"/>
    <col min="11" max="11" width="8.5546875" style="1" bestFit="1" customWidth="1"/>
    <col min="12" max="12" width="8.33203125" style="1" bestFit="1" customWidth="1"/>
    <col min="13" max="13" width="8.5546875" style="1" bestFit="1" customWidth="1"/>
    <col min="14" max="14" width="11.5546875" style="371"/>
    <col min="15" max="29" width="11.5546875" style="295"/>
    <col min="30" max="16384" width="11.5546875" style="1"/>
  </cols>
  <sheetData>
    <row r="2" spans="1:23">
      <c r="H2" s="339" t="s">
        <v>756</v>
      </c>
      <c r="I2" s="364" t="s">
        <v>423</v>
      </c>
    </row>
    <row r="3" spans="1:23">
      <c r="H3" s="339" t="s">
        <v>768</v>
      </c>
      <c r="I3" s="364" t="s">
        <v>210</v>
      </c>
    </row>
    <row r="4" spans="1:23">
      <c r="H4" s="339" t="s">
        <v>770</v>
      </c>
      <c r="I4" s="364" t="s">
        <v>418</v>
      </c>
      <c r="Q4" s="301"/>
      <c r="R4" s="301"/>
      <c r="S4" s="301"/>
      <c r="T4" s="301"/>
      <c r="U4" s="301"/>
      <c r="V4" s="301"/>
      <c r="W4" s="301"/>
    </row>
    <row r="5" spans="1:23">
      <c r="Q5" s="301"/>
      <c r="R5" s="301" t="str">
        <f>VLOOKUP($I$3,$A$25:$B$27,2,FALSE)</f>
        <v>pc_benefits</v>
      </c>
      <c r="S5" s="301" t="str">
        <f>VLOOKUP($I$3,$A$25:$B$27,2,FALSE)</f>
        <v>pc_benefits</v>
      </c>
      <c r="T5" s="301" t="str">
        <f>VLOOKUP($I$3,$A$25:$B$27,2,FALSE)</f>
        <v>pc_benefits</v>
      </c>
      <c r="U5" s="301" t="str">
        <f>VLOOKUP($I$3,$A$25:$B$27,2,FALSE)</f>
        <v>pc_benefits</v>
      </c>
      <c r="V5" s="301"/>
      <c r="W5" s="301"/>
    </row>
    <row r="6" spans="1:23">
      <c r="I6" s="296"/>
      <c r="J6" s="870" t="s">
        <v>425</v>
      </c>
      <c r="K6" s="871"/>
      <c r="L6" s="872" t="s">
        <v>440</v>
      </c>
      <c r="M6" s="872"/>
      <c r="Q6" s="301"/>
      <c r="R6" s="301" t="str">
        <f>VLOOKUP($I$4,$A$33:$C$35,2,FALSE)</f>
        <v>vat_elec</v>
      </c>
      <c r="S6" s="301" t="str">
        <f>VLOOKUP($I$4,$A$33:$C$35,2,FALSE)</f>
        <v>vat_elec</v>
      </c>
      <c r="T6" s="301" t="str">
        <f>VLOOKUP($I$4,$A$33:$C$35,3,FALSE)</f>
        <v>subsidy_elec</v>
      </c>
      <c r="U6" s="301" t="str">
        <f>VLOOKUP($I$4,$A$33:$C$35,3,FALSE)</f>
        <v>subsidy_elec</v>
      </c>
      <c r="V6" s="301"/>
      <c r="W6" s="301"/>
    </row>
    <row r="7" spans="1:23">
      <c r="I7" s="296"/>
      <c r="J7" s="368" t="s">
        <v>14</v>
      </c>
      <c r="K7" s="680" t="s">
        <v>15</v>
      </c>
      <c r="L7" s="366" t="s">
        <v>14</v>
      </c>
      <c r="M7" s="679" t="s">
        <v>15</v>
      </c>
      <c r="Q7" s="301"/>
      <c r="R7" s="301">
        <v>1</v>
      </c>
      <c r="S7" s="301">
        <f>VLOOKUP(I2,labels!$F$2:$G$8,2,FALSE)</f>
        <v>2</v>
      </c>
      <c r="T7" s="301">
        <v>1</v>
      </c>
      <c r="U7" s="301">
        <f>S7</f>
        <v>2</v>
      </c>
      <c r="V7" s="301"/>
      <c r="W7" s="301"/>
    </row>
    <row r="8" spans="1:23">
      <c r="I8" s="200" t="str">
        <f t="shared" ref="I8:I17" si="0">A10</f>
        <v>Bottom decile</v>
      </c>
      <c r="J8" s="527">
        <f>$C$23*_xlfn.IFNA(IF($I$3="Total",INDEX(stats!$D:$D,MATCH(R8,stats!$A:$A,0))/1000000000,100*INDEX(stats!$D:$D,MATCH(R8,stats!$A:$A,0))),"")</f>
        <v>7.3850863758223194E-3</v>
      </c>
      <c r="K8" s="528">
        <f>$C$23*_xlfn.IFNA(IF($I$3="Total",INDEX(stats!$D:$D,MATCH(S8,stats!$A:$A,0))/1000000000,100*INDEX(stats!$D:$D,MATCH(S8,stats!$A:$A,0))),"")</f>
        <v>9.773813177800383E-3</v>
      </c>
      <c r="L8" s="529">
        <f>_xlfn.IFNA(IF($I$3="Total",INDEX(stats!$D:$D,MATCH(T8,stats!$A:$A,0))/1000000000,100*INDEX(stats!$D:$D,MATCH(T8,stats!$A:$A,0))),"")</f>
        <v>1.4124179480399053</v>
      </c>
      <c r="M8" s="529">
        <f>_xlfn.IFNA(IF($I$3="Total",INDEX(stats!$D:$D,MATCH(U8,stats!$A:$A,0))/1000000000,100*INDEX(stats!$D:$D,MATCH(U8,stats!$A:$A,0))),"")</f>
        <v>0.64746534885267082</v>
      </c>
      <c r="Q8" s="301">
        <v>1</v>
      </c>
      <c r="R8" s="301" t="str">
        <f>_xlfn.CONCAT(R$7,"_",R$6,"_",R$5,"__yd_",$Q8)</f>
        <v>1_vat_elec_pc_benefits__yd_1</v>
      </c>
      <c r="S8" s="301" t="str">
        <f t="shared" ref="S8:U17" si="1">_xlfn.CONCAT(S$7,"_",S$6,"_",S$5,"__yd_",$Q8)</f>
        <v>2_vat_elec_pc_benefits__yd_1</v>
      </c>
      <c r="T8" s="301" t="str">
        <f t="shared" si="1"/>
        <v>1_subsidy_elec_pc_benefits__yd_1</v>
      </c>
      <c r="U8" s="301" t="str">
        <f t="shared" si="1"/>
        <v>2_subsidy_elec_pc_benefits__yd_1</v>
      </c>
      <c r="V8" s="301"/>
      <c r="W8" s="301"/>
    </row>
    <row r="9" spans="1:23">
      <c r="I9" s="296">
        <f t="shared" si="0"/>
        <v>2</v>
      </c>
      <c r="J9" s="527">
        <f>$C$23*_xlfn.IFNA(IF($I$3="Total",INDEX(stats!$D:$D,MATCH(R9,stats!$A:$A,0))/1000000000,100*INDEX(stats!$D:$D,MATCH(R9,stats!$A:$A,0))),"")</f>
        <v>5.2752148668534567E-2</v>
      </c>
      <c r="K9" s="528">
        <f>$C$23*_xlfn.IFNA(IF($I$3="Total",INDEX(stats!$D:$D,MATCH(S9,stats!$A:$A,0))/1000000000,100*INDEX(stats!$D:$D,MATCH(S9,stats!$A:$A,0))),"")</f>
        <v>6.9878045733892766E-2</v>
      </c>
      <c r="L9" s="529">
        <f>_xlfn.IFNA(IF($I$3="Total",INDEX(stats!$D:$D,MATCH(T9,stats!$A:$A,0))/1000000000,100*INDEX(stats!$D:$D,MATCH(T9,stats!$A:$A,0))),"")</f>
        <v>2.679127500338343</v>
      </c>
      <c r="M9" s="529">
        <f>_xlfn.IFNA(IF($I$3="Total",INDEX(stats!$D:$D,MATCH(U9,stats!$A:$A,0))/1000000000,100*INDEX(stats!$D:$D,MATCH(U9,stats!$A:$A,0))),"")</f>
        <v>1.3624606819287883</v>
      </c>
      <c r="Q9" s="301">
        <v>2</v>
      </c>
      <c r="R9" s="301" t="str">
        <f t="shared" ref="R9:R17" si="2">_xlfn.CONCAT(R$7,"_",R$6,"_",R$5,"__yd_",$Q9)</f>
        <v>1_vat_elec_pc_benefits__yd_2</v>
      </c>
      <c r="S9" s="301" t="str">
        <f t="shared" si="1"/>
        <v>2_vat_elec_pc_benefits__yd_2</v>
      </c>
      <c r="T9" s="301" t="str">
        <f t="shared" si="1"/>
        <v>1_subsidy_elec_pc_benefits__yd_2</v>
      </c>
      <c r="U9" s="301" t="str">
        <f t="shared" si="1"/>
        <v>2_subsidy_elec_pc_benefits__yd_2</v>
      </c>
      <c r="V9" s="301"/>
      <c r="W9" s="301"/>
    </row>
    <row r="10" spans="1:23">
      <c r="A10" s="363" t="str">
        <f>labels!I2</f>
        <v>Bottom decile</v>
      </c>
      <c r="I10" s="296">
        <f t="shared" si="0"/>
        <v>3</v>
      </c>
      <c r="J10" s="527">
        <f>$C$23*_xlfn.IFNA(IF($I$3="Total",INDEX(stats!$D:$D,MATCH(R10,stats!$A:$A,0))/1000000000,100*INDEX(stats!$D:$D,MATCH(R10,stats!$A:$A,0))),"")</f>
        <v>8.6473850186210316E-2</v>
      </c>
      <c r="K10" s="528">
        <f>$C$23*_xlfn.IFNA(IF($I$3="Total",INDEX(stats!$D:$D,MATCH(S10,stats!$A:$A,0))/1000000000,100*INDEX(stats!$D:$D,MATCH(S10,stats!$A:$A,0))),"")</f>
        <v>0.114435883295725</v>
      </c>
      <c r="L10" s="529">
        <f>_xlfn.IFNA(IF($I$3="Total",INDEX(stats!$D:$D,MATCH(T10,stats!$A:$A,0))/1000000000,100*INDEX(stats!$D:$D,MATCH(T10,stats!$A:$A,0))),"")</f>
        <v>4.004951419989971</v>
      </c>
      <c r="M10" s="529">
        <f>_xlfn.IFNA(IF($I$3="Total",INDEX(stats!$D:$D,MATCH(U10,stats!$A:$A,0))/1000000000,100*INDEX(stats!$D:$D,MATCH(U10,stats!$A:$A,0))),"")</f>
        <v>2.2779931919064831</v>
      </c>
      <c r="Q10" s="301">
        <v>3</v>
      </c>
      <c r="R10" s="301" t="str">
        <f t="shared" si="2"/>
        <v>1_vat_elec_pc_benefits__yd_3</v>
      </c>
      <c r="S10" s="301" t="str">
        <f t="shared" si="1"/>
        <v>2_vat_elec_pc_benefits__yd_3</v>
      </c>
      <c r="T10" s="301" t="str">
        <f t="shared" si="1"/>
        <v>1_subsidy_elec_pc_benefits__yd_3</v>
      </c>
      <c r="U10" s="301" t="str">
        <f t="shared" si="1"/>
        <v>2_subsidy_elec_pc_benefits__yd_3</v>
      </c>
      <c r="V10" s="301"/>
      <c r="W10" s="301"/>
    </row>
    <row r="11" spans="1:23">
      <c r="A11" s="363">
        <f>labels!I3</f>
        <v>2</v>
      </c>
      <c r="I11" s="296">
        <f t="shared" si="0"/>
        <v>4</v>
      </c>
      <c r="J11" s="527">
        <f>$C$23*_xlfn.IFNA(IF($I$3="Total",INDEX(stats!$D:$D,MATCH(R11,stats!$A:$A,0))/1000000000,100*INDEX(stats!$D:$D,MATCH(R11,stats!$A:$A,0))),"")</f>
        <v>6.9414776932993541E-2</v>
      </c>
      <c r="K11" s="528">
        <f>$C$23*_xlfn.IFNA(IF($I$3="Total",INDEX(stats!$D:$D,MATCH(S11,stats!$A:$A,0))/1000000000,100*INDEX(stats!$D:$D,MATCH(S11,stats!$A:$A,0))),"")</f>
        <v>9.17154478955544E-2</v>
      </c>
      <c r="L11" s="529">
        <f>_xlfn.IFNA(IF($I$3="Total",INDEX(stats!$D:$D,MATCH(T11,stats!$A:$A,0))/1000000000,100*INDEX(stats!$D:$D,MATCH(T11,stats!$A:$A,0))),"")</f>
        <v>5.7395417892764025</v>
      </c>
      <c r="M11" s="529">
        <f>_xlfn.IFNA(IF($I$3="Total",INDEX(stats!$D:$D,MATCH(U11,stats!$A:$A,0))/1000000000,100*INDEX(stats!$D:$D,MATCH(U11,stats!$A:$A,0))),"")</f>
        <v>3.6510372571750858</v>
      </c>
      <c r="Q11" s="301">
        <v>4</v>
      </c>
      <c r="R11" s="301" t="str">
        <f t="shared" si="2"/>
        <v>1_vat_elec_pc_benefits__yd_4</v>
      </c>
      <c r="S11" s="301" t="str">
        <f t="shared" si="1"/>
        <v>2_vat_elec_pc_benefits__yd_4</v>
      </c>
      <c r="T11" s="301" t="str">
        <f t="shared" si="1"/>
        <v>1_subsidy_elec_pc_benefits__yd_4</v>
      </c>
      <c r="U11" s="301" t="str">
        <f t="shared" si="1"/>
        <v>2_subsidy_elec_pc_benefits__yd_4</v>
      </c>
      <c r="V11" s="301"/>
      <c r="W11" s="301"/>
    </row>
    <row r="12" spans="1:23">
      <c r="A12" s="363">
        <f>labels!I4</f>
        <v>3</v>
      </c>
      <c r="I12" s="296">
        <f t="shared" si="0"/>
        <v>5</v>
      </c>
      <c r="J12" s="527">
        <f>$C$23*_xlfn.IFNA(IF($I$3="Total",INDEX(stats!$D:$D,MATCH(R12,stats!$A:$A,0))/1000000000,100*INDEX(stats!$D:$D,MATCH(R12,stats!$A:$A,0))),"")</f>
        <v>5.8313248865807965E-2</v>
      </c>
      <c r="K12" s="528">
        <f>$C$23*_xlfn.IFNA(IF($I$3="Total",INDEX(stats!$D:$D,MATCH(S12,stats!$A:$A,0))/1000000000,100*INDEX(stats!$D:$D,MATCH(S12,stats!$A:$A,0))),"")</f>
        <v>7.7053235329487185E-2</v>
      </c>
      <c r="L12" s="529">
        <f>_xlfn.IFNA(IF($I$3="Total",INDEX(stats!$D:$D,MATCH(T12,stats!$A:$A,0))/1000000000,100*INDEX(stats!$D:$D,MATCH(T12,stats!$A:$A,0))),"")</f>
        <v>7.0553427341118278</v>
      </c>
      <c r="M12" s="529">
        <f>_xlfn.IFNA(IF($I$3="Total",INDEX(stats!$D:$D,MATCH(U12,stats!$A:$A,0))/1000000000,100*INDEX(stats!$D:$D,MATCH(U12,stats!$A:$A,0))),"")</f>
        <v>4.5983064879108246</v>
      </c>
      <c r="Q12" s="301">
        <v>5</v>
      </c>
      <c r="R12" s="301" t="str">
        <f t="shared" si="2"/>
        <v>1_vat_elec_pc_benefits__yd_5</v>
      </c>
      <c r="S12" s="301" t="str">
        <f t="shared" si="1"/>
        <v>2_vat_elec_pc_benefits__yd_5</v>
      </c>
      <c r="T12" s="301" t="str">
        <f t="shared" si="1"/>
        <v>1_subsidy_elec_pc_benefits__yd_5</v>
      </c>
      <c r="U12" s="301" t="str">
        <f t="shared" si="1"/>
        <v>2_subsidy_elec_pc_benefits__yd_5</v>
      </c>
      <c r="V12" s="301"/>
      <c r="W12" s="301"/>
    </row>
    <row r="13" spans="1:23">
      <c r="A13" s="363">
        <f>labels!I5</f>
        <v>4</v>
      </c>
      <c r="I13" s="296">
        <f t="shared" si="0"/>
        <v>6</v>
      </c>
      <c r="J13" s="527">
        <f>$C$23*_xlfn.IFNA(IF($I$3="Total",INDEX(stats!$D:$D,MATCH(R13,stats!$A:$A,0))/1000000000,100*INDEX(stats!$D:$D,MATCH(R13,stats!$A:$A,0))),"")</f>
        <v>0.23769213793389007</v>
      </c>
      <c r="K13" s="528">
        <f>$C$23*_xlfn.IFNA(IF($I$3="Total",INDEX(stats!$D:$D,MATCH(S13,stats!$A:$A,0))/1000000000,100*INDEX(stats!$D:$D,MATCH(S13,stats!$A:$A,0))),"")</f>
        <v>0.31468259760073308</v>
      </c>
      <c r="L13" s="529">
        <f>_xlfn.IFNA(IF($I$3="Total",INDEX(stats!$D:$D,MATCH(T13,stats!$A:$A,0))/1000000000,100*INDEX(stats!$D:$D,MATCH(T13,stats!$A:$A,0))),"")</f>
        <v>10.191163769503326</v>
      </c>
      <c r="M13" s="529">
        <f>_xlfn.IFNA(IF($I$3="Total",INDEX(stats!$D:$D,MATCH(U13,stats!$A:$A,0))/1000000000,100*INDEX(stats!$D:$D,MATCH(U13,stats!$A:$A,0))),"")</f>
        <v>6.7696380706300303</v>
      </c>
      <c r="Q13" s="301">
        <v>6</v>
      </c>
      <c r="R13" s="301" t="str">
        <f t="shared" si="2"/>
        <v>1_vat_elec_pc_benefits__yd_6</v>
      </c>
      <c r="S13" s="301" t="str">
        <f t="shared" si="1"/>
        <v>2_vat_elec_pc_benefits__yd_6</v>
      </c>
      <c r="T13" s="301" t="str">
        <f t="shared" si="1"/>
        <v>1_subsidy_elec_pc_benefits__yd_6</v>
      </c>
      <c r="U13" s="301" t="str">
        <f t="shared" si="1"/>
        <v>2_subsidy_elec_pc_benefits__yd_6</v>
      </c>
      <c r="V13" s="301"/>
      <c r="W13" s="301"/>
    </row>
    <row r="14" spans="1:23">
      <c r="A14" s="363">
        <f>labels!I6</f>
        <v>5</v>
      </c>
      <c r="I14" s="296">
        <f t="shared" si="0"/>
        <v>7</v>
      </c>
      <c r="J14" s="527">
        <f>$C$23*_xlfn.IFNA(IF($I$3="Total",INDEX(stats!$D:$D,MATCH(R14,stats!$A:$A,0))/1000000000,100*INDEX(stats!$D:$D,MATCH(R14,stats!$A:$A,0))),"")</f>
        <v>0.31603214434125698</v>
      </c>
      <c r="K14" s="528">
        <f>$C$23*_xlfn.IFNA(IF($I$3="Total",INDEX(stats!$D:$D,MATCH(S14,stats!$A:$A,0))/1000000000,100*INDEX(stats!$D:$D,MATCH(S14,stats!$A:$A,0))),"")</f>
        <v>0.41797219205514735</v>
      </c>
      <c r="L14" s="529">
        <f>_xlfn.IFNA(IF($I$3="Total",INDEX(stats!$D:$D,MATCH(T14,stats!$A:$A,0))/1000000000,100*INDEX(stats!$D:$D,MATCH(T14,stats!$A:$A,0))),"")</f>
        <v>14.076043593900398</v>
      </c>
      <c r="M14" s="529">
        <f>_xlfn.IFNA(IF($I$3="Total",INDEX(stats!$D:$D,MATCH(U14,stats!$A:$A,0))/1000000000,100*INDEX(stats!$D:$D,MATCH(U14,stats!$A:$A,0))),"")</f>
        <v>9.8191888926925461</v>
      </c>
      <c r="Q14" s="301">
        <v>7</v>
      </c>
      <c r="R14" s="301" t="str">
        <f t="shared" si="2"/>
        <v>1_vat_elec_pc_benefits__yd_7</v>
      </c>
      <c r="S14" s="301" t="str">
        <f t="shared" si="1"/>
        <v>2_vat_elec_pc_benefits__yd_7</v>
      </c>
      <c r="T14" s="301" t="str">
        <f t="shared" si="1"/>
        <v>1_subsidy_elec_pc_benefits__yd_7</v>
      </c>
      <c r="U14" s="301" t="str">
        <f t="shared" si="1"/>
        <v>2_subsidy_elec_pc_benefits__yd_7</v>
      </c>
      <c r="V14" s="301"/>
      <c r="W14" s="301"/>
    </row>
    <row r="15" spans="1:23">
      <c r="A15" s="363">
        <f>labels!I7</f>
        <v>6</v>
      </c>
      <c r="I15" s="296">
        <f t="shared" si="0"/>
        <v>8</v>
      </c>
      <c r="J15" s="527">
        <f>$C$23*_xlfn.IFNA(IF($I$3="Total",INDEX(stats!$D:$D,MATCH(R15,stats!$A:$A,0))/1000000000,100*INDEX(stats!$D:$D,MATCH(R15,stats!$A:$A,0))),"")</f>
        <v>0.48494018378937959</v>
      </c>
      <c r="K15" s="528">
        <f>$C$23*_xlfn.IFNA(IF($I$3="Total",INDEX(stats!$D:$D,MATCH(S15,stats!$A:$A,0))/1000000000,100*INDEX(stats!$D:$D,MATCH(S15,stats!$A:$A,0))),"")</f>
        <v>0.64099478285222422</v>
      </c>
      <c r="L15" s="529">
        <f>_xlfn.IFNA(IF($I$3="Total",INDEX(stats!$D:$D,MATCH(T15,stats!$A:$A,0))/1000000000,100*INDEX(stats!$D:$D,MATCH(T15,stats!$A:$A,0))),"")</f>
        <v>18.13184082099059</v>
      </c>
      <c r="M15" s="529">
        <f>_xlfn.IFNA(IF($I$3="Total",INDEX(stats!$D:$D,MATCH(U15,stats!$A:$A,0))/1000000000,100*INDEX(stats!$D:$D,MATCH(U15,stats!$A:$A,0))),"")</f>
        <v>12.25219602070875</v>
      </c>
      <c r="Q15" s="301">
        <v>8</v>
      </c>
      <c r="R15" s="301" t="str">
        <f t="shared" si="2"/>
        <v>1_vat_elec_pc_benefits__yd_8</v>
      </c>
      <c r="S15" s="301" t="str">
        <f t="shared" si="1"/>
        <v>2_vat_elec_pc_benefits__yd_8</v>
      </c>
      <c r="T15" s="301" t="str">
        <f t="shared" si="1"/>
        <v>1_subsidy_elec_pc_benefits__yd_8</v>
      </c>
      <c r="U15" s="301" t="str">
        <f t="shared" si="1"/>
        <v>2_subsidy_elec_pc_benefits__yd_8</v>
      </c>
      <c r="V15" s="301"/>
      <c r="W15" s="301"/>
    </row>
    <row r="16" spans="1:23">
      <c r="A16" s="363">
        <f>labels!I8</f>
        <v>7</v>
      </c>
      <c r="I16" s="296">
        <f t="shared" si="0"/>
        <v>9</v>
      </c>
      <c r="J16" s="527">
        <f>$C$23*_xlfn.IFNA(IF($I$3="Total",INDEX(stats!$D:$D,MATCH(R16,stats!$A:$A,0))/1000000000,100*INDEX(stats!$D:$D,MATCH(R16,stats!$A:$A,0))),"")</f>
        <v>0.78520915276896808</v>
      </c>
      <c r="K16" s="528">
        <f>$C$23*_xlfn.IFNA(IF($I$3="Total",INDEX(stats!$D:$D,MATCH(S16,stats!$A:$A,0))/1000000000,100*INDEX(stats!$D:$D,MATCH(S16,stats!$A:$A,0))),"")</f>
        <v>1.0373576540738885</v>
      </c>
      <c r="L16" s="529">
        <f>_xlfn.IFNA(IF($I$3="Total",INDEX(stats!$D:$D,MATCH(T16,stats!$A:$A,0))/1000000000,100*INDEX(stats!$D:$D,MATCH(T16,stats!$A:$A,0))),"")</f>
        <v>25.219020701326556</v>
      </c>
      <c r="M16" s="529">
        <f>_xlfn.IFNA(IF($I$3="Total",INDEX(stats!$D:$D,MATCH(U16,stats!$A:$A,0))/1000000000,100*INDEX(stats!$D:$D,MATCH(U16,stats!$A:$A,0))),"")</f>
        <v>17.056684084861981</v>
      </c>
      <c r="Q16" s="301">
        <v>9</v>
      </c>
      <c r="R16" s="301" t="str">
        <f t="shared" si="2"/>
        <v>1_vat_elec_pc_benefits__yd_9</v>
      </c>
      <c r="S16" s="301" t="str">
        <f t="shared" si="1"/>
        <v>2_vat_elec_pc_benefits__yd_9</v>
      </c>
      <c r="T16" s="301" t="str">
        <f t="shared" si="1"/>
        <v>1_subsidy_elec_pc_benefits__yd_9</v>
      </c>
      <c r="U16" s="301" t="str">
        <f t="shared" si="1"/>
        <v>2_subsidy_elec_pc_benefits__yd_9</v>
      </c>
      <c r="V16" s="301"/>
      <c r="W16" s="301"/>
    </row>
    <row r="17" spans="1:25">
      <c r="A17" s="363">
        <f>labels!I9</f>
        <v>8</v>
      </c>
      <c r="I17" s="365" t="str">
        <f t="shared" si="0"/>
        <v>Top decile</v>
      </c>
      <c r="J17" s="530">
        <f>$C$23*_xlfn.IFNA(IF($I$3="Total",INDEX(stats!$D:$D,MATCH(R17,stats!$A:$A,0))/1000000000,100*INDEX(stats!$D:$D,MATCH(R17,stats!$A:$A,0))),"")</f>
        <v>3.9964377182359088</v>
      </c>
      <c r="K17" s="531">
        <f>$C$23*_xlfn.IFNA(IF($I$3="Total",INDEX(stats!$D:$D,MATCH(S17,stats!$A:$A,0))/1000000000,100*INDEX(stats!$D:$D,MATCH(S17,stats!$A:$A,0))),"")</f>
        <v>5.2821310138583515</v>
      </c>
      <c r="L17" s="532">
        <f>_xlfn.IFNA(IF($I$3="Total",INDEX(stats!$D:$D,MATCH(T17,stats!$A:$A,0))/1000000000,100*INDEX(stats!$D:$D,MATCH(T17,stats!$A:$A,0))),"")</f>
        <v>51.486910379897886</v>
      </c>
      <c r="M17" s="532">
        <f>_xlfn.IFNA(IF($I$3="Total",INDEX(stats!$D:$D,MATCH(U17,stats!$A:$A,0))/1000000000,100*INDEX(stats!$D:$D,MATCH(U17,stats!$A:$A,0))),"")</f>
        <v>30.399037578359195</v>
      </c>
      <c r="Q17" s="301">
        <v>10</v>
      </c>
      <c r="R17" s="301" t="str">
        <f t="shared" si="2"/>
        <v>1_vat_elec_pc_benefits__yd_10</v>
      </c>
      <c r="S17" s="301" t="str">
        <f t="shared" si="1"/>
        <v>2_vat_elec_pc_benefits__yd_10</v>
      </c>
      <c r="T17" s="301" t="str">
        <f t="shared" si="1"/>
        <v>1_subsidy_elec_pc_benefits__yd_10</v>
      </c>
      <c r="U17" s="301" t="str">
        <f t="shared" si="1"/>
        <v>2_subsidy_elec_pc_benefits__yd_10</v>
      </c>
      <c r="V17" s="301"/>
      <c r="W17" s="301"/>
    </row>
    <row r="18" spans="1:25">
      <c r="A18" s="363">
        <f>labels!I10</f>
        <v>9</v>
      </c>
      <c r="Q18" s="301"/>
      <c r="R18" s="301"/>
      <c r="S18" s="301"/>
      <c r="T18" s="301"/>
      <c r="U18" s="301"/>
      <c r="V18" s="301"/>
      <c r="W18" s="301"/>
    </row>
    <row r="19" spans="1:25">
      <c r="A19" s="363" t="str">
        <f>labels!I11</f>
        <v>Top decile</v>
      </c>
      <c r="Q19" s="301"/>
      <c r="R19" s="301"/>
      <c r="S19" s="301"/>
      <c r="T19" s="301"/>
      <c r="U19" s="301"/>
      <c r="V19" s="301"/>
      <c r="W19" s="301"/>
    </row>
    <row r="20" spans="1:25">
      <c r="A20" s="363"/>
    </row>
    <row r="21" spans="1:25">
      <c r="A21" s="363" t="str">
        <f>labels!J2</f>
        <v>Deciles of Per Capita Disposable Income</v>
      </c>
    </row>
    <row r="23" spans="1:25">
      <c r="A23" s="1" t="s">
        <v>772</v>
      </c>
      <c r="C23" s="1">
        <f>IF(I3&lt;&gt;A25,1,-1)</f>
        <v>1</v>
      </c>
    </row>
    <row r="24" spans="1:25">
      <c r="E24" s="1" t="s">
        <v>674</v>
      </c>
      <c r="F24" s="1" t="s">
        <v>794</v>
      </c>
    </row>
    <row r="25" spans="1:25">
      <c r="A25" s="1" t="s">
        <v>769</v>
      </c>
      <c r="B25" s="1" t="s">
        <v>773</v>
      </c>
      <c r="C25" s="363" t="s">
        <v>705</v>
      </c>
      <c r="D25" s="363" t="s">
        <v>705</v>
      </c>
      <c r="E25" s="1" t="str">
        <f>_xlfn.CONCAT("VAT on ",LOWER($I$4)," as a share of disposable income")</f>
        <v>VAT on electricity as a share of disposable income</v>
      </c>
      <c r="F25" s="1" t="str">
        <f>_xlfn.CONCAT($I$4," subsidy as a share of disposable income")</f>
        <v>Electricity subsidy as a share of disposable income</v>
      </c>
    </row>
    <row r="26" spans="1:25">
      <c r="A26" s="1" t="s">
        <v>774</v>
      </c>
      <c r="B26" s="1" t="s">
        <v>775</v>
      </c>
      <c r="C26" s="363" t="s">
        <v>776</v>
      </c>
      <c r="D26" s="363" t="s">
        <v>777</v>
      </c>
      <c r="E26" s="1" t="str">
        <f>_xlfn.CONCAT("Share of VAT paid on ",LOWER($I$4)," by decile")</f>
        <v>Share of VAT paid on electricity by decile</v>
      </c>
      <c r="F26" s="1" t="str">
        <f>_xlfn.CONCAT("Share of ",LOWER($I$4)," subsidies by decile")</f>
        <v>Share of electricity subsidies by decile</v>
      </c>
      <c r="I26" s="257"/>
    </row>
    <row r="27" spans="1:25">
      <c r="A27" s="1" t="s">
        <v>210</v>
      </c>
      <c r="B27" s="1" t="s">
        <v>778</v>
      </c>
      <c r="C27" s="363" t="s">
        <v>1029</v>
      </c>
      <c r="D27" s="363" t="s">
        <v>1030</v>
      </c>
      <c r="E27" s="1" t="str">
        <f>_xlfn.CONCAT("VAT collected due to ",LOWER($I$4))</f>
        <v>VAT collected due to electricity</v>
      </c>
      <c r="F27" s="1" t="str">
        <f>_xlfn.CONCAT("Subsidies received due to ",LOWER($I$4))</f>
        <v>Subsidies received due to electricity</v>
      </c>
    </row>
    <row r="29" spans="1:25">
      <c r="A29" s="363" t="str">
        <f>VLOOKUP($I$3,$A$25:$D$27,3,FALSE)</f>
        <v>labels!D15</v>
      </c>
      <c r="B29" s="370" t="str" cm="1">
        <f t="array" aca="1" ref="B29" ca="1">INDIRECT(A29)</f>
        <v>Total VAT collected from households (billion CFA)</v>
      </c>
      <c r="C29" s="1" t="str">
        <f ca="1">_xlfn.CONCAT(INDIRECT(A29)," (-)")</f>
        <v>Total VAT collected from households (billion CFA) (-)</v>
      </c>
    </row>
    <row r="30" spans="1:25">
      <c r="A30" s="363" t="str">
        <f>VLOOKUP($I$3,$A$25:$D$27,4,FALSE)</f>
        <v>labels!D16</v>
      </c>
      <c r="B30" s="370" t="str" cm="1">
        <f t="array" aca="1" ref="B30" ca="1">INDIRECT(A30)</f>
        <v>Total subsidy to households (billion CFA)</v>
      </c>
    </row>
    <row r="32" spans="1:25">
      <c r="B32" s="1" t="s">
        <v>425</v>
      </c>
      <c r="C32" s="1" t="s">
        <v>440</v>
      </c>
      <c r="N32" s="1"/>
      <c r="O32" s="1"/>
      <c r="P32" s="1"/>
      <c r="Q32" s="1"/>
      <c r="R32" s="1"/>
      <c r="S32" s="1"/>
      <c r="T32" s="1"/>
      <c r="U32" s="1"/>
      <c r="V32" s="1"/>
      <c r="W32" s="1"/>
      <c r="X32" s="1"/>
      <c r="Y32" s="1"/>
    </row>
    <row r="33" spans="1:25">
      <c r="A33" s="1" t="s">
        <v>418</v>
      </c>
      <c r="B33" s="1" t="s">
        <v>427</v>
      </c>
      <c r="C33" s="1" t="s">
        <v>442</v>
      </c>
      <c r="N33" s="1"/>
      <c r="O33" s="1"/>
      <c r="P33" s="1"/>
      <c r="Q33" s="1"/>
      <c r="R33" s="1"/>
      <c r="S33" s="1"/>
      <c r="T33" s="1"/>
      <c r="U33" s="1"/>
      <c r="V33" s="1"/>
      <c r="W33" s="1"/>
      <c r="X33" s="1"/>
      <c r="Y33" s="1"/>
    </row>
    <row r="34" spans="1:25">
      <c r="A34" s="1" t="s">
        <v>432</v>
      </c>
      <c r="B34" s="1" t="s">
        <v>429</v>
      </c>
      <c r="C34" s="1" t="s">
        <v>444</v>
      </c>
      <c r="N34" s="1"/>
      <c r="O34" s="1"/>
      <c r="P34" s="1"/>
      <c r="Q34" s="1"/>
      <c r="R34" s="1"/>
      <c r="S34" s="1"/>
      <c r="T34" s="1"/>
      <c r="U34" s="1"/>
      <c r="V34" s="1"/>
      <c r="W34" s="1"/>
      <c r="X34" s="1"/>
      <c r="Y34" s="1"/>
    </row>
    <row r="35" spans="1:25">
      <c r="A35" s="1" t="s">
        <v>771</v>
      </c>
      <c r="B35" s="371" t="s">
        <v>431</v>
      </c>
      <c r="C35" s="371" t="s">
        <v>445</v>
      </c>
      <c r="N35" s="1"/>
      <c r="O35" s="1"/>
      <c r="P35" s="1"/>
      <c r="Q35" s="1"/>
      <c r="R35" s="1"/>
      <c r="S35" s="1"/>
      <c r="T35" s="1"/>
      <c r="U35" s="1"/>
      <c r="V35" s="1"/>
      <c r="W35" s="1"/>
      <c r="X35" s="1"/>
      <c r="Y35" s="1"/>
    </row>
    <row r="36" spans="1:25">
      <c r="N36" s="1"/>
      <c r="O36" s="1"/>
      <c r="P36" s="1"/>
      <c r="Q36" s="1"/>
      <c r="R36" s="1"/>
      <c r="S36" s="1"/>
      <c r="T36" s="1"/>
      <c r="U36" s="1"/>
      <c r="V36" s="1"/>
      <c r="W36" s="1"/>
      <c r="X36" s="1"/>
      <c r="Y36" s="1"/>
    </row>
    <row r="37" spans="1:25">
      <c r="N37" s="1"/>
      <c r="O37" s="1"/>
      <c r="P37" s="1"/>
      <c r="Q37" s="1"/>
      <c r="R37" s="1"/>
      <c r="S37" s="1"/>
      <c r="T37" s="1"/>
      <c r="U37" s="1"/>
      <c r="V37" s="1"/>
      <c r="W37" s="1"/>
      <c r="X37" s="1"/>
      <c r="Y37" s="1"/>
    </row>
    <row r="38" spans="1:25">
      <c r="A38" s="1" t="s">
        <v>917</v>
      </c>
      <c r="N38" s="1"/>
      <c r="O38" s="1"/>
      <c r="P38" s="1"/>
      <c r="Q38" s="1"/>
      <c r="R38" s="1"/>
      <c r="S38" s="1"/>
      <c r="T38" s="1"/>
      <c r="U38" s="1"/>
      <c r="V38" s="1"/>
      <c r="W38" s="1"/>
      <c r="X38" s="1"/>
      <c r="Y38" s="1"/>
    </row>
    <row r="39" spans="1:25">
      <c r="A39" s="1" t="str">
        <f>VLOOKUP($I$3,$A$25:$F$27,5,FALSE)</f>
        <v>VAT collected due to electricity</v>
      </c>
      <c r="E39" s="1" t="str">
        <f>A39</f>
        <v>VAT collected due to electricity</v>
      </c>
      <c r="N39" s="1"/>
      <c r="O39" s="1"/>
      <c r="P39" s="1"/>
      <c r="Q39" s="1"/>
      <c r="R39" s="1"/>
      <c r="S39" s="1"/>
      <c r="T39" s="1"/>
      <c r="U39" s="1"/>
      <c r="V39" s="1"/>
      <c r="W39" s="1"/>
      <c r="X39" s="1"/>
      <c r="Y39" s="1"/>
    </row>
    <row r="40" spans="1:25">
      <c r="A40" s="1" t="str">
        <f>VLOOKUP($I$3,$A$25:$F$27,6,FALSE)</f>
        <v>Subsidies received due to electricity</v>
      </c>
      <c r="E40" s="1" t="str">
        <f>A40</f>
        <v>Subsidies received due to electricity</v>
      </c>
      <c r="N40" s="1"/>
      <c r="O40" s="1"/>
      <c r="P40" s="1"/>
      <c r="Q40" s="1"/>
      <c r="R40" s="1"/>
      <c r="S40" s="1"/>
      <c r="T40" s="1"/>
      <c r="U40" s="1"/>
      <c r="V40" s="1"/>
      <c r="W40" s="1"/>
      <c r="X40" s="1"/>
      <c r="Y40" s="1"/>
    </row>
    <row r="41" spans="1:25">
      <c r="N41" s="1"/>
      <c r="O41" s="1"/>
      <c r="P41" s="1"/>
      <c r="Q41" s="1"/>
      <c r="R41" s="1"/>
      <c r="S41" s="1"/>
      <c r="T41" s="1"/>
      <c r="U41" s="1"/>
      <c r="V41" s="1"/>
      <c r="W41" s="1"/>
      <c r="X41" s="1"/>
      <c r="Y41" s="1"/>
    </row>
    <row r="42" spans="1:25">
      <c r="N42" s="1"/>
      <c r="O42" s="1"/>
      <c r="P42" s="1"/>
      <c r="Q42" s="1"/>
      <c r="R42" s="1"/>
      <c r="S42" s="1"/>
      <c r="T42" s="1"/>
      <c r="U42" s="1"/>
      <c r="V42" s="1"/>
      <c r="W42" s="1"/>
      <c r="X42" s="1"/>
      <c r="Y42" s="1"/>
    </row>
    <row r="43" spans="1:25">
      <c r="N43" s="1"/>
      <c r="O43" s="1"/>
      <c r="P43" s="1"/>
      <c r="Q43" s="1"/>
      <c r="R43" s="1"/>
      <c r="S43" s="1"/>
      <c r="T43" s="1"/>
      <c r="U43" s="1"/>
      <c r="V43" s="1"/>
      <c r="W43" s="1"/>
      <c r="X43" s="1"/>
      <c r="Y43" s="1"/>
    </row>
    <row r="44" spans="1:25">
      <c r="N44" s="1"/>
      <c r="O44" s="1"/>
      <c r="P44" s="1"/>
      <c r="Q44" s="1"/>
      <c r="R44" s="1"/>
      <c r="S44" s="1"/>
      <c r="T44" s="1"/>
      <c r="U44" s="1"/>
      <c r="V44" s="1"/>
      <c r="W44" s="1"/>
      <c r="X44" s="1"/>
      <c r="Y44" s="1"/>
    </row>
    <row r="45" spans="1:25">
      <c r="N45" s="1"/>
      <c r="O45" s="1"/>
      <c r="P45" s="1"/>
      <c r="Q45" s="1"/>
      <c r="R45" s="1"/>
      <c r="S45" s="1"/>
      <c r="T45" s="1"/>
      <c r="U45" s="1"/>
      <c r="V45" s="1"/>
      <c r="W45" s="1"/>
      <c r="X45" s="1"/>
      <c r="Y45" s="1"/>
    </row>
    <row r="46" spans="1:25">
      <c r="N46" s="1"/>
      <c r="O46" s="1"/>
      <c r="P46" s="1"/>
      <c r="Q46" s="1"/>
      <c r="R46" s="1"/>
      <c r="S46" s="1"/>
      <c r="T46" s="1"/>
      <c r="U46" s="1"/>
      <c r="V46" s="1"/>
      <c r="W46" s="1"/>
      <c r="X46" s="1"/>
      <c r="Y46" s="1"/>
    </row>
    <row r="47" spans="1:25">
      <c r="N47" s="1"/>
      <c r="O47" s="1"/>
      <c r="P47" s="1"/>
      <c r="Q47" s="1"/>
      <c r="R47" s="1"/>
      <c r="S47" s="1"/>
      <c r="T47" s="1"/>
      <c r="U47" s="1"/>
      <c r="V47" s="1"/>
      <c r="W47" s="1"/>
      <c r="X47" s="1"/>
      <c r="Y47" s="1"/>
    </row>
    <row r="48" spans="1:25">
      <c r="N48" s="1"/>
      <c r="O48" s="1"/>
      <c r="P48" s="1"/>
      <c r="Q48" s="1"/>
      <c r="R48" s="1"/>
      <c r="S48" s="1"/>
      <c r="T48" s="1"/>
      <c r="U48" s="1"/>
      <c r="V48" s="1"/>
      <c r="W48" s="1"/>
      <c r="X48" s="1"/>
      <c r="Y48" s="1"/>
    </row>
  </sheetData>
  <mergeCells count="2">
    <mergeCell ref="J6:K6"/>
    <mergeCell ref="L6:M6"/>
  </mergeCells>
  <phoneticPr fontId="50" type="noConversion"/>
  <dataValidations count="3">
    <dataValidation type="list" allowBlank="1" showInputMessage="1" showErrorMessage="1" sqref="I3" xr:uid="{00000000-0002-0000-1900-000000000000}">
      <formula1>$A$25:$A$27</formula1>
    </dataValidation>
    <dataValidation type="list" allowBlank="1" showInputMessage="1" showErrorMessage="1" sqref="I4" xr:uid="{00000000-0002-0000-1900-000001000000}">
      <formula1>$A$33:$A$35</formula1>
    </dataValidation>
    <dataValidation type="list" allowBlank="1" showInputMessage="1" showErrorMessage="1" sqref="I2" xr:uid="{00000000-0002-0000-1900-000002000000}">
      <formula1>reforms</formula1>
    </dataValidation>
  </dataValidations>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235EF-784A-45A3-AAF5-C87B73CD6020}">
  <sheetPr codeName="Hoja27">
    <tabColor rgb="FFB7EE8E"/>
  </sheetPr>
  <dimension ref="A2:AB45"/>
  <sheetViews>
    <sheetView topLeftCell="F1" zoomScale="85" zoomScaleNormal="85" workbookViewId="0">
      <selection activeCell="H2" sqref="H2"/>
    </sheetView>
  </sheetViews>
  <sheetFormatPr baseColWidth="10" defaultColWidth="11.5546875" defaultRowHeight="14.4"/>
  <cols>
    <col min="1" max="1" width="9.5546875" style="1" hidden="1" customWidth="1"/>
    <col min="2" max="2" width="12.44140625" style="1" hidden="1" customWidth="1"/>
    <col min="3" max="5" width="11.5546875" style="1" hidden="1" customWidth="1"/>
    <col min="6" max="6" width="3.88671875" style="1" customWidth="1"/>
    <col min="7" max="7" width="16" style="1" customWidth="1"/>
    <col min="8" max="8" width="12.6640625" style="1" bestFit="1" customWidth="1"/>
    <col min="9" max="9" width="9.33203125" style="1" customWidth="1"/>
    <col min="10" max="10" width="8.5546875" style="1" bestFit="1" customWidth="1"/>
    <col min="11" max="11" width="9.33203125" style="1" bestFit="1" customWidth="1"/>
    <col min="12" max="12" width="8.5546875" style="1" bestFit="1" customWidth="1"/>
    <col min="13" max="28" width="11.5546875" style="295"/>
    <col min="29" max="16384" width="11.5546875" style="1"/>
  </cols>
  <sheetData>
    <row r="2" spans="1:20">
      <c r="G2" s="339" t="s">
        <v>756</v>
      </c>
      <c r="H2" s="364" t="s">
        <v>423</v>
      </c>
    </row>
    <row r="5" spans="1:20">
      <c r="Q5" s="295" t="s">
        <v>773</v>
      </c>
      <c r="R5" s="295" t="s">
        <v>773</v>
      </c>
      <c r="S5" s="295" t="s">
        <v>773</v>
      </c>
      <c r="T5" s="295" t="s">
        <v>773</v>
      </c>
    </row>
    <row r="6" spans="1:20">
      <c r="H6" s="296"/>
      <c r="I6" s="870" t="s">
        <v>425</v>
      </c>
      <c r="J6" s="871"/>
      <c r="K6" s="872" t="s">
        <v>440</v>
      </c>
      <c r="L6" s="872"/>
      <c r="Q6" s="295" t="s">
        <v>427</v>
      </c>
      <c r="R6" s="295" t="s">
        <v>429</v>
      </c>
      <c r="S6" s="295" t="s">
        <v>442</v>
      </c>
      <c r="T6" s="295" t="s">
        <v>444</v>
      </c>
    </row>
    <row r="7" spans="1:20">
      <c r="H7" s="296"/>
      <c r="I7" s="368" t="s">
        <v>418</v>
      </c>
      <c r="J7" s="367" t="s">
        <v>432</v>
      </c>
      <c r="K7" s="368" t="s">
        <v>418</v>
      </c>
      <c r="L7" s="366" t="s">
        <v>432</v>
      </c>
      <c r="Q7" s="295">
        <f>VLOOKUP($H$2,labels!$F$2:$G$8,2,FALSE)</f>
        <v>2</v>
      </c>
      <c r="R7" s="295">
        <f>VLOOKUP($H$2,labels!$F$2:$G$8,2,FALSE)</f>
        <v>2</v>
      </c>
      <c r="S7" s="295">
        <f>VLOOKUP($H$2,labels!$F$2:$G$8,2,FALSE)</f>
        <v>2</v>
      </c>
      <c r="T7" s="295">
        <f>VLOOKUP($H$2,labels!$F$2:$G$8,2,FALSE)</f>
        <v>2</v>
      </c>
    </row>
    <row r="8" spans="1:20">
      <c r="H8" s="200" t="str">
        <f t="shared" ref="H8:H17" si="0">A10</f>
        <v>Bottom decile</v>
      </c>
      <c r="I8" s="527">
        <f>-100*INDEX(stats!$D:$D,MATCH(Q8,stats!$A:$A,0))</f>
        <v>3.20780647547732E-3</v>
      </c>
      <c r="J8" s="528">
        <f>-100*INDEX(stats!$D:$D,MATCH(R8,stats!$A:$A,0))</f>
        <v>0.13942335416879148</v>
      </c>
      <c r="K8" s="529">
        <f>100*INDEX(stats!$D:$D,MATCH(S8,stats!$A:$A,0))</f>
        <v>0.21427053736954549</v>
      </c>
      <c r="L8" s="529">
        <f>100*INDEX(stats!$D:$D,MATCH(T8,stats!$A:$A,0))</f>
        <v>0.38174882409480082</v>
      </c>
      <c r="P8" s="295">
        <v>1</v>
      </c>
      <c r="Q8" s="295" t="str">
        <f>_xlfn.CONCAT(Q$7,"_",Q$6,"_",Q$5,"__yd_",$P8)</f>
        <v>2_vat_elec_pc_netcash__yd_1</v>
      </c>
      <c r="R8" s="295" t="str">
        <f t="shared" ref="R8:T17" si="1">_xlfn.CONCAT(R$7,"_",R$6,"_",R$5,"__yd_",$P8)</f>
        <v>2_vat_fuel_pc_netcash__yd_1</v>
      </c>
      <c r="S8" s="295" t="str">
        <f t="shared" si="1"/>
        <v>2_subsidy_elec_pc_netcash__yd_1</v>
      </c>
      <c r="T8" s="295" t="str">
        <f t="shared" si="1"/>
        <v>2_subsidy_fuel_pc_netcash__yd_1</v>
      </c>
    </row>
    <row r="9" spans="1:20">
      <c r="H9" s="296">
        <f t="shared" si="0"/>
        <v>2</v>
      </c>
      <c r="I9" s="527">
        <f>-100*INDEX(stats!$D:$D,MATCH(Q9,stats!$A:$A,0))</f>
        <v>1.5871212869126648E-2</v>
      </c>
      <c r="J9" s="528">
        <f>-100*INDEX(stats!$D:$D,MATCH(R9,stats!$A:$A,0))</f>
        <v>0.19482937840387715</v>
      </c>
      <c r="K9" s="529">
        <f>100*INDEX(stats!$D:$D,MATCH(S9,stats!$A:$A,0))</f>
        <v>0.31159292993524657</v>
      </c>
      <c r="L9" s="529">
        <f>100*INDEX(stats!$D:$D,MATCH(T9,stats!$A:$A,0))</f>
        <v>0.48994784635849964</v>
      </c>
      <c r="P9" s="295">
        <v>2</v>
      </c>
      <c r="Q9" s="295" t="str">
        <f t="shared" ref="Q9:Q17" si="2">_xlfn.CONCAT(Q$7,"_",Q$6,"_",Q$5,"__yd_",$P9)</f>
        <v>2_vat_elec_pc_netcash__yd_2</v>
      </c>
      <c r="R9" s="295" t="str">
        <f t="shared" si="1"/>
        <v>2_vat_fuel_pc_netcash__yd_2</v>
      </c>
      <c r="S9" s="295" t="str">
        <f t="shared" si="1"/>
        <v>2_subsidy_elec_pc_netcash__yd_2</v>
      </c>
      <c r="T9" s="295" t="str">
        <f t="shared" si="1"/>
        <v>2_subsidy_fuel_pc_netcash__yd_2</v>
      </c>
    </row>
    <row r="10" spans="1:20">
      <c r="A10" s="363" t="str">
        <f>labels!I2</f>
        <v>Bottom decile</v>
      </c>
      <c r="H10" s="296">
        <f t="shared" si="0"/>
        <v>3</v>
      </c>
      <c r="I10" s="527">
        <f>-100*INDEX(stats!$D:$D,MATCH(Q10,stats!$A:$A,0))</f>
        <v>2.2249097031247288E-2</v>
      </c>
      <c r="J10" s="528">
        <f>-100*INDEX(stats!$D:$D,MATCH(R10,stats!$A:$A,0))</f>
        <v>0.16466119665310205</v>
      </c>
      <c r="K10" s="529">
        <f>100*INDEX(stats!$D:$D,MATCH(S10,stats!$A:$A,0))</f>
        <v>0.43489151249078151</v>
      </c>
      <c r="L10" s="529">
        <f>100*INDEX(stats!$D:$D,MATCH(T10,stats!$A:$A,0))</f>
        <v>0.4633727795045956</v>
      </c>
      <c r="P10" s="295">
        <v>3</v>
      </c>
      <c r="Q10" s="295" t="str">
        <f t="shared" si="2"/>
        <v>2_vat_elec_pc_netcash__yd_3</v>
      </c>
      <c r="R10" s="295" t="str">
        <f t="shared" si="1"/>
        <v>2_vat_fuel_pc_netcash__yd_3</v>
      </c>
      <c r="S10" s="295" t="str">
        <f t="shared" si="1"/>
        <v>2_subsidy_elec_pc_netcash__yd_3</v>
      </c>
      <c r="T10" s="295" t="str">
        <f t="shared" si="1"/>
        <v>2_subsidy_fuel_pc_netcash__yd_3</v>
      </c>
    </row>
    <row r="11" spans="1:20">
      <c r="A11" s="363">
        <f>labels!I3</f>
        <v>2</v>
      </c>
      <c r="H11" s="296">
        <f t="shared" si="0"/>
        <v>4</v>
      </c>
      <c r="I11" s="527">
        <f>-100*INDEX(stats!$D:$D,MATCH(Q11,stats!$A:$A,0))</f>
        <v>1.468923082294157E-2</v>
      </c>
      <c r="J11" s="528">
        <f>-100*INDEX(stats!$D:$D,MATCH(R11,stats!$A:$A,0))</f>
        <v>0.1845051924622168</v>
      </c>
      <c r="K11" s="529">
        <f>100*INDEX(stats!$D:$D,MATCH(S11,stats!$A:$A,0))</f>
        <v>0.58528761110625172</v>
      </c>
      <c r="L11" s="529">
        <f>100*INDEX(stats!$D:$D,MATCH(T11,stats!$A:$A,0))</f>
        <v>0.5139324410342333</v>
      </c>
      <c r="P11" s="295">
        <v>4</v>
      </c>
      <c r="Q11" s="295" t="str">
        <f t="shared" si="2"/>
        <v>2_vat_elec_pc_netcash__yd_4</v>
      </c>
      <c r="R11" s="295" t="str">
        <f t="shared" si="1"/>
        <v>2_vat_fuel_pc_netcash__yd_4</v>
      </c>
      <c r="S11" s="295" t="str">
        <f t="shared" si="1"/>
        <v>2_subsidy_elec_pc_netcash__yd_4</v>
      </c>
      <c r="T11" s="295" t="str">
        <f t="shared" si="1"/>
        <v>2_subsidy_fuel_pc_netcash__yd_4</v>
      </c>
    </row>
    <row r="12" spans="1:20">
      <c r="A12" s="363">
        <f>labels!I4</f>
        <v>3</v>
      </c>
      <c r="H12" s="296">
        <f t="shared" si="0"/>
        <v>5</v>
      </c>
      <c r="I12" s="527">
        <f>-100*INDEX(stats!$D:$D,MATCH(Q12,stats!$A:$A,0))</f>
        <v>1.0496805656520666E-2</v>
      </c>
      <c r="J12" s="528">
        <f>-100*INDEX(stats!$D:$D,MATCH(R12,stats!$A:$A,0))</f>
        <v>0.22766071607092658</v>
      </c>
      <c r="K12" s="529">
        <f>100*INDEX(stats!$D:$D,MATCH(S12,stats!$A:$A,0))</f>
        <v>0.63362266965357084</v>
      </c>
      <c r="L12" s="529">
        <f>100*INDEX(stats!$D:$D,MATCH(T12,stats!$A:$A,0))</f>
        <v>0.58771084433736498</v>
      </c>
      <c r="P12" s="295">
        <v>5</v>
      </c>
      <c r="Q12" s="295" t="str">
        <f t="shared" si="2"/>
        <v>2_vat_elec_pc_netcash__yd_5</v>
      </c>
      <c r="R12" s="295" t="str">
        <f t="shared" si="1"/>
        <v>2_vat_fuel_pc_netcash__yd_5</v>
      </c>
      <c r="S12" s="295" t="str">
        <f t="shared" si="1"/>
        <v>2_subsidy_elec_pc_netcash__yd_5</v>
      </c>
      <c r="T12" s="295" t="str">
        <f t="shared" si="1"/>
        <v>2_subsidy_fuel_pc_netcash__yd_5</v>
      </c>
    </row>
    <row r="13" spans="1:20">
      <c r="A13" s="363">
        <f>labels!I5</f>
        <v>4</v>
      </c>
      <c r="H13" s="296">
        <f t="shared" si="0"/>
        <v>6</v>
      </c>
      <c r="I13" s="527">
        <f>-100*INDEX(stats!$D:$D,MATCH(Q13,stats!$A:$A,0))</f>
        <v>3.6849765202948255E-2</v>
      </c>
      <c r="J13" s="528">
        <f>-100*INDEX(stats!$D:$D,MATCH(R13,stats!$A:$A,0))</f>
        <v>0.26232081188307682</v>
      </c>
      <c r="K13" s="529">
        <f>100*INDEX(stats!$D:$D,MATCH(S13,stats!$A:$A,0))</f>
        <v>0.78683826439815918</v>
      </c>
      <c r="L13" s="529">
        <f>100*INDEX(stats!$D:$D,MATCH(T13,stats!$A:$A,0))</f>
        <v>0.65048556274067859</v>
      </c>
      <c r="P13" s="295">
        <v>6</v>
      </c>
      <c r="Q13" s="295" t="str">
        <f t="shared" si="2"/>
        <v>2_vat_elec_pc_netcash__yd_6</v>
      </c>
      <c r="R13" s="295" t="str">
        <f t="shared" si="1"/>
        <v>2_vat_fuel_pc_netcash__yd_6</v>
      </c>
      <c r="S13" s="295" t="str">
        <f t="shared" si="1"/>
        <v>2_subsidy_elec_pc_netcash__yd_6</v>
      </c>
      <c r="T13" s="295" t="str">
        <f t="shared" si="1"/>
        <v>2_subsidy_fuel_pc_netcash__yd_6</v>
      </c>
    </row>
    <row r="14" spans="1:20">
      <c r="A14" s="363">
        <f>labels!I6</f>
        <v>5</v>
      </c>
      <c r="H14" s="296">
        <f t="shared" si="0"/>
        <v>7</v>
      </c>
      <c r="I14" s="527">
        <f>-100*INDEX(stats!$D:$D,MATCH(Q14,stats!$A:$A,0))</f>
        <v>3.8873113857382999E-2</v>
      </c>
      <c r="J14" s="528">
        <f>-100*INDEX(stats!$D:$D,MATCH(R14,stats!$A:$A,0))</f>
        <v>0.27779665543522281</v>
      </c>
      <c r="K14" s="529">
        <f>100*INDEX(stats!$D:$D,MATCH(S14,stats!$A:$A,0))</f>
        <v>0.95006566453608066</v>
      </c>
      <c r="L14" s="529">
        <f>100*INDEX(stats!$D:$D,MATCH(T14,stats!$A:$A,0))</f>
        <v>0.69276210357893964</v>
      </c>
      <c r="P14" s="295">
        <v>7</v>
      </c>
      <c r="Q14" s="295" t="str">
        <f t="shared" si="2"/>
        <v>2_vat_elec_pc_netcash__yd_7</v>
      </c>
      <c r="R14" s="295" t="str">
        <f t="shared" si="1"/>
        <v>2_vat_fuel_pc_netcash__yd_7</v>
      </c>
      <c r="S14" s="295" t="str">
        <f t="shared" si="1"/>
        <v>2_subsidy_elec_pc_netcash__yd_7</v>
      </c>
      <c r="T14" s="295" t="str">
        <f t="shared" si="1"/>
        <v>2_subsidy_fuel_pc_netcash__yd_7</v>
      </c>
    </row>
    <row r="15" spans="1:20">
      <c r="A15" s="363">
        <f>labels!I7</f>
        <v>6</v>
      </c>
      <c r="H15" s="296">
        <f t="shared" si="0"/>
        <v>8</v>
      </c>
      <c r="I15" s="527">
        <f>-100*INDEX(stats!$D:$D,MATCH(Q15,stats!$A:$A,0))</f>
        <v>5.1957604098936627E-2</v>
      </c>
      <c r="J15" s="528">
        <f>-100*INDEX(stats!$D:$D,MATCH(R15,stats!$A:$A,0))</f>
        <v>0.36753755576932023</v>
      </c>
      <c r="K15" s="529">
        <f>100*INDEX(stats!$D:$D,MATCH(S15,stats!$A:$A,0))</f>
        <v>0.98229601461930316</v>
      </c>
      <c r="L15" s="529">
        <f>100*INDEX(stats!$D:$D,MATCH(T15,stats!$A:$A,0))</f>
        <v>0.82871060096914162</v>
      </c>
      <c r="P15" s="295">
        <v>8</v>
      </c>
      <c r="Q15" s="295" t="str">
        <f t="shared" si="2"/>
        <v>2_vat_elec_pc_netcash__yd_8</v>
      </c>
      <c r="R15" s="295" t="str">
        <f t="shared" si="1"/>
        <v>2_vat_fuel_pc_netcash__yd_8</v>
      </c>
      <c r="S15" s="295" t="str">
        <f t="shared" si="1"/>
        <v>2_subsidy_elec_pc_netcash__yd_8</v>
      </c>
      <c r="T15" s="295" t="str">
        <f t="shared" si="1"/>
        <v>2_subsidy_fuel_pc_netcash__yd_8</v>
      </c>
    </row>
    <row r="16" spans="1:20">
      <c r="A16" s="363">
        <f>labels!I8</f>
        <v>7</v>
      </c>
      <c r="H16" s="296">
        <f t="shared" si="0"/>
        <v>9</v>
      </c>
      <c r="I16" s="527">
        <f>-100*INDEX(stats!$D:$D,MATCH(Q16,stats!$A:$A,0))</f>
        <v>6.3689542163174725E-2</v>
      </c>
      <c r="J16" s="528">
        <f>-100*INDEX(stats!$D:$D,MATCH(R16,stats!$A:$A,0))</f>
        <v>0.38653785020139558</v>
      </c>
      <c r="K16" s="529">
        <f>100*INDEX(stats!$D:$D,MATCH(S16,stats!$A:$A,0))</f>
        <v>1.050536457694959</v>
      </c>
      <c r="L16" s="529">
        <f>100*INDEX(stats!$D:$D,MATCH(T16,stats!$A:$A,0))</f>
        <v>0.86024617664559044</v>
      </c>
      <c r="P16" s="295">
        <v>9</v>
      </c>
      <c r="Q16" s="295" t="str">
        <f t="shared" si="2"/>
        <v>2_vat_elec_pc_netcash__yd_9</v>
      </c>
      <c r="R16" s="295" t="str">
        <f t="shared" si="1"/>
        <v>2_vat_fuel_pc_netcash__yd_9</v>
      </c>
      <c r="S16" s="295" t="str">
        <f t="shared" si="1"/>
        <v>2_subsidy_elec_pc_netcash__yd_9</v>
      </c>
      <c r="T16" s="295" t="str">
        <f t="shared" si="1"/>
        <v>2_subsidy_fuel_pc_netcash__yd_9</v>
      </c>
    </row>
    <row r="17" spans="1:20">
      <c r="A17" s="363">
        <f>labels!I9</f>
        <v>8</v>
      </c>
      <c r="H17" s="365" t="str">
        <f t="shared" si="0"/>
        <v>Top decile</v>
      </c>
      <c r="I17" s="530">
        <f>-100*INDEX(stats!$D:$D,MATCH(Q17,stats!$A:$A,0))</f>
        <v>0.12031843259552541</v>
      </c>
      <c r="J17" s="531">
        <f>-100*INDEX(stats!$D:$D,MATCH(R17,stats!$A:$A,0))</f>
        <v>0.4680118201696718</v>
      </c>
      <c r="K17" s="532">
        <f>100*INDEX(stats!$D:$D,MATCH(S17,stats!$A:$A,0))</f>
        <v>0.96313569545973809</v>
      </c>
      <c r="L17" s="532">
        <f>100*INDEX(stats!$D:$D,MATCH(T17,stats!$A:$A,0))</f>
        <v>0.95837287608474919</v>
      </c>
      <c r="P17" s="295">
        <v>10</v>
      </c>
      <c r="Q17" s="295" t="str">
        <f t="shared" si="2"/>
        <v>2_vat_elec_pc_netcash__yd_10</v>
      </c>
      <c r="R17" s="295" t="str">
        <f t="shared" si="1"/>
        <v>2_vat_fuel_pc_netcash__yd_10</v>
      </c>
      <c r="S17" s="295" t="str">
        <f t="shared" si="1"/>
        <v>2_subsidy_elec_pc_netcash__yd_10</v>
      </c>
      <c r="T17" s="295" t="str">
        <f t="shared" si="1"/>
        <v>2_subsidy_fuel_pc_netcash__yd_10</v>
      </c>
    </row>
    <row r="18" spans="1:20">
      <c r="A18" s="363">
        <f>labels!I10</f>
        <v>9</v>
      </c>
    </row>
    <row r="19" spans="1:20">
      <c r="A19" s="363" t="str">
        <f>labels!I11</f>
        <v>Top decile</v>
      </c>
    </row>
    <row r="20" spans="1:20">
      <c r="A20" s="363"/>
    </row>
    <row r="21" spans="1:20">
      <c r="A21" s="363" t="str">
        <f>labels!J2</f>
        <v>Deciles of Per Capita Disposable Income</v>
      </c>
    </row>
    <row r="24" spans="1:20">
      <c r="J24" s="1" t="str">
        <f>R10</f>
        <v>2_vat_fuel_pc_netcash__yd_3</v>
      </c>
    </row>
    <row r="25" spans="1:20">
      <c r="A25" s="1" t="s">
        <v>440</v>
      </c>
      <c r="B25" s="1" t="s">
        <v>773</v>
      </c>
      <c r="C25" s="363" t="s">
        <v>705</v>
      </c>
      <c r="D25" s="363" t="s">
        <v>705</v>
      </c>
    </row>
    <row r="26" spans="1:20">
      <c r="A26" s="1" t="s">
        <v>425</v>
      </c>
      <c r="B26" s="1" t="s">
        <v>775</v>
      </c>
      <c r="C26" s="363" t="s">
        <v>776</v>
      </c>
      <c r="D26" s="363" t="s">
        <v>777</v>
      </c>
      <c r="H26" s="257"/>
    </row>
    <row r="27" spans="1:20">
      <c r="A27" s="1" t="s">
        <v>781</v>
      </c>
      <c r="B27" s="1" t="s">
        <v>778</v>
      </c>
      <c r="C27" s="363" t="s">
        <v>779</v>
      </c>
      <c r="D27" s="363" t="s">
        <v>780</v>
      </c>
    </row>
    <row r="29" spans="1:20">
      <c r="A29" s="363" t="str">
        <f>C25</f>
        <v>labels!C4</v>
      </c>
      <c r="B29" s="370" t="str">
        <f ca="1">_xlfn.CONCAT(INDIRECT(A29)," (-)")</f>
        <v>Percentage of Disposable Income (-)</v>
      </c>
    </row>
    <row r="30" spans="1:20">
      <c r="A30" s="363" t="str">
        <f>D25</f>
        <v>labels!C4</v>
      </c>
      <c r="B30" s="370" t="str" cm="1">
        <f t="array" aca="1" ref="B30" ca="1">INDIRECT(A30)</f>
        <v>Percentage of Disposable Income</v>
      </c>
    </row>
    <row r="32" spans="1:20">
      <c r="B32" s="1" t="s">
        <v>425</v>
      </c>
      <c r="C32" s="1" t="s">
        <v>440</v>
      </c>
    </row>
    <row r="33" spans="1:22">
      <c r="A33" s="1" t="s">
        <v>418</v>
      </c>
      <c r="B33" s="1" t="s">
        <v>427</v>
      </c>
      <c r="C33" s="1" t="s">
        <v>442</v>
      </c>
      <c r="H33" s="296"/>
      <c r="I33" s="681"/>
      <c r="J33" s="681"/>
      <c r="K33" s="681"/>
      <c r="L33" s="374"/>
    </row>
    <row r="34" spans="1:22" ht="43.2">
      <c r="A34" s="1" t="s">
        <v>432</v>
      </c>
      <c r="B34" s="1" t="s">
        <v>429</v>
      </c>
      <c r="C34" s="1" t="s">
        <v>444</v>
      </c>
      <c r="H34" s="296"/>
      <c r="I34" s="683" t="s">
        <v>13</v>
      </c>
      <c r="J34" s="684" t="s">
        <v>920</v>
      </c>
      <c r="K34" s="685" t="s">
        <v>921</v>
      </c>
      <c r="L34" s="682"/>
      <c r="Q34" s="301"/>
      <c r="R34" s="301">
        <v>1</v>
      </c>
      <c r="S34" s="301">
        <f>VLOOKUP($H$2,labels!$F$2:$G$8,2,FALSE)</f>
        <v>2</v>
      </c>
      <c r="T34" s="301"/>
      <c r="U34" s="301"/>
      <c r="V34" s="301"/>
    </row>
    <row r="35" spans="1:22">
      <c r="A35" s="1" t="s">
        <v>771</v>
      </c>
      <c r="B35" s="371" t="s">
        <v>431</v>
      </c>
      <c r="C35" s="371" t="s">
        <v>445</v>
      </c>
      <c r="H35" s="200" t="str">
        <f>A10</f>
        <v>Bottom decile</v>
      </c>
      <c r="I35" s="527">
        <f>elec_cost_deciles!B2*100</f>
        <v>0.76071281536266677</v>
      </c>
      <c r="J35" s="529">
        <f>100*INDEX(stats!$D:$D,MATCH(R35,stats!$A:$A,0))</f>
        <v>0.3117740698437127</v>
      </c>
      <c r="K35" s="528">
        <f>100*INDEX(stats!$D:$D,MATCH(S35,stats!$A:$A,0))</f>
        <v>0.29637684958593102</v>
      </c>
      <c r="L35" s="529"/>
      <c r="Q35" s="301">
        <v>1</v>
      </c>
      <c r="R35" s="301" t="str">
        <f>_xlfn.CONCAT(R$34,"_subsidy_elec_direct_pc_netcash__yd_",$Q35)</f>
        <v>1_subsidy_elec_direct_pc_netcash__yd_1</v>
      </c>
      <c r="S35" s="301" t="str">
        <f>_xlfn.CONCAT(S$34,"_subsidy_elec_direct_pc_netcash__yd_",$Q35)</f>
        <v>2_subsidy_elec_direct_pc_netcash__yd_1</v>
      </c>
      <c r="T35" s="301"/>
      <c r="U35" s="301"/>
      <c r="V35" s="301"/>
    </row>
    <row r="36" spans="1:22">
      <c r="H36" s="296">
        <f t="shared" ref="H36:H44" si="3">A11</f>
        <v>2</v>
      </c>
      <c r="I36" s="527">
        <f>elec_cost_deciles!B3*100</f>
        <v>1.1403041768935227</v>
      </c>
      <c r="J36" s="529">
        <f>100*INDEX(stats!$D:$D,MATCH(R36,stats!$A:$A,0))</f>
        <v>0.44544740130908428</v>
      </c>
      <c r="K36" s="528">
        <f>100*INDEX(stats!$D:$D,MATCH(S36,stats!$A:$A,0))</f>
        <v>0.40050521392123739</v>
      </c>
      <c r="L36" s="529"/>
      <c r="Q36" s="301">
        <v>2</v>
      </c>
      <c r="R36" s="301" t="str">
        <f t="shared" ref="R36:S44" si="4">_xlfn.CONCAT(R$34,"_subsidy_elec_direct_pc_netcash__yd_",$Q36)</f>
        <v>1_subsidy_elec_direct_pc_netcash__yd_2</v>
      </c>
      <c r="S36" s="301" t="str">
        <f t="shared" si="4"/>
        <v>2_subsidy_elec_direct_pc_netcash__yd_2</v>
      </c>
      <c r="T36" s="301"/>
      <c r="U36" s="301"/>
      <c r="V36" s="301"/>
    </row>
    <row r="37" spans="1:22">
      <c r="H37" s="296">
        <f t="shared" si="3"/>
        <v>3</v>
      </c>
      <c r="I37" s="527">
        <f>elec_cost_deciles!B4*100</f>
        <v>1.503155567008539</v>
      </c>
      <c r="J37" s="529">
        <f>100*INDEX(stats!$D:$D,MATCH(R37,stats!$A:$A,0))</f>
        <v>0.59219185328734569</v>
      </c>
      <c r="K37" s="528">
        <f>100*INDEX(stats!$D:$D,MATCH(S37,stats!$A:$A,0))</f>
        <v>0.52428860190884696</v>
      </c>
      <c r="L37" s="529"/>
      <c r="Q37" s="301">
        <v>3</v>
      </c>
      <c r="R37" s="301" t="str">
        <f t="shared" si="4"/>
        <v>1_subsidy_elec_direct_pc_netcash__yd_3</v>
      </c>
      <c r="S37" s="301" t="str">
        <f t="shared" si="4"/>
        <v>2_subsidy_elec_direct_pc_netcash__yd_3</v>
      </c>
      <c r="T37" s="301"/>
      <c r="U37" s="301"/>
      <c r="V37" s="301"/>
    </row>
    <row r="38" spans="1:22">
      <c r="H38" s="296">
        <f t="shared" si="3"/>
        <v>4</v>
      </c>
      <c r="I38" s="527">
        <f>elec_cost_deciles!B5*100</f>
        <v>1.8836051790643342</v>
      </c>
      <c r="J38" s="529">
        <f>100*INDEX(stats!$D:$D,MATCH(R38,stats!$A:$A,0))</f>
        <v>0.74348868329534323</v>
      </c>
      <c r="K38" s="528">
        <f>100*INDEX(stats!$D:$D,MATCH(S38,stats!$A:$A,0))</f>
        <v>0.67684156643176163</v>
      </c>
      <c r="L38" s="529"/>
      <c r="Q38" s="301">
        <v>4</v>
      </c>
      <c r="R38" s="301" t="str">
        <f t="shared" si="4"/>
        <v>1_subsidy_elec_direct_pc_netcash__yd_4</v>
      </c>
      <c r="S38" s="301" t="str">
        <f t="shared" si="4"/>
        <v>2_subsidy_elec_direct_pc_netcash__yd_4</v>
      </c>
      <c r="T38" s="301"/>
      <c r="U38" s="301"/>
      <c r="V38" s="301"/>
    </row>
    <row r="39" spans="1:22">
      <c r="H39" s="296">
        <f t="shared" si="3"/>
        <v>5</v>
      </c>
      <c r="I39" s="527">
        <f>elec_cost_deciles!B6*100</f>
        <v>1.9466362127531236</v>
      </c>
      <c r="J39" s="529">
        <f>100*INDEX(stats!$D:$D,MATCH(R39,stats!$A:$A,0))</f>
        <v>0.78644608162676843</v>
      </c>
      <c r="K39" s="528">
        <f>100*INDEX(stats!$D:$D,MATCH(S39,stats!$A:$A,0))</f>
        <v>0.72909520908476111</v>
      </c>
      <c r="L39" s="529"/>
      <c r="Q39" s="301">
        <v>5</v>
      </c>
      <c r="R39" s="301" t="str">
        <f t="shared" si="4"/>
        <v>1_subsidy_elec_direct_pc_netcash__yd_5</v>
      </c>
      <c r="S39" s="301" t="str">
        <f t="shared" si="4"/>
        <v>2_subsidy_elec_direct_pc_netcash__yd_5</v>
      </c>
      <c r="T39" s="301"/>
      <c r="U39" s="301"/>
      <c r="V39" s="301"/>
    </row>
    <row r="40" spans="1:22">
      <c r="H40" s="296">
        <f t="shared" si="3"/>
        <v>6</v>
      </c>
      <c r="I40" s="527">
        <f>elec_cost_deciles!B7*100</f>
        <v>2.5793590814124472</v>
      </c>
      <c r="J40" s="529">
        <f>100*INDEX(stats!$D:$D,MATCH(R40,stats!$A:$A,0))</f>
        <v>1.002334867491067</v>
      </c>
      <c r="K40" s="528">
        <f>100*INDEX(stats!$D:$D,MATCH(S40,stats!$A:$A,0))</f>
        <v>0.88205698679408429</v>
      </c>
      <c r="L40" s="529"/>
      <c r="Q40" s="301">
        <v>6</v>
      </c>
      <c r="R40" s="301" t="str">
        <f t="shared" si="4"/>
        <v>1_subsidy_elec_direct_pc_netcash__yd_6</v>
      </c>
      <c r="S40" s="301" t="str">
        <f t="shared" si="4"/>
        <v>2_subsidy_elec_direct_pc_netcash__yd_6</v>
      </c>
      <c r="T40" s="301"/>
      <c r="U40" s="301"/>
      <c r="V40" s="301"/>
    </row>
    <row r="41" spans="1:22">
      <c r="H41" s="296">
        <f t="shared" si="3"/>
        <v>7</v>
      </c>
      <c r="I41" s="527">
        <f>elec_cost_deciles!B8*100</f>
        <v>2.9892093995178186</v>
      </c>
      <c r="J41" s="529">
        <f>100*INDEX(stats!$D:$D,MATCH(R41,stats!$A:$A,0))</f>
        <v>1.1724951646690007</v>
      </c>
      <c r="K41" s="528">
        <f>100*INDEX(stats!$D:$D,MATCH(S41,stats!$A:$A,0))</f>
        <v>1.0472600769848135</v>
      </c>
      <c r="L41" s="529"/>
      <c r="Q41" s="301">
        <v>7</v>
      </c>
      <c r="R41" s="301" t="str">
        <f t="shared" si="4"/>
        <v>1_subsidy_elec_direct_pc_netcash__yd_7</v>
      </c>
      <c r="S41" s="301" t="str">
        <f t="shared" si="4"/>
        <v>2_subsidy_elec_direct_pc_netcash__yd_7</v>
      </c>
      <c r="T41" s="301"/>
      <c r="U41" s="301"/>
      <c r="V41" s="301"/>
    </row>
    <row r="42" spans="1:22">
      <c r="H42" s="296">
        <f t="shared" si="3"/>
        <v>8</v>
      </c>
      <c r="I42" s="527">
        <f>elec_cost_deciles!B9*100</f>
        <v>3.2825041813009035</v>
      </c>
      <c r="J42" s="529">
        <f>100*INDEX(stats!$D:$D,MATCH(R42,stats!$A:$A,0))</f>
        <v>1.2582816156987373</v>
      </c>
      <c r="K42" s="528">
        <f>100*INDEX(stats!$D:$D,MATCH(S42,stats!$A:$A,0))</f>
        <v>1.0835319607030318</v>
      </c>
      <c r="L42" s="529"/>
      <c r="Q42" s="301">
        <v>8</v>
      </c>
      <c r="R42" s="301" t="str">
        <f t="shared" si="4"/>
        <v>1_subsidy_elec_direct_pc_netcash__yd_8</v>
      </c>
      <c r="S42" s="301" t="str">
        <f t="shared" si="4"/>
        <v>2_subsidy_elec_direct_pc_netcash__yd_8</v>
      </c>
      <c r="T42" s="301"/>
      <c r="U42" s="301"/>
      <c r="V42" s="301"/>
    </row>
    <row r="43" spans="1:22">
      <c r="H43" s="296">
        <f t="shared" si="3"/>
        <v>9</v>
      </c>
      <c r="I43" s="527">
        <f>elec_cost_deciles!B10*100</f>
        <v>3.5818481066294852</v>
      </c>
      <c r="J43" s="529">
        <f>100*INDEX(stats!$D:$D,MATCH(R43,stats!$A:$A,0))</f>
        <v>1.3594151033170569</v>
      </c>
      <c r="K43" s="528">
        <f>100*INDEX(stats!$D:$D,MATCH(S43,stats!$A:$A,0))</f>
        <v>1.1507277495627215</v>
      </c>
      <c r="L43" s="529"/>
      <c r="Q43" s="301">
        <v>9</v>
      </c>
      <c r="R43" s="301" t="str">
        <f t="shared" si="4"/>
        <v>1_subsidy_elec_direct_pc_netcash__yd_9</v>
      </c>
      <c r="S43" s="301" t="str">
        <f t="shared" si="4"/>
        <v>2_subsidy_elec_direct_pc_netcash__yd_9</v>
      </c>
      <c r="T43" s="301"/>
      <c r="U43" s="301"/>
      <c r="V43" s="301"/>
    </row>
    <row r="44" spans="1:22">
      <c r="H44" s="365" t="str">
        <f t="shared" si="3"/>
        <v>Top decile</v>
      </c>
      <c r="I44" s="530">
        <f>elec_cost_deciles!B11*100</f>
        <v>3.74231993059436</v>
      </c>
      <c r="J44" s="532">
        <f>100*INDEX(stats!$D:$D,MATCH(R44,stats!$A:$A,0))</f>
        <v>1.3662531099960951</v>
      </c>
      <c r="K44" s="531">
        <f>100*INDEX(stats!$D:$D,MATCH(S44,stats!$A:$A,0))</f>
        <v>1.0631350314650621</v>
      </c>
      <c r="L44" s="527"/>
      <c r="Q44" s="301">
        <v>10</v>
      </c>
      <c r="R44" s="301" t="str">
        <f t="shared" si="4"/>
        <v>1_subsidy_elec_direct_pc_netcash__yd_10</v>
      </c>
      <c r="S44" s="301" t="str">
        <f t="shared" si="4"/>
        <v>2_subsidy_elec_direct_pc_netcash__yd_10</v>
      </c>
      <c r="T44" s="301"/>
      <c r="U44" s="301"/>
      <c r="V44" s="301"/>
    </row>
    <row r="45" spans="1:22">
      <c r="Q45" s="301"/>
      <c r="R45" s="301"/>
      <c r="S45" s="301"/>
      <c r="T45" s="301"/>
      <c r="U45" s="301"/>
      <c r="V45" s="301"/>
    </row>
  </sheetData>
  <mergeCells count="2">
    <mergeCell ref="I6:J6"/>
    <mergeCell ref="K6:L6"/>
  </mergeCells>
  <dataValidations count="1">
    <dataValidation type="list" allowBlank="1" showInputMessage="1" showErrorMessage="1" sqref="H2" xr:uid="{00000000-0002-0000-1A00-000000000000}">
      <formula1>scenarios</formula1>
    </dataValidation>
  </dataValidations>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ED6296-CA68-4B57-8B8B-49767630F35B}">
  <sheetPr codeName="Hoja28">
    <tabColor rgb="FFB7EE8E"/>
  </sheetPr>
  <dimension ref="B3:Q20"/>
  <sheetViews>
    <sheetView workbookViewId="0">
      <selection activeCell="H13" sqref="H13"/>
    </sheetView>
  </sheetViews>
  <sheetFormatPr baseColWidth="10" defaultColWidth="11.5546875" defaultRowHeight="14.4"/>
  <cols>
    <col min="2" max="2" width="17.109375" customWidth="1"/>
    <col min="3" max="5" width="12.6640625" bestFit="1" customWidth="1"/>
    <col min="6" max="6" width="11.109375" customWidth="1"/>
    <col min="7" max="7" width="8" bestFit="1" customWidth="1"/>
    <col min="8" max="8" width="17.33203125" customWidth="1"/>
    <col min="9" max="9" width="9.109375" bestFit="1" customWidth="1"/>
    <col min="10" max="11" width="8.6640625" bestFit="1" customWidth="1"/>
    <col min="12" max="12" width="9.109375" bestFit="1" customWidth="1"/>
    <col min="13" max="15" width="5.109375" bestFit="1" customWidth="1"/>
    <col min="16" max="17" width="8" bestFit="1" customWidth="1"/>
  </cols>
  <sheetData>
    <row r="3" spans="2:17">
      <c r="B3" s="1"/>
      <c r="C3" s="1" t="s">
        <v>782</v>
      </c>
      <c r="D3" s="1" t="s">
        <v>783</v>
      </c>
      <c r="E3" s="1" t="s">
        <v>784</v>
      </c>
      <c r="F3" s="556" t="s">
        <v>785</v>
      </c>
      <c r="H3" s="1"/>
      <c r="I3" s="556" t="s">
        <v>786</v>
      </c>
      <c r="J3" s="556" t="s">
        <v>21</v>
      </c>
      <c r="K3" s="556" t="s">
        <v>23</v>
      </c>
      <c r="L3" s="1" t="s">
        <v>787</v>
      </c>
      <c r="M3" s="556" t="s">
        <v>788</v>
      </c>
      <c r="N3" s="556" t="s">
        <v>789</v>
      </c>
      <c r="O3" s="556" t="s">
        <v>790</v>
      </c>
      <c r="P3" s="1"/>
      <c r="Q3" s="1"/>
    </row>
    <row r="4" spans="2:17">
      <c r="B4" s="556" t="s">
        <v>791</v>
      </c>
      <c r="C4" s="1">
        <v>392.76400000000001</v>
      </c>
      <c r="D4" s="1">
        <v>536.19759999999997</v>
      </c>
      <c r="E4" s="1">
        <v>505.97300000000001</v>
      </c>
      <c r="F4" s="563">
        <f>L4</f>
        <v>1435.4820681768185</v>
      </c>
      <c r="H4" s="1" t="s">
        <v>792</v>
      </c>
      <c r="I4" s="557">
        <f>100*O4/L4</f>
        <v>21.358134751631244</v>
      </c>
      <c r="J4" s="557">
        <f>100*N4/L4</f>
        <v>23.787171837243616</v>
      </c>
      <c r="K4" s="557">
        <f>100*M4/L4</f>
        <v>54.801541782451935</v>
      </c>
      <c r="L4" s="560">
        <f>calibdata!A2</f>
        <v>1435.4820681768185</v>
      </c>
      <c r="M4" s="560">
        <f>calibdata!B2</f>
        <v>786.66630537152434</v>
      </c>
      <c r="N4" s="560">
        <f>calibdata!C2</f>
        <v>341.46058625003838</v>
      </c>
      <c r="O4" s="560">
        <f>calibdata!D2</f>
        <v>306.592194456708</v>
      </c>
      <c r="P4" t="s">
        <v>793</v>
      </c>
      <c r="Q4" t="s">
        <v>794</v>
      </c>
    </row>
    <row r="5" spans="2:17">
      <c r="B5" s="556" t="s">
        <v>795</v>
      </c>
      <c r="C5" s="1">
        <v>704.04219999999998</v>
      </c>
      <c r="D5" s="1">
        <v>627.08109999999999</v>
      </c>
      <c r="E5" s="1">
        <v>492.66770000000002</v>
      </c>
      <c r="F5" s="563">
        <f>L6</f>
        <v>2021.7625935792164</v>
      </c>
      <c r="H5" s="558" t="s">
        <v>796</v>
      </c>
      <c r="I5" s="557">
        <f>100*O5/L5</f>
        <v>35.246743856046287</v>
      </c>
      <c r="J5" s="557">
        <f>100*N5/L5</f>
        <v>37.352229196867746</v>
      </c>
      <c r="K5" s="557">
        <f>100*M5/L5</f>
        <v>27.36045619801089</v>
      </c>
      <c r="L5" s="562">
        <v>1435.5170000000001</v>
      </c>
      <c r="M5" s="562">
        <v>392.76400000000001</v>
      </c>
      <c r="N5" s="562">
        <v>536.19759999999997</v>
      </c>
      <c r="O5" s="562">
        <v>505.97300000000001</v>
      </c>
      <c r="P5" s="431">
        <v>1101524</v>
      </c>
      <c r="Q5" s="431">
        <v>1111227</v>
      </c>
    </row>
    <row r="6" spans="2:17">
      <c r="B6" s="556" t="s">
        <v>797</v>
      </c>
      <c r="C6" s="1">
        <v>953.04459999999995</v>
      </c>
      <c r="D6" s="1">
        <v>597.66539999999998</v>
      </c>
      <c r="E6" s="1">
        <v>452.67039999999997</v>
      </c>
      <c r="F6" s="1">
        <f>+SUM(C6:E6)</f>
        <v>2003.3804</v>
      </c>
      <c r="H6" s="559" t="s">
        <v>798</v>
      </c>
      <c r="I6" s="557">
        <f>100*O6/L6</f>
        <v>22.577811891939575</v>
      </c>
      <c r="J6" s="557">
        <f>100*N6/L6</f>
        <v>28.995053522460342</v>
      </c>
      <c r="K6" s="557">
        <f>100*M6/L6</f>
        <v>48.373982956926675</v>
      </c>
      <c r="L6" s="560">
        <f>calibdata!A9</f>
        <v>2021.7625935792164</v>
      </c>
      <c r="M6" s="560">
        <f>calibdata!B9</f>
        <v>978.00709244752886</v>
      </c>
      <c r="N6" s="560">
        <f>calibdata!C9</f>
        <v>586.2111461053762</v>
      </c>
      <c r="O6" s="560">
        <f>calibdata!D9</f>
        <v>456.4697552799143</v>
      </c>
      <c r="P6" s="431">
        <v>1190856</v>
      </c>
      <c r="Q6" s="431">
        <v>1201346</v>
      </c>
    </row>
    <row r="7" spans="2:17">
      <c r="B7" s="556" t="s">
        <v>799</v>
      </c>
      <c r="C7" s="1">
        <v>729.04100000000005</v>
      </c>
      <c r="D7" s="1">
        <v>489.08699999999999</v>
      </c>
      <c r="E7" s="1">
        <v>541.44500000000005</v>
      </c>
      <c r="F7" s="1">
        <v>1759.5740000000001</v>
      </c>
      <c r="H7" s="556" t="s">
        <v>800</v>
      </c>
      <c r="I7" s="355">
        <f>100*E7/F7</f>
        <v>30.771368524426936</v>
      </c>
      <c r="J7" s="355">
        <f>100*D7/F7</f>
        <v>27.795761928739566</v>
      </c>
      <c r="K7" s="355">
        <f>100*C7/F7</f>
        <v>41.432812714895768</v>
      </c>
    </row>
    <row r="8" spans="2:17">
      <c r="B8" s="556" t="s">
        <v>801</v>
      </c>
      <c r="C8" s="1">
        <f>+K7*F8</f>
        <v>84108.952450964105</v>
      </c>
      <c r="D8" s="1">
        <f>+J7*F8</f>
        <v>56425.626579828393</v>
      </c>
      <c r="E8" s="1">
        <f>+I7*F8</f>
        <v>62466.132576648306</v>
      </c>
      <c r="F8" s="1">
        <f>4662*0.435437209302326</f>
        <v>2030.0082697674438</v>
      </c>
    </row>
    <row r="13" spans="2:17">
      <c r="B13" s="431"/>
      <c r="C13" s="561">
        <v>392.76400000000001</v>
      </c>
      <c r="D13" s="561">
        <v>536.19759999999997</v>
      </c>
      <c r="E13" s="561">
        <v>505.97300000000001</v>
      </c>
      <c r="F13" s="561">
        <v>1435.5170000000001</v>
      </c>
      <c r="G13" s="431"/>
      <c r="H13" s="431"/>
    </row>
    <row r="14" spans="2:17">
      <c r="B14" s="431"/>
      <c r="C14" s="561">
        <v>704.04219999999998</v>
      </c>
      <c r="D14" s="561">
        <v>627.08109999999999</v>
      </c>
      <c r="E14" s="561">
        <v>492.66770000000002</v>
      </c>
      <c r="F14" s="561">
        <v>1824.5309999999999</v>
      </c>
      <c r="G14" s="431"/>
      <c r="H14" s="431"/>
    </row>
    <row r="15" spans="2:17">
      <c r="B15" s="431"/>
      <c r="C15" s="561">
        <v>953.04459999999995</v>
      </c>
      <c r="D15" s="561">
        <v>597.66539999999998</v>
      </c>
      <c r="E15" s="561">
        <v>452.67039999999997</v>
      </c>
      <c r="F15" s="561">
        <v>2003.3804</v>
      </c>
      <c r="G15" s="431"/>
      <c r="H15" s="431"/>
    </row>
    <row r="16" spans="2:17">
      <c r="B16" s="431"/>
      <c r="C16" s="561">
        <v>729.04100000000005</v>
      </c>
      <c r="D16" s="561">
        <v>489.08699999999999</v>
      </c>
      <c r="E16" s="561">
        <v>541.44500000000005</v>
      </c>
      <c r="F16" s="561">
        <v>1759.5740000000001</v>
      </c>
      <c r="G16" s="431"/>
      <c r="H16" s="431"/>
    </row>
    <row r="17" spans="2:8">
      <c r="B17" s="431"/>
      <c r="C17" s="561">
        <v>84108.952450964105</v>
      </c>
      <c r="D17" s="561">
        <v>56425.626579828393</v>
      </c>
      <c r="E17" s="561">
        <v>62466.132576648306</v>
      </c>
      <c r="F17" s="561">
        <v>2030.0082697674438</v>
      </c>
      <c r="G17" s="431"/>
      <c r="H17" s="431"/>
    </row>
    <row r="18" spans="2:8">
      <c r="B18" s="431"/>
      <c r="C18" s="431"/>
      <c r="D18" s="431"/>
      <c r="E18" s="431"/>
      <c r="F18" s="431"/>
      <c r="G18" s="431"/>
      <c r="H18" s="431"/>
    </row>
    <row r="19" spans="2:8">
      <c r="B19" s="431"/>
      <c r="C19" s="431"/>
      <c r="D19" s="431"/>
      <c r="E19" s="431"/>
      <c r="F19" s="431"/>
      <c r="G19" s="431"/>
      <c r="H19" s="431"/>
    </row>
    <row r="20" spans="2:8">
      <c r="B20" s="431"/>
      <c r="C20" s="431"/>
      <c r="D20" s="431"/>
      <c r="E20" s="431"/>
      <c r="F20" s="431"/>
      <c r="G20" s="431"/>
      <c r="H20" s="431"/>
    </row>
  </sheetData>
  <pageMargins left="0.7" right="0.7" top="0.75" bottom="0.75" header="0.3" footer="0.3"/>
  <pageSetup orientation="portrait" r:id="rId1"/>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65D77-C86A-42BD-B16A-1F89DEE5B6CF}">
  <sheetPr codeName="Hoja29">
    <tabColor rgb="FFB7EE8E"/>
  </sheetPr>
  <dimension ref="A2:AD84"/>
  <sheetViews>
    <sheetView topLeftCell="H33" zoomScale="110" zoomScaleNormal="110" workbookViewId="0">
      <selection activeCell="P56" sqref="P56"/>
    </sheetView>
  </sheetViews>
  <sheetFormatPr baseColWidth="10" defaultColWidth="11.5546875" defaultRowHeight="14.4"/>
  <cols>
    <col min="1" max="1" width="9" style="1" hidden="1" customWidth="1"/>
    <col min="2" max="6" width="11.5546875" style="1" hidden="1" customWidth="1"/>
    <col min="7" max="7" width="3.5546875" style="1" hidden="1" customWidth="1"/>
    <col min="8" max="8" width="23.44140625" style="1" customWidth="1"/>
    <col min="9" max="9" width="10.109375" style="1" customWidth="1"/>
    <col min="10" max="10" width="11.88671875" style="1" customWidth="1"/>
    <col min="11" max="11" width="2.33203125" style="1" customWidth="1"/>
    <col min="12" max="12" width="10.109375" style="1" customWidth="1"/>
    <col min="13" max="13" width="13.33203125" style="1" customWidth="1"/>
    <col min="14" max="14" width="14.109375" style="1" customWidth="1"/>
    <col min="15" max="18" width="11.5546875" style="295"/>
    <col min="19" max="19" width="17" style="295" customWidth="1"/>
    <col min="20" max="29" width="11.5546875" style="295"/>
    <col min="30" max="30" width="11.5546875" style="371"/>
    <col min="31" max="16384" width="11.5546875" style="1"/>
  </cols>
  <sheetData>
    <row r="2" spans="1:23">
      <c r="H2" s="339" t="s">
        <v>756</v>
      </c>
      <c r="I2" s="364" t="s">
        <v>447</v>
      </c>
    </row>
    <row r="3" spans="1:23">
      <c r="H3" s="339" t="s">
        <v>768</v>
      </c>
      <c r="I3" s="364" t="s">
        <v>810</v>
      </c>
    </row>
    <row r="4" spans="1:23">
      <c r="H4" s="339" t="s">
        <v>803</v>
      </c>
      <c r="I4" s="364" t="s">
        <v>771</v>
      </c>
    </row>
    <row r="6" spans="1:23">
      <c r="H6" s="296"/>
      <c r="I6" s="873" t="s">
        <v>804</v>
      </c>
      <c r="J6" s="873"/>
      <c r="K6" s="200"/>
      <c r="L6" s="873" t="s">
        <v>15</v>
      </c>
      <c r="M6" s="873"/>
      <c r="N6" s="874" t="str">
        <f>VLOOKUP($I$3,$A$9:$D$10,4,FALSE)</f>
        <v>Change due to the reform (Gini points)</v>
      </c>
    </row>
    <row r="7" spans="1:23" ht="43.2">
      <c r="H7" s="296"/>
      <c r="I7" s="372" t="str">
        <f>VLOOKUP($I$3,$A$9:$D$10,2,FALSE)</f>
        <v>Gini points</v>
      </c>
      <c r="J7" s="372" t="str">
        <f>VLOOKUP($I$3,$A$9:$D$10,3,FALSE)</f>
        <v>Change w.r.t. DI (Gini points)</v>
      </c>
      <c r="K7" s="372"/>
      <c r="L7" s="372" t="str">
        <f>I7</f>
        <v>Gini points</v>
      </c>
      <c r="M7" s="372" t="str">
        <f>J7</f>
        <v>Change w.r.t. DI (Gini points)</v>
      </c>
      <c r="N7" s="812"/>
    </row>
    <row r="8" spans="1:23">
      <c r="H8" s="365"/>
      <c r="I8" s="373" t="s">
        <v>805</v>
      </c>
      <c r="J8" s="373" t="s">
        <v>806</v>
      </c>
      <c r="K8" s="372"/>
      <c r="L8" s="373" t="s">
        <v>807</v>
      </c>
      <c r="M8" s="373" t="s">
        <v>808</v>
      </c>
      <c r="N8" s="365" t="s">
        <v>809</v>
      </c>
      <c r="S8" s="295" t="str">
        <f>INDEX($E$9:$E$10,MATCH($I$3,A9:A10,0))</f>
        <v>gini__yd_0</v>
      </c>
      <c r="T8" s="295">
        <v>1</v>
      </c>
      <c r="W8" s="295">
        <f>VLOOKUP(I2,labels!$F$2:$G$8,2,FALSE)</f>
        <v>4</v>
      </c>
    </row>
    <row r="9" spans="1:23" ht="14.4" customHeight="1">
      <c r="A9" s="1" t="s">
        <v>810</v>
      </c>
      <c r="B9" s="372" t="s">
        <v>811</v>
      </c>
      <c r="C9" s="296" t="s">
        <v>812</v>
      </c>
      <c r="D9" s="374" t="s">
        <v>813</v>
      </c>
      <c r="E9" s="1" t="s">
        <v>736</v>
      </c>
      <c r="F9" s="1" t="s">
        <v>814</v>
      </c>
      <c r="H9" s="375" t="s">
        <v>815</v>
      </c>
      <c r="I9" s="369">
        <f>100*INDEX(stats!$D:$D,MATCH(T9,stats!$A:$A,0))</f>
        <v>37.892769999999999</v>
      </c>
      <c r="J9" s="369"/>
      <c r="K9" s="296"/>
      <c r="L9" s="369">
        <f>100*INDEX(stats!$D:$D,MATCH(W9,stats!$A:$A,0))</f>
        <v>37.892769999999999</v>
      </c>
      <c r="M9" s="369"/>
      <c r="N9" s="369"/>
      <c r="S9" s="295" t="s">
        <v>816</v>
      </c>
      <c r="T9" s="295" t="str">
        <f>_xlfn.CONCAT(T$8,"_",$S9,"_",$S$8)</f>
        <v>1_yd_pc_gini__yd_0</v>
      </c>
      <c r="W9" s="295" t="str">
        <f>_xlfn.CONCAT(W$8,"_",$S9,"_",$S$8)</f>
        <v>4_yd_pc_gini__yd_0</v>
      </c>
    </row>
    <row r="10" spans="1:23">
      <c r="A10" s="1" t="s">
        <v>802</v>
      </c>
      <c r="B10" s="1" t="s">
        <v>817</v>
      </c>
      <c r="C10" s="1" t="s">
        <v>818</v>
      </c>
      <c r="D10" s="374" t="s">
        <v>819</v>
      </c>
      <c r="E10" s="1" t="s">
        <v>734</v>
      </c>
      <c r="F10" s="1" t="s">
        <v>820</v>
      </c>
      <c r="H10" s="375" t="s">
        <v>821</v>
      </c>
      <c r="I10" s="369">
        <f>100*INDEX(stats!$D:$D,MATCH(T10,stats!$A:$A,0))</f>
        <v>37.80979</v>
      </c>
      <c r="J10" s="369">
        <f>I10-$I$9</f>
        <v>-8.2979999999999166E-2</v>
      </c>
      <c r="K10" s="296"/>
      <c r="L10" s="369">
        <f>100*INDEX(stats!$D:$D,MATCH(W10,stats!$A:$A,0))</f>
        <v>37.798359999999995</v>
      </c>
      <c r="M10" s="369">
        <f>L10-$I$9</f>
        <v>-9.4410000000003436E-2</v>
      </c>
      <c r="N10" s="369">
        <f>M10-J10</f>
        <v>-1.143000000000427E-2</v>
      </c>
      <c r="R10" s="295">
        <v>2</v>
      </c>
      <c r="S10" s="295" t="str">
        <f>_xlfn.CONCAT("inc_",VLOOKUP($I$4,$A$14:$D$16,$R10,FALSE))</f>
        <v>inc_all_tax</v>
      </c>
      <c r="T10" s="295" t="str">
        <f>_xlfn.CONCAT(T$8,"_",$S10,"_",$S$8)</f>
        <v>1_inc_all_tax_gini__yd_0</v>
      </c>
      <c r="W10" s="295" t="str">
        <f>_xlfn.CONCAT(W$8,"_",$S10,"_",$S$8)</f>
        <v>4_inc_all_tax_gini__yd_0</v>
      </c>
    </row>
    <row r="11" spans="1:23">
      <c r="H11" s="375" t="s">
        <v>822</v>
      </c>
      <c r="I11" s="369">
        <f>100*INDEX(stats!$D:$D,MATCH(T11,stats!$A:$A,0))</f>
        <v>38.20984</v>
      </c>
      <c r="J11" s="369">
        <f>I11-$I$9</f>
        <v>0.31707000000000107</v>
      </c>
      <c r="K11" s="296"/>
      <c r="L11" s="369">
        <f>100*INDEX(stats!$D:$D,MATCH(W11,stats!$A:$A,0))</f>
        <v>38.113350000000004</v>
      </c>
      <c r="M11" s="369">
        <f>L11-$I$9</f>
        <v>0.22058000000000533</v>
      </c>
      <c r="N11" s="369">
        <f>M11-J11</f>
        <v>-9.6489999999995746E-2</v>
      </c>
      <c r="R11" s="295">
        <v>3</v>
      </c>
      <c r="S11" s="295" t="str">
        <f>_xlfn.CONCAT("inc_",VLOOKUP($I$4,$A$14:$D$16,$R11,FALSE))</f>
        <v>inc_all_subs</v>
      </c>
      <c r="T11" s="295" t="str">
        <f>_xlfn.CONCAT(T$8,"_",$S11,"_",$S$8)</f>
        <v>1_inc_all_subs_gini__yd_0</v>
      </c>
      <c r="W11" s="295" t="str">
        <f>_xlfn.CONCAT(W$8,"_",$S11,"_",$S$8)</f>
        <v>4_inc_all_subs_gini__yd_0</v>
      </c>
    </row>
    <row r="12" spans="1:23">
      <c r="H12" s="377" t="s">
        <v>823</v>
      </c>
      <c r="I12" s="378">
        <f>100*INDEX(stats!$D:$D,MATCH(T12,stats!$A:$A,0))</f>
        <v>38.126870000000004</v>
      </c>
      <c r="J12" s="378">
        <f>I12-$I$9</f>
        <v>0.23410000000000508</v>
      </c>
      <c r="K12" s="379"/>
      <c r="L12" s="378">
        <f>100*INDEX(stats!$D:$D,MATCH(W12,stats!$A:$A,0))</f>
        <v>38.01896</v>
      </c>
      <c r="M12" s="378">
        <f>L12-$I$9</f>
        <v>0.12619000000000113</v>
      </c>
      <c r="N12" s="378">
        <f>M12-J12</f>
        <v>-0.10791000000000395</v>
      </c>
      <c r="R12" s="295">
        <v>4</v>
      </c>
      <c r="S12" s="295" t="str">
        <f>_xlfn.CONCAT("inc_",VLOOKUP($I$4,$A$14:$D$16,$R12,FALSE))</f>
        <v>inc_all_policies</v>
      </c>
      <c r="T12" s="295" t="str">
        <f>_xlfn.CONCAT(T$8,"_",$S12,"_",$S$8)</f>
        <v>1_inc_all_policies_gini__yd_0</v>
      </c>
      <c r="W12" s="295" t="str">
        <f>_xlfn.CONCAT(W$8,"_",$S12,"_",$S$8)</f>
        <v>4_inc_all_policies_gini__yd_0</v>
      </c>
    </row>
    <row r="14" spans="1:23">
      <c r="A14" s="1" t="s">
        <v>418</v>
      </c>
      <c r="B14" s="1" t="s">
        <v>427</v>
      </c>
      <c r="C14" s="1" t="s">
        <v>442</v>
      </c>
      <c r="D14" s="1" t="s">
        <v>449</v>
      </c>
    </row>
    <row r="15" spans="1:23" ht="25.8">
      <c r="A15" s="1" t="s">
        <v>432</v>
      </c>
      <c r="B15" s="1" t="s">
        <v>429</v>
      </c>
      <c r="C15" s="1" t="s">
        <v>444</v>
      </c>
      <c r="D15" s="1" t="s">
        <v>450</v>
      </c>
      <c r="H15" s="376" t="s">
        <v>824</v>
      </c>
    </row>
    <row r="16" spans="1:23">
      <c r="A16" s="1" t="s">
        <v>771</v>
      </c>
      <c r="B16" s="1" t="s">
        <v>431</v>
      </c>
      <c r="C16" s="371" t="s">
        <v>445</v>
      </c>
      <c r="D16" s="1" t="s">
        <v>451</v>
      </c>
    </row>
    <row r="17" spans="3:23">
      <c r="C17" s="371"/>
    </row>
    <row r="18" spans="3:23">
      <c r="H18" s="296"/>
      <c r="I18" s="873" t="s">
        <v>804</v>
      </c>
      <c r="J18" s="873"/>
      <c r="K18" s="200"/>
      <c r="L18" s="873" t="s">
        <v>15</v>
      </c>
      <c r="M18" s="873"/>
      <c r="N18" s="874" t="str">
        <f>VLOOKUP($I$3,$A$9:$D$10,4,FALSE)</f>
        <v>Change due to the reform (Gini points)</v>
      </c>
    </row>
    <row r="19" spans="3:23" ht="43.2">
      <c r="H19" s="296"/>
      <c r="I19" s="372" t="str">
        <f>VLOOKUP($I$3,$A$9:$D$10,2,FALSE)</f>
        <v>Gini points</v>
      </c>
      <c r="J19" s="372" t="str">
        <f>VLOOKUP($I$3,$A$9:$D$10,3,FALSE)</f>
        <v>Change w.r.t. DI (Gini points)</v>
      </c>
      <c r="K19" s="372"/>
      <c r="L19" s="372" t="str">
        <f>I19</f>
        <v>Gini points</v>
      </c>
      <c r="M19" s="372" t="str">
        <f>J19</f>
        <v>Change w.r.t. DI (Gini points)</v>
      </c>
      <c r="N19" s="812"/>
    </row>
    <row r="20" spans="3:23">
      <c r="H20" s="365"/>
      <c r="I20" s="373" t="s">
        <v>805</v>
      </c>
      <c r="J20" s="373" t="s">
        <v>806</v>
      </c>
      <c r="K20" s="372"/>
      <c r="L20" s="373" t="s">
        <v>807</v>
      </c>
      <c r="M20" s="373" t="s">
        <v>808</v>
      </c>
      <c r="N20" s="365" t="s">
        <v>809</v>
      </c>
      <c r="S20" s="295" t="str">
        <f>INDEX($E$9:$E$10,MATCH($I$3,A9:A10,0))</f>
        <v>gini__yd_0</v>
      </c>
      <c r="T20" s="295">
        <v>1</v>
      </c>
      <c r="W20" s="295">
        <f>VLOOKUP(I2,labels!$F$2:$G$8,2,FALSE)</f>
        <v>4</v>
      </c>
    </row>
    <row r="21" spans="3:23">
      <c r="H21" s="375" t="s">
        <v>815</v>
      </c>
      <c r="I21" s="369">
        <f>100*INDEX(stats!$D:$D,MATCH(T21,stats!$A:$A,0))</f>
        <v>37.892769999999999</v>
      </c>
      <c r="J21" s="369"/>
      <c r="K21" s="296"/>
      <c r="L21" s="369">
        <f>100*INDEX(stats!$D:$D,MATCH(W21,stats!$A:$A,0))</f>
        <v>37.892769999999999</v>
      </c>
      <c r="M21" s="369"/>
      <c r="N21" s="369"/>
      <c r="S21" s="295" t="s">
        <v>816</v>
      </c>
      <c r="T21" s="295" t="str">
        <f>_xlfn.CONCAT(T$20,"_",$S21,"_",$S$20)</f>
        <v>1_yd_pc_gini__yd_0</v>
      </c>
      <c r="W21" s="295" t="str">
        <f>_xlfn.CONCAT(W$20,"_",$S21,"_",$S$20)</f>
        <v>4_yd_pc_gini__yd_0</v>
      </c>
    </row>
    <row r="22" spans="3:23">
      <c r="H22" s="375" t="s">
        <v>412</v>
      </c>
      <c r="I22" s="369">
        <f>100*INDEX(stats!$D:$D,MATCH(T22,stats!$A:$A,0))</f>
        <v>38.079729999999998</v>
      </c>
      <c r="J22" s="369">
        <f>I22-$I$9</f>
        <v>0.18695999999999913</v>
      </c>
      <c r="K22" s="296"/>
      <c r="L22" s="369">
        <f>100*INDEX(stats!$D:$D,MATCH(W22,stats!$A:$A,0))</f>
        <v>38.00938</v>
      </c>
      <c r="M22" s="369">
        <f>L22-$I$9</f>
        <v>0.11661000000000143</v>
      </c>
      <c r="N22" s="369">
        <f>M22-J22</f>
        <v>-7.0349999999997692E-2</v>
      </c>
      <c r="R22" s="295">
        <v>2</v>
      </c>
      <c r="S22" s="295" t="s">
        <v>825</v>
      </c>
      <c r="T22" s="295" t="str">
        <f>_xlfn.CONCAT(T$20,"_",$S22,"_",$S$20)</f>
        <v>1_inc_subsidy_elec_gini__yd_0</v>
      </c>
      <c r="W22" s="295" t="str">
        <f>_xlfn.CONCAT(W$20,"_",$S22,"_",$S$20)</f>
        <v>4_inc_subsidy_elec_gini__yd_0</v>
      </c>
    </row>
    <row r="23" spans="3:23">
      <c r="H23" s="375" t="s">
        <v>415</v>
      </c>
      <c r="I23" s="369">
        <f>100*INDEX(stats!$D:$D,MATCH(T23,stats!$A:$A,0))</f>
        <v>38.026579999999996</v>
      </c>
      <c r="J23" s="369">
        <f>I23-$I$9</f>
        <v>0.13380999999999688</v>
      </c>
      <c r="K23" s="296"/>
      <c r="L23" s="369">
        <f>100*INDEX(stats!$D:$D,MATCH(W23,stats!$A:$A,0))</f>
        <v>37.998370000000001</v>
      </c>
      <c r="M23" s="369">
        <f>L23-$I$9</f>
        <v>0.10560000000000258</v>
      </c>
      <c r="N23" s="369">
        <f>M23-J23</f>
        <v>-2.8209999999994295E-2</v>
      </c>
      <c r="R23" s="295">
        <v>3</v>
      </c>
      <c r="S23" s="295" t="s">
        <v>826</v>
      </c>
      <c r="T23" s="295" t="str">
        <f>_xlfn.CONCAT(T$20,"_",$S23,"_",$S$20)</f>
        <v>1_inc_subsidy_fuel_gini__yd_0</v>
      </c>
      <c r="W23" s="295" t="str">
        <f>_xlfn.CONCAT(W$20,"_",$S23,"_",$S$20)</f>
        <v>4_inc_subsidy_fuel_gini__yd_0</v>
      </c>
    </row>
    <row r="24" spans="3:23">
      <c r="H24" s="377" t="s">
        <v>827</v>
      </c>
      <c r="I24" s="378">
        <f>100*INDEX(stats!$D:$D,MATCH(T24,stats!$A:$A,0))</f>
        <v>38.20984</v>
      </c>
      <c r="J24" s="378">
        <f>I24-$I$9</f>
        <v>0.31707000000000107</v>
      </c>
      <c r="K24" s="379"/>
      <c r="L24" s="378">
        <f>100*INDEX(stats!$D:$D,MATCH(W24,stats!$A:$A,0))</f>
        <v>38.113350000000004</v>
      </c>
      <c r="M24" s="378">
        <f>L24-$I$9</f>
        <v>0.22058000000000533</v>
      </c>
      <c r="N24" s="378">
        <f>M24-J24</f>
        <v>-9.6489999999995746E-2</v>
      </c>
      <c r="R24" s="295">
        <v>4</v>
      </c>
      <c r="S24" s="295" t="s">
        <v>828</v>
      </c>
      <c r="T24" s="295" t="str">
        <f>_xlfn.CONCAT(T$20,"_",$S24,"_",$S$20)</f>
        <v>1_inc_all_subs_gini__yd_0</v>
      </c>
      <c r="W24" s="295" t="str">
        <f>_xlfn.CONCAT(W$20,"_",$S24,"_",$S$20)</f>
        <v>4_inc_all_subs_gini__yd_0</v>
      </c>
    </row>
    <row r="25" spans="3:23">
      <c r="I25" s="187"/>
      <c r="L25" s="187"/>
    </row>
    <row r="27" spans="3:23">
      <c r="H27" s="296"/>
      <c r="I27" s="873" t="s">
        <v>804</v>
      </c>
      <c r="J27" s="873"/>
      <c r="K27" s="200"/>
      <c r="L27" s="873" t="s">
        <v>15</v>
      </c>
      <c r="M27" s="873"/>
      <c r="N27" s="874" t="str">
        <f>VLOOKUP($I$3,$A$9:$D$10,4,FALSE)</f>
        <v>Change due to the reform (Gini points)</v>
      </c>
    </row>
    <row r="28" spans="3:23" ht="43.2">
      <c r="H28" s="296"/>
      <c r="I28" s="372" t="str">
        <f>VLOOKUP($I$3,$A$9:$D$10,2,FALSE)</f>
        <v>Gini points</v>
      </c>
      <c r="J28" s="372" t="str">
        <f>VLOOKUP($I$3,$A$9:$D$10,3,FALSE)</f>
        <v>Change w.r.t. DI (Gini points)</v>
      </c>
      <c r="K28" s="372"/>
      <c r="L28" s="372" t="str">
        <f>I28</f>
        <v>Gini points</v>
      </c>
      <c r="M28" s="372" t="str">
        <f>J28</f>
        <v>Change w.r.t. DI (Gini points)</v>
      </c>
      <c r="N28" s="812"/>
    </row>
    <row r="29" spans="3:23">
      <c r="H29" s="365"/>
      <c r="I29" s="373" t="s">
        <v>805</v>
      </c>
      <c r="J29" s="373" t="s">
        <v>806</v>
      </c>
      <c r="K29" s="372"/>
      <c r="L29" s="373" t="s">
        <v>807</v>
      </c>
      <c r="M29" s="373" t="s">
        <v>808</v>
      </c>
      <c r="N29" s="365" t="s">
        <v>809</v>
      </c>
      <c r="S29" s="295" t="str">
        <f>INDEX($E$9:$E$10,MATCH($I$3,A$9:A$10,0))</f>
        <v>gini__yd_0</v>
      </c>
      <c r="T29" s="295">
        <v>1</v>
      </c>
      <c r="W29" s="295">
        <f>VLOOKUP(I2,labels!$F$2:$G$8,2,FALSE)</f>
        <v>4</v>
      </c>
    </row>
    <row r="30" spans="3:23">
      <c r="H30" s="375" t="s">
        <v>815</v>
      </c>
      <c r="I30" s="369">
        <f>100*INDEX(stats!$D:$D,MATCH(T30,stats!$A:$A,0))</f>
        <v>37.892769999999999</v>
      </c>
      <c r="J30" s="369"/>
      <c r="K30" s="296"/>
      <c r="L30" s="369">
        <f>100*INDEX(stats!$D:$D,MATCH(W30,stats!$A:$A,0))</f>
        <v>37.892769999999999</v>
      </c>
      <c r="M30" s="369"/>
      <c r="N30" s="369"/>
      <c r="S30" s="295" t="s">
        <v>816</v>
      </c>
      <c r="T30" s="295" t="str">
        <f>_xlfn.CONCAT(T$8,"_",$S30,"_",$S$8)</f>
        <v>1_yd_pc_gini__yd_0</v>
      </c>
      <c r="W30" s="295" t="str">
        <f>_xlfn.CONCAT(W$29,"_",$S30,"_",$S$29)</f>
        <v>4_yd_pc_gini__yd_0</v>
      </c>
    </row>
    <row r="31" spans="3:23">
      <c r="H31" s="375" t="s">
        <v>406</v>
      </c>
      <c r="I31" s="369">
        <f>100*INDEX(stats!$D:$D,MATCH(T31,stats!$A:$A,0))</f>
        <v>37.870510000000003</v>
      </c>
      <c r="J31" s="369">
        <f>I31-$I$9</f>
        <v>-2.2259999999995728E-2</v>
      </c>
      <c r="K31" s="296"/>
      <c r="L31" s="369">
        <f>100*INDEX(stats!$D:$D,MATCH(W31,stats!$A:$A,0))</f>
        <v>37.863370000000003</v>
      </c>
      <c r="M31" s="369">
        <f>L31-$I$9</f>
        <v>-2.939999999999543E-2</v>
      </c>
      <c r="N31" s="369">
        <f>M31-J31</f>
        <v>-7.1399999999997021E-3</v>
      </c>
      <c r="R31" s="295">
        <v>2</v>
      </c>
      <c r="S31" s="295" t="s">
        <v>829</v>
      </c>
      <c r="T31" s="295" t="str">
        <f>_xlfn.CONCAT(T$29,"_",$S31,"_",$S$29)</f>
        <v>1_inc_vat_elec_gini__yd_0</v>
      </c>
      <c r="W31" s="295" t="str">
        <f>_xlfn.CONCAT(W$29,"_",$S31,"_",$S$29)</f>
        <v>4_inc_vat_elec_gini__yd_0</v>
      </c>
    </row>
    <row r="32" spans="3:23">
      <c r="H32" s="375" t="s">
        <v>414</v>
      </c>
      <c r="I32" s="369">
        <f>100*INDEX(stats!$D:$D,MATCH(T32,stats!$A:$A,0))</f>
        <v>37.832149999999999</v>
      </c>
      <c r="J32" s="369">
        <f>I32-$I$9</f>
        <v>-6.0620000000000118E-2</v>
      </c>
      <c r="K32" s="296"/>
      <c r="L32" s="369">
        <f>100*INDEX(stats!$D:$D,MATCH(W32,stats!$A:$A,0))</f>
        <v>37.8279</v>
      </c>
      <c r="M32" s="369">
        <f>L32-$I$9</f>
        <v>-6.4869999999999095E-2</v>
      </c>
      <c r="N32" s="369">
        <f>M32-J32</f>
        <v>-4.2499999999989768E-3</v>
      </c>
      <c r="R32" s="295">
        <v>3</v>
      </c>
      <c r="S32" s="295" t="s">
        <v>830</v>
      </c>
      <c r="T32" s="295" t="str">
        <f>_xlfn.CONCAT(T$29,"_",$S32,"_",$S$29)</f>
        <v>1_inc_vat_fuel_gini__yd_0</v>
      </c>
      <c r="W32" s="295" t="str">
        <f>_xlfn.CONCAT(W$29,"_",$S32,"_",$S$29)</f>
        <v>4_inc_vat_fuel_gini__yd_0</v>
      </c>
    </row>
    <row r="33" spans="8:23">
      <c r="H33" s="377" t="s">
        <v>831</v>
      </c>
      <c r="I33" s="378">
        <f>100*INDEX(stats!$D:$D,MATCH(T33,stats!$A:$A,0))</f>
        <v>37.80979</v>
      </c>
      <c r="J33" s="378">
        <f>I33-$I$9</f>
        <v>-8.2979999999999166E-2</v>
      </c>
      <c r="K33" s="379"/>
      <c r="L33" s="378">
        <f>100*INDEX(stats!$D:$D,MATCH(W33,stats!$A:$A,0))</f>
        <v>37.798359999999995</v>
      </c>
      <c r="M33" s="378">
        <f>L33-$I$9</f>
        <v>-9.4410000000003436E-2</v>
      </c>
      <c r="N33" s="378">
        <f>M33-J33</f>
        <v>-1.143000000000427E-2</v>
      </c>
      <c r="R33" s="295">
        <v>4</v>
      </c>
      <c r="S33" s="295" t="s">
        <v>832</v>
      </c>
      <c r="T33" s="295" t="str">
        <f>_xlfn.CONCAT(T$29,"_",$S33,"_",$S$29)</f>
        <v>1_inc_all_tax_gini__yd_0</v>
      </c>
      <c r="W33" s="295" t="str">
        <f>_xlfn.CONCAT(W$29,"_",$S33,"_",$S$29)</f>
        <v>4_inc_all_tax_gini__yd_0</v>
      </c>
    </row>
    <row r="36" spans="8:23">
      <c r="I36" s="1" t="s">
        <v>14</v>
      </c>
      <c r="L36" s="1" t="s">
        <v>15</v>
      </c>
      <c r="N36" s="1" t="s">
        <v>833</v>
      </c>
    </row>
    <row r="37" spans="8:23">
      <c r="H37" s="296"/>
      <c r="I37" s="873" t="s">
        <v>804</v>
      </c>
      <c r="J37" s="873"/>
      <c r="K37" s="200"/>
      <c r="L37" s="873" t="s">
        <v>15</v>
      </c>
      <c r="M37" s="873"/>
      <c r="N37" s="874" t="str">
        <f>VLOOKUP($I$3,$A$9:$D$10,4,FALSE)</f>
        <v>Change due to the reform (Gini points)</v>
      </c>
      <c r="O37" s="295" t="s">
        <v>834</v>
      </c>
    </row>
    <row r="38" spans="8:23" ht="60">
      <c r="H38" s="372" t="str">
        <f>+P38</f>
        <v>Effect of subsidies and VAT on Inequality (gini points)</v>
      </c>
      <c r="I38" s="372" t="str">
        <f>VLOOKUP($I$3,$A$9:$D$10,2,FALSE)</f>
        <v>Gini points</v>
      </c>
      <c r="J38" s="372" t="str">
        <f>VLOOKUP($I$3,$A$9:$D$10,3,FALSE)</f>
        <v>Change w.r.t. DI (Gini points)</v>
      </c>
      <c r="K38" s="372"/>
      <c r="L38" s="372" t="str">
        <f>I38</f>
        <v>Gini points</v>
      </c>
      <c r="M38" s="372" t="str">
        <f>J38</f>
        <v>Change w.r.t. DI (Gini points)</v>
      </c>
      <c r="N38" s="812"/>
      <c r="O38" s="372" t="str">
        <f>VLOOKUP($I$3,$A$9:$F$10,6,FALSE)</f>
        <v>Inequality (gini points)</v>
      </c>
      <c r="P38" s="735" t="str">
        <f>+_xlfn.CONCAT(O37," on ",O38)</f>
        <v>Effect of subsidies and VAT on Inequality (gini points)</v>
      </c>
    </row>
    <row r="39" spans="8:23">
      <c r="H39" s="365"/>
      <c r="I39" s="373" t="s">
        <v>805</v>
      </c>
      <c r="J39" s="373" t="s">
        <v>806</v>
      </c>
      <c r="K39" s="372"/>
      <c r="L39" s="373" t="s">
        <v>807</v>
      </c>
      <c r="M39" s="373" t="s">
        <v>808</v>
      </c>
      <c r="N39" s="365" t="s">
        <v>809</v>
      </c>
      <c r="P39" s="655"/>
      <c r="S39" s="295" t="str">
        <f>INDEX($E$9:$E$10,MATCH($I$3,A$9:A$10,0))</f>
        <v>gini__yd_0</v>
      </c>
      <c r="T39" s="295">
        <v>1</v>
      </c>
      <c r="W39" s="295">
        <f>VLOOKUP(I2,labels!$F$2:$G$8,2,FALSE)</f>
        <v>4</v>
      </c>
    </row>
    <row r="40" spans="8:23">
      <c r="H40" s="375" t="s">
        <v>815</v>
      </c>
      <c r="I40" s="369">
        <f>100*INDEX(stats!$D:$D,MATCH(T40,stats!$A:$A,0))</f>
        <v>37.892769999999999</v>
      </c>
      <c r="J40" s="369"/>
      <c r="K40" s="296"/>
      <c r="L40" s="369">
        <f>100*INDEX(stats!$D:$D,MATCH(W40,stats!$A:$A,0))</f>
        <v>37.892769999999999</v>
      </c>
      <c r="M40" s="369"/>
      <c r="N40" s="369"/>
      <c r="S40" s="295" t="s">
        <v>816</v>
      </c>
      <c r="T40" s="295" t="str">
        <f>_xlfn.CONCAT(T$8,"_",$S40,"_",$S$8)</f>
        <v>1_yd_pc_gini__yd_0</v>
      </c>
      <c r="W40" s="295" t="str">
        <f>_xlfn.CONCAT(W$29,"_",$S40,"_",$S$29)</f>
        <v>4_yd_pc_gini__yd_0</v>
      </c>
    </row>
    <row r="41" spans="8:23">
      <c r="H41" s="653" t="s">
        <v>1098</v>
      </c>
      <c r="I41" s="369">
        <f>100*INDEX(stats!$D:$D,MATCH(T41,stats!$A:$A,0))</f>
        <v>38.057470000000002</v>
      </c>
      <c r="J41" s="369">
        <f t="shared" ref="J41:J48" si="0">I41-$I$40</f>
        <v>0.1647000000000034</v>
      </c>
      <c r="K41" s="296"/>
      <c r="L41" s="369">
        <f>100*INDEX(stats!$D:$D,MATCH(W41,stats!$A:$A,0))</f>
        <v>37.980089999999997</v>
      </c>
      <c r="M41" s="369">
        <f t="shared" ref="M41:M48" si="1">L41-$I$40</f>
        <v>8.7319999999998288E-2</v>
      </c>
      <c r="N41" s="369">
        <f t="shared" ref="N41:N48" si="2">M41-J41</f>
        <v>-7.7380000000005111E-2</v>
      </c>
      <c r="S41" s="295" t="s">
        <v>835</v>
      </c>
      <c r="T41" s="295" t="str">
        <f>_xlfn.CONCAT(T$29,"_",$S41,"_",$S$29)</f>
        <v>1_inc_all_elec_gini__yd_0</v>
      </c>
      <c r="W41" s="295" t="str">
        <f>_xlfn.CONCAT(W$29,"_",$S41,"_",$S$29)</f>
        <v>4_inc_all_elec_gini__yd_0</v>
      </c>
    </row>
    <row r="42" spans="8:23">
      <c r="H42" s="653" t="s">
        <v>432</v>
      </c>
      <c r="I42" s="369">
        <f>100*INDEX(stats!$D:$D,MATCH(T42,stats!$A:$A,0))</f>
        <v>37.964269999999999</v>
      </c>
      <c r="J42" s="369">
        <f t="shared" si="0"/>
        <v>7.1500000000000341E-2</v>
      </c>
      <c r="K42" s="296"/>
      <c r="L42" s="369">
        <f>100*INDEX(stats!$D:$D,MATCH(W42,stats!$A:$A,0))</f>
        <v>37.932159999999996</v>
      </c>
      <c r="M42" s="369">
        <f t="shared" si="1"/>
        <v>3.9389999999997372E-2</v>
      </c>
      <c r="N42" s="369">
        <f t="shared" si="2"/>
        <v>-3.211000000000297E-2</v>
      </c>
      <c r="S42" s="295" t="s">
        <v>836</v>
      </c>
      <c r="T42" s="295" t="str">
        <f>_xlfn.CONCAT(T$29,"_",$S42,"_",$S$29)</f>
        <v>1_inc_all_fuel_gini__yd_0</v>
      </c>
      <c r="W42" s="295" t="str">
        <f>_xlfn.CONCAT(W$29,"_",$S42,"_",$S$29)</f>
        <v>4_inc_all_fuel_gini__yd_0</v>
      </c>
    </row>
    <row r="43" spans="8:23">
      <c r="H43" s="654" t="s">
        <v>837</v>
      </c>
      <c r="I43" s="378">
        <f>100*INDEX(stats!$D:$D,MATCH(T43,stats!$A:$A,0))</f>
        <v>38.126870000000004</v>
      </c>
      <c r="J43" s="378">
        <f t="shared" si="0"/>
        <v>0.23410000000000508</v>
      </c>
      <c r="K43" s="379"/>
      <c r="L43" s="378">
        <f>100*INDEX(stats!$D:$D,MATCH(W43,stats!$A:$A,0))</f>
        <v>38.01896</v>
      </c>
      <c r="M43" s="378">
        <f t="shared" si="1"/>
        <v>0.12619000000000113</v>
      </c>
      <c r="N43" s="378">
        <f t="shared" si="2"/>
        <v>-0.10791000000000395</v>
      </c>
      <c r="S43" s="295" t="s">
        <v>838</v>
      </c>
      <c r="T43" s="295" t="str">
        <f>_xlfn.CONCAT(T$29,"_",$S43,"_",$S$29)</f>
        <v>1_inc_all_policies_gini__yd_0</v>
      </c>
      <c r="W43" s="295" t="str">
        <f>_xlfn.CONCAT(W$29,"_",$S43,"_",$S$29)</f>
        <v>4_inc_all_policies_gini__yd_0</v>
      </c>
    </row>
    <row r="44" spans="8:23">
      <c r="H44" s="1" t="s">
        <v>1092</v>
      </c>
      <c r="I44" s="369">
        <f>100*INDEX(stats!$D:$D,MATCH(T44,stats!$A:$A,0))</f>
        <v>37.892769999999999</v>
      </c>
      <c r="J44" s="369">
        <f t="shared" si="0"/>
        <v>0</v>
      </c>
      <c r="K44" s="296"/>
      <c r="L44" s="369">
        <f>100*INDEX(stats!$D:$D,MATCH(W44,stats!$A:$A,0))</f>
        <v>37.729320000000001</v>
      </c>
      <c r="M44" s="369">
        <f t="shared" si="1"/>
        <v>-0.16344999999999743</v>
      </c>
      <c r="N44" s="369">
        <f t="shared" si="2"/>
        <v>-0.16344999999999743</v>
      </c>
      <c r="S44" s="295" t="s">
        <v>1081</v>
      </c>
      <c r="T44" s="295" t="str">
        <f>_xlfn.CONCAT(T$29,"_",$S44,"_",$S$29)</f>
        <v>1_inc_am_new_pnbsf_gini__yd_0</v>
      </c>
      <c r="W44" s="295" t="str">
        <f>_xlfn.CONCAT(W$29,"_",$S44,"_",$S$29)</f>
        <v>4_inc_am_new_pnbsf_gini__yd_0</v>
      </c>
    </row>
    <row r="45" spans="8:23">
      <c r="H45" s="1" t="s">
        <v>1093</v>
      </c>
      <c r="I45" s="369">
        <f>100*INDEX(stats!$D:$D,MATCH(T45,stats!$A:$A,0))</f>
        <v>37.892769999999999</v>
      </c>
      <c r="J45" s="369">
        <f t="shared" si="0"/>
        <v>0</v>
      </c>
      <c r="K45" s="296"/>
      <c r="L45" s="369">
        <f>100*INDEX(stats!$D:$D,MATCH(W45,stats!$A:$A,0))</f>
        <v>37.895769999999999</v>
      </c>
      <c r="M45" s="369">
        <f t="shared" si="1"/>
        <v>3.0000000000001137E-3</v>
      </c>
      <c r="N45" s="369">
        <f t="shared" si="2"/>
        <v>3.0000000000001137E-3</v>
      </c>
      <c r="S45" s="295" t="s">
        <v>1083</v>
      </c>
      <c r="T45" s="295" t="str">
        <f t="shared" ref="T45:T48" si="3">_xlfn.CONCAT(T$29,"_",$S45,"_",$S$29)</f>
        <v>1_inc_subs_public_transport_gini__yd_0</v>
      </c>
      <c r="W45" s="295" t="str">
        <f t="shared" ref="W45:W48" si="4">_xlfn.CONCAT(W$29,"_",$S45,"_",$S$29)</f>
        <v>4_inc_subs_public_transport_gini__yd_0</v>
      </c>
    </row>
    <row r="46" spans="8:23">
      <c r="H46" s="577" t="s">
        <v>1094</v>
      </c>
      <c r="I46" s="369">
        <f>100*INDEX(stats!$D:$D,MATCH(T46,stats!$A:$A,0))</f>
        <v>37.892769999999999</v>
      </c>
      <c r="J46" s="369">
        <f t="shared" si="0"/>
        <v>0</v>
      </c>
      <c r="K46" s="296"/>
      <c r="L46" s="369">
        <f>100*INDEX(stats!$D:$D,MATCH(W46,stats!$A:$A,0))</f>
        <v>37.892769999999999</v>
      </c>
      <c r="M46" s="369">
        <f t="shared" si="1"/>
        <v>0</v>
      </c>
      <c r="N46" s="369">
        <f t="shared" si="2"/>
        <v>0</v>
      </c>
      <c r="S46" s="295" t="s">
        <v>1082</v>
      </c>
      <c r="T46" s="295" t="str">
        <f t="shared" si="3"/>
        <v>1_inc_am_delayed_pnbsf_gini__yd_0</v>
      </c>
      <c r="W46" s="295" t="str">
        <f t="shared" si="4"/>
        <v>4_inc_am_delayed_pnbsf_gini__yd_0</v>
      </c>
    </row>
    <row r="47" spans="8:23">
      <c r="H47" s="770" t="s">
        <v>1096</v>
      </c>
      <c r="I47" s="378">
        <f>100*INDEX(stats!$D:$D,MATCH(T47,stats!$A:$A,0))</f>
        <v>37.892769999999999</v>
      </c>
      <c r="J47" s="378">
        <f t="shared" si="0"/>
        <v>0</v>
      </c>
      <c r="K47" s="379"/>
      <c r="L47" s="378">
        <f>100*INDEX(stats!$D:$D,MATCH(W47,stats!$A:$A,0))</f>
        <v>37.732349999999997</v>
      </c>
      <c r="M47" s="378">
        <f t="shared" si="1"/>
        <v>-0.16042000000000201</v>
      </c>
      <c r="N47" s="378">
        <f t="shared" si="2"/>
        <v>-0.16042000000000201</v>
      </c>
      <c r="S47" s="295" t="s">
        <v>1097</v>
      </c>
      <c r="T47" s="295" t="str">
        <f t="shared" si="3"/>
        <v>1_inc_all_miti_noST_gini__yd_0</v>
      </c>
      <c r="W47" s="295" t="str">
        <f t="shared" si="4"/>
        <v>4_inc_all_miti_noST_gini__yd_0</v>
      </c>
    </row>
    <row r="48" spans="8:23">
      <c r="H48" s="770" t="s">
        <v>1095</v>
      </c>
      <c r="I48" s="378">
        <f>100*INDEX(stats!$D:$D,MATCH(T48,stats!$A:$A,0))</f>
        <v>38.126870000000004</v>
      </c>
      <c r="J48" s="378">
        <f t="shared" si="0"/>
        <v>0.23410000000000508</v>
      </c>
      <c r="K48" s="379"/>
      <c r="L48" s="378">
        <f>100*INDEX(stats!$D:$D,MATCH(W48,stats!$A:$A,0))</f>
        <v>37.85951</v>
      </c>
      <c r="M48" s="378">
        <f t="shared" si="1"/>
        <v>-3.3259999999998513E-2</v>
      </c>
      <c r="N48" s="378">
        <f t="shared" si="2"/>
        <v>-0.26736000000000359</v>
      </c>
      <c r="S48" s="295" t="s">
        <v>1084</v>
      </c>
      <c r="T48" s="295" t="str">
        <f t="shared" si="3"/>
        <v>1_inc_all_policies_miti_gini__yd_0</v>
      </c>
      <c r="W48" s="295" t="str">
        <f t="shared" si="4"/>
        <v>4_inc_all_policies_miti_gini__yd_0</v>
      </c>
    </row>
    <row r="50" spans="9:17">
      <c r="I50" s="355"/>
      <c r="J50" s="355"/>
      <c r="K50" s="369"/>
    </row>
    <row r="51" spans="9:17">
      <c r="I51" s="355"/>
      <c r="J51" s="355"/>
      <c r="K51" s="369"/>
      <c r="Q51" s="1"/>
    </row>
    <row r="52" spans="9:17">
      <c r="I52" s="355"/>
      <c r="J52" s="355"/>
      <c r="K52" s="378"/>
      <c r="Q52" s="1"/>
    </row>
    <row r="53" spans="9:17">
      <c r="Q53" s="1"/>
    </row>
    <row r="54" spans="9:17">
      <c r="Q54" s="1"/>
    </row>
    <row r="66" spans="8:14">
      <c r="I66" s="1" t="s">
        <v>804</v>
      </c>
      <c r="L66" s="1" t="s">
        <v>15</v>
      </c>
      <c r="N66" s="1" t="s">
        <v>819</v>
      </c>
    </row>
    <row r="67" spans="8:14">
      <c r="H67" s="1" t="s">
        <v>839</v>
      </c>
      <c r="I67" s="1" t="s">
        <v>817</v>
      </c>
      <c r="J67" s="1" t="s">
        <v>818</v>
      </c>
      <c r="L67" s="1" t="s">
        <v>817</v>
      </c>
      <c r="M67" s="1" t="s">
        <v>818</v>
      </c>
    </row>
    <row r="68" spans="8:14">
      <c r="I68" s="1" t="s">
        <v>805</v>
      </c>
      <c r="J68" s="1" t="s">
        <v>806</v>
      </c>
      <c r="L68" s="1" t="s">
        <v>807</v>
      </c>
      <c r="M68" s="1" t="s">
        <v>808</v>
      </c>
      <c r="N68" s="1" t="s">
        <v>809</v>
      </c>
    </row>
    <row r="69" spans="8:14">
      <c r="H69" s="1" t="s">
        <v>815</v>
      </c>
      <c r="I69" s="1">
        <v>38.494498958556925</v>
      </c>
      <c r="L69" s="1">
        <v>38.494498958556925</v>
      </c>
    </row>
    <row r="70" spans="8:14">
      <c r="H70" s="1" t="s">
        <v>418</v>
      </c>
      <c r="I70" s="355">
        <v>37.867939232945957</v>
      </c>
      <c r="J70" s="355">
        <v>-0.62655972561096718</v>
      </c>
      <c r="K70" s="355"/>
      <c r="L70" s="355">
        <v>37.867939232945957</v>
      </c>
      <c r="M70" s="355">
        <v>-0.62655972561096718</v>
      </c>
      <c r="N70" s="355">
        <f>+M70-J70</f>
        <v>0</v>
      </c>
    </row>
    <row r="71" spans="8:14">
      <c r="H71" s="1" t="s">
        <v>432</v>
      </c>
      <c r="I71" s="355">
        <v>38.086871196846353</v>
      </c>
      <c r="J71" s="355">
        <v>-0.40762776171057169</v>
      </c>
      <c r="K71" s="355"/>
      <c r="L71" s="355">
        <v>38.131595932864158</v>
      </c>
      <c r="M71" s="355">
        <v>-0.36290302569276633</v>
      </c>
      <c r="N71" s="355">
        <f>+M71-J71</f>
        <v>4.4724736017805355E-2</v>
      </c>
    </row>
    <row r="72" spans="8:14">
      <c r="H72" s="1" t="s">
        <v>837</v>
      </c>
      <c r="I72" s="355">
        <v>37.457179486518228</v>
      </c>
      <c r="J72" s="355">
        <v>-1.0373194720386962</v>
      </c>
      <c r="K72" s="355"/>
      <c r="L72" s="355">
        <v>37.468855524439</v>
      </c>
      <c r="M72" s="355">
        <v>-1.0256434341179244</v>
      </c>
      <c r="N72" s="355">
        <f>+M72-J72</f>
        <v>1.1676037920771876E-2</v>
      </c>
    </row>
    <row r="84" spans="8:8">
      <c r="H84" s="1" t="s">
        <v>859</v>
      </c>
    </row>
  </sheetData>
  <mergeCells count="12">
    <mergeCell ref="I37:J37"/>
    <mergeCell ref="L37:M37"/>
    <mergeCell ref="N37:N38"/>
    <mergeCell ref="I27:J27"/>
    <mergeCell ref="L27:M27"/>
    <mergeCell ref="N27:N28"/>
    <mergeCell ref="I6:J6"/>
    <mergeCell ref="L6:M6"/>
    <mergeCell ref="N6:N7"/>
    <mergeCell ref="I18:J18"/>
    <mergeCell ref="L18:M18"/>
    <mergeCell ref="N18:N19"/>
  </mergeCells>
  <phoneticPr fontId="50" type="noConversion"/>
  <dataValidations count="3">
    <dataValidation type="list" allowBlank="1" showInputMessage="1" showErrorMessage="1" sqref="I3" xr:uid="{00000000-0002-0000-1C00-000000000000}">
      <formula1>$A$9:$A$10</formula1>
    </dataValidation>
    <dataValidation type="list" allowBlank="1" showInputMessage="1" showErrorMessage="1" sqref="I4" xr:uid="{00000000-0002-0000-1C00-000001000000}">
      <formula1>$A$14:$A$16</formula1>
    </dataValidation>
    <dataValidation type="list" allowBlank="1" showInputMessage="1" showErrorMessage="1" sqref="I2" xr:uid="{00000000-0002-0000-1C00-000002000000}">
      <formula1>reforms</formula1>
    </dataValidation>
  </dataValidations>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E2C0D-1E88-4F7C-9E64-ACC7845FE0EC}">
  <sheetPr codeName="Hoja30">
    <tabColor rgb="FFB7EE8E"/>
  </sheetPr>
  <dimension ref="A1:AM141"/>
  <sheetViews>
    <sheetView topLeftCell="F1" zoomScale="70" zoomScaleNormal="70" workbookViewId="0">
      <selection activeCell="F1" sqref="F1:K1"/>
    </sheetView>
  </sheetViews>
  <sheetFormatPr baseColWidth="10" defaultColWidth="10.33203125" defaultRowHeight="15.6"/>
  <cols>
    <col min="1" max="3" width="0" style="598" hidden="1" customWidth="1"/>
    <col min="4" max="4" width="29.109375" style="598" hidden="1" customWidth="1"/>
    <col min="5" max="5" width="0" style="598" hidden="1" customWidth="1"/>
    <col min="6" max="6" width="10.33203125" style="598"/>
    <col min="7" max="7" width="9" style="598" customWidth="1"/>
    <col min="8" max="8" width="10.33203125" style="599"/>
    <col min="9" max="10" width="10.6640625" style="598" bestFit="1" customWidth="1"/>
    <col min="11" max="17" width="10.33203125" style="598"/>
    <col min="18" max="18" width="13.109375" style="598" customWidth="1"/>
    <col min="19" max="19" width="12.44140625" style="598" customWidth="1"/>
    <col min="20" max="20" width="10.33203125" style="598"/>
    <col min="21" max="21" width="12" style="598" customWidth="1"/>
    <col min="22" max="24" width="10.33203125" style="598"/>
    <col min="25" max="25" width="20.109375" style="598" customWidth="1"/>
    <col min="26" max="26" width="9.6640625" style="598" customWidth="1"/>
    <col min="27" max="27" width="11.44140625" style="598" customWidth="1"/>
    <col min="28" max="28" width="10.33203125" style="598"/>
    <col min="29" max="29" width="11.44140625" style="598" customWidth="1"/>
    <col min="30" max="31" width="10.33203125" style="598"/>
    <col min="32" max="32" width="23.33203125" style="598" customWidth="1"/>
    <col min="33" max="33" width="20.44140625" style="598" customWidth="1"/>
    <col min="34" max="16384" width="10.33203125" style="598"/>
  </cols>
  <sheetData>
    <row r="1" spans="1:39">
      <c r="F1" s="875" t="s">
        <v>840</v>
      </c>
      <c r="G1" s="875"/>
      <c r="H1" s="875"/>
      <c r="I1" s="875"/>
      <c r="J1" s="875"/>
      <c r="K1" s="875"/>
      <c r="O1" s="875" t="s">
        <v>841</v>
      </c>
      <c r="P1" s="875"/>
      <c r="Q1" s="875"/>
      <c r="R1" s="875"/>
      <c r="S1" s="875"/>
      <c r="T1" s="875"/>
      <c r="U1" s="875"/>
      <c r="X1" s="875" t="s">
        <v>842</v>
      </c>
      <c r="Y1" s="875"/>
      <c r="Z1" s="875"/>
      <c r="AA1" s="875"/>
      <c r="AB1" s="875"/>
      <c r="AC1" s="875"/>
      <c r="AD1" s="875"/>
      <c r="AF1" s="86"/>
      <c r="AG1" s="875" t="s">
        <v>842</v>
      </c>
      <c r="AH1" s="875"/>
      <c r="AI1" s="875"/>
      <c r="AJ1" s="875"/>
      <c r="AK1" s="875"/>
      <c r="AL1" s="875"/>
      <c r="AM1" s="875"/>
    </row>
    <row r="2" spans="1:39">
      <c r="Y2" s="598" t="s">
        <v>843</v>
      </c>
      <c r="Z2" s="600" t="s">
        <v>844</v>
      </c>
      <c r="AF2" s="88"/>
    </row>
    <row r="3" spans="1:39">
      <c r="G3" s="601"/>
      <c r="H3" s="876" t="s">
        <v>315</v>
      </c>
      <c r="I3" s="876"/>
      <c r="J3" s="602" t="s">
        <v>561</v>
      </c>
      <c r="O3" s="1"/>
      <c r="P3" s="577"/>
      <c r="Q3" s="809" t="s">
        <v>845</v>
      </c>
      <c r="R3" s="809"/>
      <c r="S3" s="809"/>
      <c r="T3" s="577"/>
      <c r="Y3" s="598" t="str">
        <f>+Parameters!B11</f>
        <v>Premium Gasoline  (Super Carburant)</v>
      </c>
      <c r="Z3" s="603">
        <f>100*Parameters!E11</f>
        <v>10.10104555400574</v>
      </c>
      <c r="AF3" s="88"/>
      <c r="AH3" s="598" t="s">
        <v>846</v>
      </c>
    </row>
    <row r="4" spans="1:39" ht="13.95" customHeight="1">
      <c r="E4" s="604"/>
      <c r="G4" s="877" t="s">
        <v>847</v>
      </c>
      <c r="H4" s="601" t="s">
        <v>848</v>
      </c>
      <c r="I4" s="604">
        <f>Parameters!C23</f>
        <v>91.17</v>
      </c>
      <c r="J4" s="603"/>
      <c r="O4" s="1"/>
      <c r="P4" s="1"/>
      <c r="Q4" s="1" t="s">
        <v>333</v>
      </c>
      <c r="R4" s="1" t="s">
        <v>352</v>
      </c>
      <c r="S4" s="1" t="s">
        <v>356</v>
      </c>
      <c r="T4" s="1" t="s">
        <v>360</v>
      </c>
      <c r="Y4" s="598" t="str">
        <f>+Parameters!B9</f>
        <v>Regular Gasoline (Essence Ordinaire)</v>
      </c>
      <c r="Z4" s="603">
        <f>100*Parameters!E9</f>
        <v>23.794853746758996</v>
      </c>
      <c r="AA4" s="4"/>
      <c r="AF4" s="90"/>
    </row>
    <row r="5" spans="1:39">
      <c r="D5" s="605" t="s">
        <v>849</v>
      </c>
      <c r="E5" s="604">
        <v>15319.1</v>
      </c>
      <c r="G5" s="877"/>
      <c r="H5" s="601" t="s">
        <v>850</v>
      </c>
      <c r="I5" s="604">
        <f>Parameters!C24</f>
        <v>112.5</v>
      </c>
      <c r="J5" s="603"/>
      <c r="O5" s="1"/>
      <c r="P5" s="1" t="s">
        <v>13</v>
      </c>
      <c r="Q5" s="214">
        <f>+elec_pmts_info!T6</f>
        <v>158</v>
      </c>
      <c r="R5" s="214">
        <f>+elec_pmts_info!T7</f>
        <v>136.99999999999997</v>
      </c>
      <c r="S5" s="214">
        <f>+elec_pmts_info!T8</f>
        <v>124</v>
      </c>
      <c r="T5" s="214">
        <f>+elec_pmts_info!T9</f>
        <v>142.39140180447515</v>
      </c>
      <c r="Y5" s="598" t="str">
        <f>+Parameters!B6</f>
        <v>LPG (Butane)</v>
      </c>
      <c r="Z5" s="603">
        <f>100*Parameters!E6</f>
        <v>25.759454497153101</v>
      </c>
      <c r="AF5" s="86"/>
      <c r="AG5" s="878" t="s">
        <v>851</v>
      </c>
      <c r="AH5" s="598" t="s">
        <v>852</v>
      </c>
      <c r="AI5" s="606">
        <v>16.400396583391</v>
      </c>
    </row>
    <row r="6" spans="1:39" ht="19.2" customHeight="1">
      <c r="A6" s="598" t="s">
        <v>853</v>
      </c>
      <c r="D6" s="605" t="s">
        <v>854</v>
      </c>
      <c r="E6" s="604">
        <v>16922</v>
      </c>
      <c r="G6" s="877"/>
      <c r="H6" s="601" t="s">
        <v>855</v>
      </c>
      <c r="I6" s="604">
        <f>Parameters!C25</f>
        <v>112.5</v>
      </c>
      <c r="J6" s="603">
        <v>18</v>
      </c>
      <c r="O6" s="1"/>
      <c r="P6" s="1" t="s">
        <v>856</v>
      </c>
      <c r="Q6" s="214">
        <f>+elec_pmts_info!Q6</f>
        <v>148.99728315331177</v>
      </c>
      <c r="R6" s="214">
        <f>+elec_pmts_info!Q7</f>
        <v>114.2821636932038</v>
      </c>
      <c r="S6" s="214">
        <f>+elec_pmts_info!Q8</f>
        <v>85.270977168535367</v>
      </c>
      <c r="T6" s="214">
        <f>+elec_pmts_info!Q9</f>
        <v>122.0362669208306</v>
      </c>
      <c r="U6" s="607"/>
      <c r="Y6" s="598" t="str">
        <f>+Parameters!B8</f>
        <v>Diesel (Gasoil)</v>
      </c>
      <c r="Z6" s="603">
        <f>100*Parameters!E8</f>
        <v>29.020491337609815</v>
      </c>
      <c r="AF6" s="86"/>
      <c r="AG6" s="878"/>
      <c r="AH6" s="598" t="s">
        <v>857</v>
      </c>
      <c r="AI6" s="606">
        <v>23.158566810061998</v>
      </c>
    </row>
    <row r="7" spans="1:39">
      <c r="A7" s="598" t="s">
        <v>858</v>
      </c>
      <c r="B7" s="598" cm="1">
        <f t="array" aca="1" ref="B7" ca="1">+INDIRECT(A7)</f>
        <v>2</v>
      </c>
      <c r="C7" s="598" t="s">
        <v>859</v>
      </c>
      <c r="D7" s="598" t="s">
        <v>860</v>
      </c>
      <c r="E7" s="608">
        <f>750/E5*100</f>
        <v>4.8958489728508852</v>
      </c>
      <c r="G7" s="877" t="s">
        <v>861</v>
      </c>
      <c r="H7" s="601" t="str">
        <f>_xlfn.CONCAT("0 - ",[1]Parameters!D36)</f>
        <v>0 - 150</v>
      </c>
      <c r="I7" s="604">
        <f>+Parameters!C27</f>
        <v>91.17</v>
      </c>
      <c r="J7" s="603"/>
      <c r="O7" s="1"/>
      <c r="P7" s="1" t="s">
        <v>862</v>
      </c>
      <c r="Q7" s="506">
        <f>100*(Q5-Q6)/Q5</f>
        <v>5.6979220548659688</v>
      </c>
      <c r="R7" s="506">
        <f>100*(R5-R6)/R5</f>
        <v>16.582362267734435</v>
      </c>
      <c r="S7" s="506">
        <f>100*(S5-S6)/S5</f>
        <v>31.23308292860051</v>
      </c>
      <c r="T7" s="506">
        <f>100*(T5-T6)/T5</f>
        <v>14.295199447221695</v>
      </c>
      <c r="U7" s="607"/>
      <c r="Y7" s="598" t="str">
        <f>+Parameters!B10</f>
        <v>Boat Gasoline (Essence Pirogue)</v>
      </c>
      <c r="Z7" s="603">
        <f>100*Parameters!E10</f>
        <v>31.031555231605861</v>
      </c>
      <c r="AG7" s="878" t="s">
        <v>847</v>
      </c>
      <c r="AH7" s="598" t="s">
        <v>852</v>
      </c>
      <c r="AI7" s="606">
        <v>17.940740740740999</v>
      </c>
    </row>
    <row r="8" spans="1:39">
      <c r="A8" s="598" t="s">
        <v>863</v>
      </c>
      <c r="B8" s="598" cm="1">
        <f t="array" aca="1" ref="B8" ca="1">INDIRECT(A8)</f>
        <v>3</v>
      </c>
      <c r="E8" s="608">
        <f>750/E6*100</f>
        <v>4.4321002245597452</v>
      </c>
      <c r="G8" s="877"/>
      <c r="H8" s="601" t="str">
        <f>_xlfn.CONCAT([1]Parameters!D36, " - ", [1]Parameters!D37)</f>
        <v>150 - 250</v>
      </c>
      <c r="I8" s="604">
        <f>+Parameters!C28</f>
        <v>112.5</v>
      </c>
      <c r="J8" s="603"/>
      <c r="O8" s="1"/>
      <c r="P8" s="1"/>
      <c r="Q8" s="506">
        <f>Q5-Q6</f>
        <v>9.0027168466882301</v>
      </c>
      <c r="R8" s="506">
        <f>R5-R6</f>
        <v>22.717836306796173</v>
      </c>
      <c r="S8" s="506">
        <f>S5-S6</f>
        <v>38.729022831464633</v>
      </c>
      <c r="T8" s="606">
        <f>T5-T6</f>
        <v>20.355134883644553</v>
      </c>
      <c r="Y8" s="598" t="str">
        <f>+Parameters!B7</f>
        <v>Kerosene (Pétrole Lampant)</v>
      </c>
      <c r="Z8" s="603">
        <f>100*Parameters!E7</f>
        <v>46.872687776634152</v>
      </c>
      <c r="AG8" s="878"/>
      <c r="AH8" s="598" t="s">
        <v>857</v>
      </c>
      <c r="AI8" s="606">
        <v>24.70140074663</v>
      </c>
    </row>
    <row r="9" spans="1:39">
      <c r="C9" s="598" t="s">
        <v>859</v>
      </c>
      <c r="G9" s="877"/>
      <c r="H9" s="601" t="str">
        <f>_xlfn.CONCAT([1]Parameters!D37, " + ")</f>
        <v xml:space="preserve">250 + </v>
      </c>
      <c r="I9" s="604">
        <f>+Parameters!C29</f>
        <v>124.62</v>
      </c>
      <c r="J9" s="603">
        <v>18</v>
      </c>
      <c r="O9" s="1"/>
      <c r="P9" s="1"/>
      <c r="Q9" s="1"/>
      <c r="R9" s="1"/>
      <c r="S9" s="1"/>
      <c r="AG9" s="878"/>
      <c r="AH9" s="598" t="s">
        <v>864</v>
      </c>
      <c r="AI9" s="606">
        <v>25.715459572383999</v>
      </c>
    </row>
    <row r="10" spans="1:39">
      <c r="O10" s="1"/>
      <c r="P10" s="1"/>
      <c r="Q10" s="1"/>
      <c r="R10" s="1"/>
      <c r="S10" s="1"/>
    </row>
    <row r="11" spans="1:39">
      <c r="O11" s="1"/>
      <c r="P11" s="1"/>
      <c r="Q11" s="1"/>
      <c r="R11" s="1"/>
      <c r="S11" s="1"/>
    </row>
    <row r="12" spans="1:39">
      <c r="O12" s="1"/>
      <c r="P12" s="1"/>
      <c r="Q12" s="1"/>
      <c r="R12" s="1"/>
      <c r="S12" s="1"/>
    </row>
    <row r="13" spans="1:39">
      <c r="C13" s="598" t="s">
        <v>859</v>
      </c>
      <c r="O13" s="1"/>
      <c r="P13" s="1"/>
      <c r="Q13" s="1"/>
      <c r="R13" s="1"/>
      <c r="S13" s="1"/>
    </row>
    <row r="14" spans="1:39">
      <c r="A14" s="598" t="s">
        <v>685</v>
      </c>
    </row>
    <row r="15" spans="1:39">
      <c r="A15" s="598" t="s">
        <v>865</v>
      </c>
      <c r="B15" s="598" cm="1">
        <f t="array" aca="1" ref="B15" ca="1">INDIRECT(A15)</f>
        <v>0</v>
      </c>
    </row>
    <row r="16" spans="1:39">
      <c r="A16" s="598" t="s">
        <v>866</v>
      </c>
      <c r="B16" s="598" cm="1">
        <f t="array" aca="1" ref="B16" ca="1">INDIRECT(A16)</f>
        <v>0</v>
      </c>
      <c r="C16" s="598" t="s">
        <v>859</v>
      </c>
    </row>
    <row r="17" spans="1:37">
      <c r="A17" s="598" t="s">
        <v>867</v>
      </c>
      <c r="B17" s="598" cm="1">
        <f t="array" aca="1" ref="B17" ca="1">INDIRECT(A17)</f>
        <v>0</v>
      </c>
      <c r="C17" s="598" t="s">
        <v>859</v>
      </c>
    </row>
    <row r="18" spans="1:37">
      <c r="A18" s="598" t="s">
        <v>868</v>
      </c>
      <c r="B18" s="598" cm="1">
        <f t="array" aca="1" ref="B18" ca="1">INDIRECT(A18)</f>
        <v>0</v>
      </c>
      <c r="C18" s="598" t="s">
        <v>859</v>
      </c>
    </row>
    <row r="19" spans="1:37">
      <c r="A19" s="598" t="s">
        <v>869</v>
      </c>
      <c r="B19" s="598" cm="1">
        <f t="array" aca="1" ref="B19" ca="1">INDIRECT('F1'!A19)</f>
        <v>0</v>
      </c>
      <c r="C19" s="598" t="s">
        <v>859</v>
      </c>
    </row>
    <row r="20" spans="1:37">
      <c r="A20" s="598" t="s">
        <v>870</v>
      </c>
      <c r="B20" s="598" cm="1">
        <f t="array" aca="1" ref="B20" ca="1">INDIRECT(A20)</f>
        <v>0</v>
      </c>
      <c r="C20" s="598" t="s">
        <v>859</v>
      </c>
    </row>
    <row r="21" spans="1:37">
      <c r="A21" s="598" t="s">
        <v>871</v>
      </c>
      <c r="B21" s="598" cm="1">
        <f t="array" aca="1" ref="B21" ca="1">INDIRECT(A21)</f>
        <v>0</v>
      </c>
      <c r="C21" s="598" t="s">
        <v>859</v>
      </c>
    </row>
    <row r="22" spans="1:37">
      <c r="A22" s="598" t="s">
        <v>872</v>
      </c>
      <c r="B22" s="598" cm="1">
        <f t="array" aca="1" ref="B22" ca="1">INDIRECT(A22)</f>
        <v>0</v>
      </c>
      <c r="C22" s="598" t="s">
        <v>859</v>
      </c>
    </row>
    <row r="23" spans="1:37">
      <c r="A23" s="598" t="s">
        <v>873</v>
      </c>
      <c r="B23" s="598" cm="1">
        <f t="array" aca="1" ref="B23" ca="1">INDIRECT(A23)</f>
        <v>0</v>
      </c>
      <c r="C23" s="598" t="s">
        <v>859</v>
      </c>
    </row>
    <row r="24" spans="1:37">
      <c r="A24" s="598" t="s">
        <v>874</v>
      </c>
      <c r="B24" s="598" cm="1">
        <f t="array" aca="1" ref="B24" ca="1">INDIRECT(A24)</f>
        <v>0</v>
      </c>
      <c r="C24" s="598" t="s">
        <v>859</v>
      </c>
    </row>
    <row r="25" spans="1:37">
      <c r="A25" s="598" t="s">
        <v>875</v>
      </c>
      <c r="B25" s="598" cm="1">
        <f t="array" aca="1" ref="B25" ca="1">INDIRECT(A25)</f>
        <v>0</v>
      </c>
    </row>
    <row r="26" spans="1:37">
      <c r="A26" s="598" t="s">
        <v>876</v>
      </c>
      <c r="B26" s="598" cm="1">
        <f t="array" aca="1" ref="B26" ca="1">INDIRECT(A26)</f>
        <v>0</v>
      </c>
    </row>
    <row r="30" spans="1:37">
      <c r="E30" s="875" t="s">
        <v>877</v>
      </c>
      <c r="F30" s="875"/>
      <c r="G30" s="875"/>
      <c r="H30" s="875"/>
      <c r="I30" s="875"/>
      <c r="J30" s="875"/>
      <c r="K30" s="875"/>
      <c r="O30" s="875" t="s">
        <v>878</v>
      </c>
      <c r="P30" s="875"/>
      <c r="Q30" s="875"/>
      <c r="R30" s="875"/>
      <c r="S30" s="875"/>
      <c r="T30" s="875"/>
      <c r="U30" s="875"/>
      <c r="X30" s="875" t="s">
        <v>879</v>
      </c>
      <c r="Y30" s="875"/>
      <c r="Z30" s="875"/>
      <c r="AA30" s="875"/>
      <c r="AB30" s="875"/>
      <c r="AC30" s="875"/>
      <c r="AD30" s="875"/>
      <c r="AK30" s="598" t="s">
        <v>880</v>
      </c>
    </row>
    <row r="31" spans="1:37">
      <c r="E31" s="609" t="s">
        <v>881</v>
      </c>
      <c r="G31" s="609"/>
      <c r="O31" s="610" t="s">
        <v>881</v>
      </c>
    </row>
    <row r="32" spans="1:37">
      <c r="G32" s="1"/>
      <c r="H32" s="1"/>
      <c r="I32" s="577" t="s">
        <v>14</v>
      </c>
      <c r="J32" s="577" t="s">
        <v>15</v>
      </c>
      <c r="O32" s="600"/>
      <c r="P32" s="600" t="s">
        <v>14</v>
      </c>
      <c r="Q32" s="600" t="s">
        <v>15</v>
      </c>
      <c r="R32" s="600"/>
      <c r="S32" s="600"/>
      <c r="T32" s="611" t="s">
        <v>14</v>
      </c>
      <c r="U32" s="611" t="s">
        <v>15</v>
      </c>
    </row>
    <row r="33" spans="7:28">
      <c r="G33" s="827" t="s">
        <v>847</v>
      </c>
      <c r="H33" s="601" t="s">
        <v>848</v>
      </c>
      <c r="I33" s="214">
        <f>100*(Parameters!$C$51-Parameters!C23)/Parameters!$C$51</f>
        <v>42.44318181818182</v>
      </c>
      <c r="J33" s="214">
        <f>100*(Parameters!$C$51-Parameters!E23)/Parameters!$C$51</f>
        <v>42.44318181818182</v>
      </c>
      <c r="O33" s="612" t="str">
        <f>+Parameters!B6</f>
        <v>LPG (Butane)</v>
      </c>
      <c r="P33" s="613">
        <f>100*Parameters!E6</f>
        <v>25.759454497153101</v>
      </c>
      <c r="Q33" s="613">
        <f>100*Parameters!H6</f>
        <v>25.759454497153101</v>
      </c>
      <c r="R33" s="879" t="s">
        <v>882</v>
      </c>
      <c r="S33" s="612" t="s">
        <v>883</v>
      </c>
      <c r="T33" s="614">
        <v>41.957356893675062</v>
      </c>
      <c r="U33" s="603">
        <v>41.965525611708706</v>
      </c>
    </row>
    <row r="34" spans="7:28">
      <c r="G34" s="827"/>
      <c r="H34" s="601" t="s">
        <v>850</v>
      </c>
      <c r="I34" s="214">
        <f>100*(Parameters!$C$51-Parameters!C24)/Parameters!$C$51</f>
        <v>28.977272727272734</v>
      </c>
      <c r="J34" s="214">
        <f>100*(Parameters!$C$51-Parameters!E24)/Parameters!$C$51</f>
        <v>13.832070707070704</v>
      </c>
      <c r="O34" s="612" t="str">
        <f>+Parameters!B7</f>
        <v>Kerosene (Pétrole Lampant)</v>
      </c>
      <c r="P34" s="613">
        <f>100*Parameters!E7</f>
        <v>46.872687776634152</v>
      </c>
      <c r="Q34" s="613">
        <f>100*Parameters!H7</f>
        <v>46.872687776634152</v>
      </c>
      <c r="R34" s="879"/>
      <c r="S34" s="612" t="s">
        <v>884</v>
      </c>
      <c r="T34" s="614">
        <v>53.276345251792613</v>
      </c>
      <c r="U34" s="603">
        <v>53.276279154821658</v>
      </c>
      <c r="Y34" s="600"/>
      <c r="Z34" s="600" t="s">
        <v>843</v>
      </c>
      <c r="AA34" s="598" t="s">
        <v>885</v>
      </c>
    </row>
    <row r="35" spans="7:28">
      <c r="G35" s="827"/>
      <c r="H35" s="601" t="s">
        <v>855</v>
      </c>
      <c r="I35" s="214">
        <f>100*(Parameters!$C$51-Parameters!C25)/Parameters!$C$51</f>
        <v>28.977272727272734</v>
      </c>
      <c r="J35" s="214">
        <f>100*(Parameters!$C$51-Parameters!E25)/Parameters!$C$51</f>
        <v>5.896464646464648</v>
      </c>
      <c r="O35" s="612" t="str">
        <f>+Parameters!B8</f>
        <v>Diesel (Gasoil)</v>
      </c>
      <c r="P35" s="613">
        <f>100*Parameters!E8</f>
        <v>29.020491337609815</v>
      </c>
      <c r="Q35" s="613">
        <f>100*Parameters!H8</f>
        <v>18.183972810502336</v>
      </c>
      <c r="R35" s="879"/>
      <c r="S35" s="615" t="s">
        <v>886</v>
      </c>
      <c r="T35" s="603">
        <v>31.990288677038293</v>
      </c>
      <c r="U35" s="603">
        <v>27.201449500370583</v>
      </c>
      <c r="V35" s="598" t="s">
        <v>887</v>
      </c>
      <c r="W35" s="598" t="s">
        <v>859</v>
      </c>
      <c r="Y35" s="4"/>
      <c r="Z35" s="600" t="s">
        <v>888</v>
      </c>
      <c r="AA35" s="603">
        <f>0.03*100</f>
        <v>3</v>
      </c>
    </row>
    <row r="36" spans="7:28">
      <c r="G36" s="827" t="s">
        <v>861</v>
      </c>
      <c r="H36" s="601" t="s">
        <v>848</v>
      </c>
      <c r="I36" s="214">
        <f>100*(Parameters!$C$51-Parameters!C27)/Parameters!$C$51</f>
        <v>42.44318181818182</v>
      </c>
      <c r="J36" s="214">
        <f>100*(Parameters!$C$51-Parameters!E27)/Parameters!$C$51</f>
        <v>42.44318181818182</v>
      </c>
      <c r="O36" s="612" t="str">
        <f>+Parameters!B9</f>
        <v>Regular Gasoline (Essence Ordinaire)</v>
      </c>
      <c r="P36" s="613">
        <f>100*Parameters!E9</f>
        <v>23.794853746758996</v>
      </c>
      <c r="Q36" s="613">
        <f>100*Parameters!H9</f>
        <v>23.794853746758996</v>
      </c>
      <c r="R36" s="611" t="s">
        <v>889</v>
      </c>
      <c r="S36" s="616"/>
      <c r="T36" s="617">
        <v>37.199142808936806</v>
      </c>
      <c r="U36" s="617">
        <v>34.00793379466878</v>
      </c>
      <c r="V36" s="598" t="s">
        <v>890</v>
      </c>
      <c r="W36" s="598" t="s">
        <v>859</v>
      </c>
      <c r="Y36" s="4"/>
      <c r="Z36" s="4" t="s">
        <v>38</v>
      </c>
      <c r="AA36" s="603">
        <f>0.6*100</f>
        <v>60</v>
      </c>
    </row>
    <row r="37" spans="7:28">
      <c r="G37" s="827"/>
      <c r="H37" s="601" t="s">
        <v>850</v>
      </c>
      <c r="I37" s="214">
        <f>100*(Parameters!$C$51-Parameters!C28)/Parameters!$C$51</f>
        <v>28.977272727272734</v>
      </c>
      <c r="J37" s="214">
        <f>100*(Parameters!$C$51-Parameters!E28)/Parameters!$C$51</f>
        <v>13.832070707070704</v>
      </c>
      <c r="O37" s="612" t="str">
        <f>+Parameters!B10</f>
        <v>Boat Gasoline (Essence Pirogue)</v>
      </c>
      <c r="P37" s="613">
        <f>100*Parameters!E10</f>
        <v>31.031555231605861</v>
      </c>
      <c r="Q37" s="613">
        <f>100*Parameters!H10</f>
        <v>31.031555231605861</v>
      </c>
      <c r="R37" s="612"/>
      <c r="S37" s="615"/>
      <c r="Y37" s="4"/>
      <c r="Z37" s="4" t="s">
        <v>37</v>
      </c>
      <c r="AA37" s="603">
        <v>0.5</v>
      </c>
    </row>
    <row r="38" spans="7:28">
      <c r="G38" s="829"/>
      <c r="H38" s="601" t="s">
        <v>855</v>
      </c>
      <c r="I38" s="214">
        <f>100*(Parameters!$C$51-Parameters!C29)/Parameters!$C$51</f>
        <v>21.325757575757574</v>
      </c>
      <c r="J38" s="214">
        <f>100*(Parameters!$C$51-Parameters!E29)/Parameters!$C$51</f>
        <v>-0.60606060606061107</v>
      </c>
      <c r="O38" s="612" t="str">
        <f>+Parameters!B11</f>
        <v>Premium Gasoline  (Super Carburant)</v>
      </c>
      <c r="P38" s="613">
        <f>100*Parameters!E11</f>
        <v>10.10104555400574</v>
      </c>
      <c r="Q38" s="613">
        <f>100*Parameters!H11</f>
        <v>2.9335471873669536E-5</v>
      </c>
      <c r="R38" s="612"/>
      <c r="S38" s="615"/>
      <c r="Y38" s="4"/>
      <c r="Z38" s="4" t="s">
        <v>36</v>
      </c>
      <c r="AA38" s="603">
        <f>0.05*100</f>
        <v>5</v>
      </c>
    </row>
    <row r="39" spans="7:28" ht="16.2" thickBot="1">
      <c r="G39" s="618" t="s">
        <v>891</v>
      </c>
      <c r="H39" s="619"/>
      <c r="I39" s="620">
        <f>100*Parameters!C45</f>
        <v>14.295199447221693</v>
      </c>
      <c r="J39" s="620">
        <f>100*Parameters!D45</f>
        <v>-7.4030307748696096</v>
      </c>
      <c r="Z39" s="4" t="s">
        <v>892</v>
      </c>
      <c r="AA39" s="603">
        <f>0.15*100</f>
        <v>15</v>
      </c>
    </row>
    <row r="40" spans="7:28" ht="16.2" thickTop="1">
      <c r="Z40" s="4" t="s">
        <v>33</v>
      </c>
      <c r="AA40" s="603">
        <f>0.17*100</f>
        <v>17</v>
      </c>
    </row>
    <row r="41" spans="7:28">
      <c r="Z41" s="601"/>
      <c r="AA41" s="601"/>
      <c r="AB41" s="601"/>
    </row>
    <row r="54" spans="5:30">
      <c r="O54" s="86"/>
    </row>
    <row r="55" spans="5:30">
      <c r="O55" s="88"/>
    </row>
    <row r="56" spans="5:30">
      <c r="O56" s="88"/>
    </row>
    <row r="57" spans="5:30">
      <c r="O57" s="90"/>
    </row>
    <row r="58" spans="5:30">
      <c r="O58" s="86"/>
    </row>
    <row r="59" spans="5:30">
      <c r="O59" s="86"/>
      <c r="AB59" s="221"/>
      <c r="AC59" s="222"/>
    </row>
    <row r="60" spans="5:30">
      <c r="E60" s="875"/>
      <c r="F60" s="875"/>
      <c r="G60" s="875"/>
      <c r="H60" s="875"/>
      <c r="I60" s="875"/>
      <c r="J60" s="875"/>
      <c r="K60" s="875"/>
      <c r="O60" s="875" t="s">
        <v>893</v>
      </c>
      <c r="P60" s="875"/>
      <c r="Q60" s="875"/>
      <c r="R60" s="875"/>
      <c r="S60" s="875"/>
      <c r="T60" s="875"/>
      <c r="U60" s="875"/>
      <c r="X60" s="875" t="s">
        <v>894</v>
      </c>
      <c r="Y60" s="875"/>
      <c r="Z60" s="875"/>
      <c r="AA60" s="875"/>
      <c r="AB60" s="875"/>
      <c r="AC60" s="875"/>
      <c r="AD60" s="875"/>
    </row>
    <row r="61" spans="5:30" ht="16.2" thickBot="1">
      <c r="E61" s="609" t="s">
        <v>895</v>
      </c>
      <c r="O61" s="881" t="s">
        <v>896</v>
      </c>
      <c r="P61" s="881"/>
      <c r="Q61" s="881"/>
      <c r="R61" s="621"/>
      <c r="Y61" s="622"/>
      <c r="Z61" s="622"/>
      <c r="AA61" s="622"/>
      <c r="AB61" s="622"/>
      <c r="AC61" s="622"/>
    </row>
    <row r="62" spans="5:30" ht="36.6" thickBot="1">
      <c r="P62" s="623" t="s">
        <v>897</v>
      </c>
      <c r="Q62" s="623" t="s">
        <v>898</v>
      </c>
      <c r="R62" s="623" t="s">
        <v>899</v>
      </c>
      <c r="S62" s="623" t="s">
        <v>425</v>
      </c>
      <c r="T62" s="623" t="s">
        <v>900</v>
      </c>
      <c r="U62" s="623" t="s">
        <v>901</v>
      </c>
      <c r="Y62" s="622"/>
      <c r="Z62" s="624" t="s">
        <v>14</v>
      </c>
      <c r="AA62" s="624"/>
      <c r="AB62" s="882" t="s">
        <v>15</v>
      </c>
      <c r="AC62" s="882"/>
    </row>
    <row r="63" spans="5:30" ht="43.2" customHeight="1" thickBot="1">
      <c r="G63" s="577" t="s">
        <v>902</v>
      </c>
      <c r="H63" s="577" t="s">
        <v>7</v>
      </c>
      <c r="I63" s="596" t="s">
        <v>10</v>
      </c>
      <c r="J63" s="625"/>
      <c r="K63" s="625"/>
      <c r="O63" s="623" t="s">
        <v>10</v>
      </c>
      <c r="P63" s="626">
        <v>91.17</v>
      </c>
      <c r="Q63" s="621">
        <v>300</v>
      </c>
      <c r="R63" s="621">
        <f t="shared" ref="R63:R68" si="0">Q63*$P63</f>
        <v>27351</v>
      </c>
      <c r="S63" s="621">
        <v>0</v>
      </c>
      <c r="T63" s="883">
        <f>SUM(R63:R65)</f>
        <v>61101</v>
      </c>
      <c r="U63" s="883">
        <f>SUM(R63:R65,S65)</f>
        <v>63126</v>
      </c>
      <c r="Y63" s="627"/>
      <c r="Z63" s="628" t="s">
        <v>16</v>
      </c>
      <c r="AA63" s="628" t="s">
        <v>17</v>
      </c>
      <c r="AB63" s="628" t="s">
        <v>16</v>
      </c>
      <c r="AC63" s="628" t="s">
        <v>17</v>
      </c>
      <c r="AD63" s="629"/>
    </row>
    <row r="64" spans="5:30" ht="16.2" thickTop="1">
      <c r="G64" s="1">
        <v>0</v>
      </c>
      <c r="H64" s="1">
        <v>42.44318181818182</v>
      </c>
      <c r="I64" s="1">
        <v>42.44318181818182</v>
      </c>
      <c r="J64" s="1"/>
      <c r="K64" s="1"/>
      <c r="O64" s="623"/>
      <c r="P64" s="626">
        <v>112.5</v>
      </c>
      <c r="Q64" s="621">
        <v>200</v>
      </c>
      <c r="R64" s="621">
        <f t="shared" si="0"/>
        <v>22500</v>
      </c>
      <c r="S64" s="621">
        <v>0</v>
      </c>
      <c r="T64" s="883"/>
      <c r="U64" s="883"/>
      <c r="Y64" s="880" t="s">
        <v>18</v>
      </c>
      <c r="Z64" s="880"/>
      <c r="AA64" s="880"/>
      <c r="AB64" s="880"/>
      <c r="AC64" s="880"/>
    </row>
    <row r="65" spans="7:31">
      <c r="G65" s="1">
        <v>100</v>
      </c>
      <c r="H65" s="1">
        <v>42.44318181818182</v>
      </c>
      <c r="I65" s="1">
        <v>42.44318181818182</v>
      </c>
      <c r="J65" s="1"/>
      <c r="K65" s="1"/>
      <c r="O65" s="623"/>
      <c r="P65" s="626">
        <v>112.5</v>
      </c>
      <c r="Q65" s="621">
        <v>100</v>
      </c>
      <c r="R65" s="621">
        <f t="shared" si="0"/>
        <v>11250</v>
      </c>
      <c r="S65" s="621">
        <f>R65*0.18</f>
        <v>2025</v>
      </c>
      <c r="T65" s="883"/>
      <c r="U65" s="883"/>
      <c r="Y65" s="630" t="s">
        <v>10</v>
      </c>
      <c r="Z65" s="621"/>
      <c r="AA65" s="621"/>
      <c r="AB65" s="631"/>
      <c r="AC65" s="631"/>
      <c r="AE65" s="632"/>
    </row>
    <row r="66" spans="7:31">
      <c r="G66" s="1">
        <v>150</v>
      </c>
      <c r="H66" s="1">
        <v>42.44318181818182</v>
      </c>
      <c r="I66" s="1">
        <v>42.44318181818182</v>
      </c>
      <c r="J66" s="1"/>
      <c r="K66" s="1"/>
      <c r="O66" s="623" t="s">
        <v>7</v>
      </c>
      <c r="P66" s="626">
        <v>91.17</v>
      </c>
      <c r="Q66" s="621">
        <v>150</v>
      </c>
      <c r="R66" s="621">
        <f t="shared" si="0"/>
        <v>13675.5</v>
      </c>
      <c r="S66" s="621">
        <v>0</v>
      </c>
      <c r="T66" s="883">
        <f>SUM(R66:R68)</f>
        <v>68542.5</v>
      </c>
      <c r="U66" s="883">
        <f>SUM(R66:R68,S68)</f>
        <v>76393.56</v>
      </c>
      <c r="Y66" s="633" t="s">
        <v>19</v>
      </c>
      <c r="Z66" s="634">
        <v>91.17</v>
      </c>
      <c r="AA66" s="621">
        <v>300</v>
      </c>
      <c r="AB66" s="634">
        <v>91.17</v>
      </c>
      <c r="AC66" s="621">
        <v>300</v>
      </c>
    </row>
    <row r="67" spans="7:31">
      <c r="G67" s="1">
        <v>150</v>
      </c>
      <c r="H67" s="1">
        <v>28.977272727272734</v>
      </c>
      <c r="I67" s="1">
        <v>42.44318181818182</v>
      </c>
      <c r="J67" s="1"/>
      <c r="K67" s="1"/>
      <c r="O67" s="623"/>
      <c r="P67" s="626">
        <v>112.5</v>
      </c>
      <c r="Q67" s="621">
        <v>100</v>
      </c>
      <c r="R67" s="621">
        <f t="shared" si="0"/>
        <v>11250</v>
      </c>
      <c r="S67" s="621">
        <v>0</v>
      </c>
      <c r="T67" s="883"/>
      <c r="U67" s="883"/>
      <c r="Y67" s="633" t="s">
        <v>21</v>
      </c>
      <c r="Z67" s="635">
        <v>112.5</v>
      </c>
      <c r="AA67" s="621">
        <v>500</v>
      </c>
      <c r="AB67" s="635">
        <v>131.19999999999999</v>
      </c>
      <c r="AC67" s="621">
        <v>500</v>
      </c>
    </row>
    <row r="68" spans="7:31">
      <c r="G68" s="1">
        <v>200</v>
      </c>
      <c r="H68" s="1">
        <v>28.977272727272734</v>
      </c>
      <c r="I68" s="1">
        <v>42.44318181818182</v>
      </c>
      <c r="J68" s="1"/>
      <c r="K68" s="1"/>
      <c r="O68" s="623"/>
      <c r="P68" s="626">
        <v>124.62</v>
      </c>
      <c r="Q68" s="621">
        <v>350</v>
      </c>
      <c r="R68" s="621">
        <f t="shared" si="0"/>
        <v>43617</v>
      </c>
      <c r="S68" s="621">
        <f>R68*0.18</f>
        <v>7851.0599999999995</v>
      </c>
      <c r="T68" s="883"/>
      <c r="U68" s="883"/>
      <c r="Y68" s="636" t="s">
        <v>23</v>
      </c>
      <c r="Z68" s="637">
        <v>112.5</v>
      </c>
      <c r="AA68" s="638"/>
      <c r="AB68" s="637">
        <v>131.19999999999999</v>
      </c>
      <c r="AC68" s="638"/>
    </row>
    <row r="69" spans="7:31">
      <c r="G69" s="1">
        <v>250</v>
      </c>
      <c r="H69" s="1">
        <v>28.977272727272734</v>
      </c>
      <c r="I69" s="1">
        <v>42.44318181818182</v>
      </c>
      <c r="J69" s="1"/>
      <c r="K69" s="1"/>
      <c r="O69" s="623"/>
      <c r="P69" s="623"/>
      <c r="Q69" s="623"/>
      <c r="Y69" s="630" t="s">
        <v>7</v>
      </c>
      <c r="Z69" s="621"/>
      <c r="AA69" s="621"/>
      <c r="AB69" s="631"/>
      <c r="AC69" s="631"/>
    </row>
    <row r="70" spans="7:31">
      <c r="G70" s="1">
        <v>250</v>
      </c>
      <c r="H70" s="1">
        <v>21.325757575757574</v>
      </c>
      <c r="I70" s="1">
        <v>42.44318181818182</v>
      </c>
      <c r="J70" s="1"/>
      <c r="K70" s="1"/>
      <c r="Q70" s="1"/>
      <c r="R70" s="1"/>
      <c r="Y70" s="633" t="s">
        <v>19</v>
      </c>
      <c r="Z70" s="634">
        <v>91.17</v>
      </c>
      <c r="AA70" s="621">
        <v>150</v>
      </c>
      <c r="AB70" s="634">
        <v>91.17</v>
      </c>
      <c r="AC70" s="621">
        <v>150</v>
      </c>
    </row>
    <row r="71" spans="7:31">
      <c r="G71" s="1">
        <v>300</v>
      </c>
      <c r="H71" s="1">
        <v>21.325757575757574</v>
      </c>
      <c r="I71" s="1">
        <v>42.44318181818182</v>
      </c>
      <c r="J71" s="1"/>
      <c r="K71" s="1"/>
      <c r="N71" s="623"/>
      <c r="Q71" s="1"/>
      <c r="R71" s="1"/>
      <c r="Y71" s="633" t="s">
        <v>21</v>
      </c>
      <c r="Z71" s="635">
        <v>112.5</v>
      </c>
      <c r="AA71" s="621">
        <v>250</v>
      </c>
      <c r="AB71" s="635">
        <v>131.19999999999999</v>
      </c>
      <c r="AC71" s="621">
        <v>250</v>
      </c>
    </row>
    <row r="72" spans="7:31" ht="16.2" thickBot="1">
      <c r="G72" s="1">
        <v>300</v>
      </c>
      <c r="H72" s="1">
        <v>21.325757575757574</v>
      </c>
      <c r="I72" s="1">
        <v>28.977272727272734</v>
      </c>
      <c r="J72" s="1"/>
      <c r="K72" s="1"/>
      <c r="N72" s="1"/>
      <c r="Q72" s="1"/>
      <c r="R72" s="1"/>
      <c r="Y72" s="639" t="s">
        <v>23</v>
      </c>
      <c r="Z72" s="640">
        <v>124.62</v>
      </c>
      <c r="AA72" s="641"/>
      <c r="AB72" s="637">
        <v>145.30000000000001</v>
      </c>
      <c r="AC72" s="641"/>
      <c r="AD72" s="629"/>
    </row>
    <row r="73" spans="7:31" ht="16.2" thickTop="1">
      <c r="G73" s="1">
        <v>350</v>
      </c>
      <c r="H73" s="1">
        <v>21.325757575757574</v>
      </c>
      <c r="I73" s="1">
        <v>28.977272727272734</v>
      </c>
      <c r="J73" s="1"/>
      <c r="K73" s="1"/>
      <c r="Y73" s="880" t="s">
        <v>613</v>
      </c>
      <c r="Z73" s="880"/>
      <c r="AA73" s="880"/>
      <c r="AB73" s="880"/>
      <c r="AC73" s="880"/>
    </row>
    <row r="74" spans="7:31">
      <c r="G74" s="1">
        <v>400</v>
      </c>
      <c r="H74" s="1">
        <v>21.325757575757574</v>
      </c>
      <c r="I74" s="1">
        <v>28.977272727272734</v>
      </c>
      <c r="J74" s="1"/>
      <c r="K74" s="1"/>
      <c r="Y74" s="630" t="s">
        <v>27</v>
      </c>
      <c r="Z74" s="621"/>
      <c r="AA74" s="621"/>
      <c r="AB74" s="631"/>
      <c r="AC74" s="631"/>
    </row>
    <row r="75" spans="7:31">
      <c r="G75" s="1">
        <v>450</v>
      </c>
      <c r="H75" s="1">
        <v>21.325757575757574</v>
      </c>
      <c r="I75" s="1">
        <v>28.977272727272734</v>
      </c>
      <c r="J75" s="1"/>
      <c r="K75" s="1"/>
      <c r="Y75" s="633" t="s">
        <v>19</v>
      </c>
      <c r="Z75" s="642">
        <v>96.72</v>
      </c>
      <c r="AA75" s="643">
        <v>100</v>
      </c>
      <c r="AB75" s="642">
        <v>96.72</v>
      </c>
      <c r="AC75" s="643">
        <v>100</v>
      </c>
    </row>
    <row r="76" spans="7:31">
      <c r="G76" s="1">
        <v>500</v>
      </c>
      <c r="H76" s="1">
        <v>21.325757575757574</v>
      </c>
      <c r="I76" s="1">
        <v>28.977272727272734</v>
      </c>
      <c r="J76" s="1"/>
      <c r="K76" s="1"/>
      <c r="N76" s="598" t="s">
        <v>846</v>
      </c>
      <c r="Y76" s="633" t="s">
        <v>21</v>
      </c>
      <c r="Z76" s="644">
        <v>113.38</v>
      </c>
      <c r="AA76" s="643">
        <v>600</v>
      </c>
      <c r="AB76" s="635">
        <v>132.19999999999999</v>
      </c>
      <c r="AC76" s="643">
        <v>600</v>
      </c>
    </row>
    <row r="77" spans="7:31">
      <c r="G77" s="1">
        <v>500</v>
      </c>
      <c r="H77" s="1">
        <v>21.325757575757574</v>
      </c>
      <c r="I77" s="1">
        <v>28.977272727272734</v>
      </c>
      <c r="J77" s="1"/>
      <c r="K77" s="1"/>
      <c r="Y77" s="636" t="s">
        <v>23</v>
      </c>
      <c r="Z77" s="645">
        <v>113.38</v>
      </c>
      <c r="AA77" s="638"/>
      <c r="AB77" s="637">
        <v>132.19999999999999</v>
      </c>
      <c r="AC77" s="638"/>
    </row>
    <row r="78" spans="7:31">
      <c r="G78" s="598">
        <v>550</v>
      </c>
      <c r="H78" s="1">
        <v>21.325757575757574</v>
      </c>
      <c r="I78" s="1">
        <v>28.977272727272734</v>
      </c>
      <c r="K78" s="214"/>
      <c r="M78" s="598" t="s">
        <v>852</v>
      </c>
      <c r="N78" s="598">
        <v>1.1640039658339127</v>
      </c>
      <c r="Y78" s="630" t="s">
        <v>28</v>
      </c>
      <c r="Z78" s="621"/>
      <c r="AA78" s="621"/>
      <c r="AB78" s="621"/>
      <c r="AC78" s="621"/>
    </row>
    <row r="79" spans="7:31">
      <c r="G79" s="598">
        <v>600</v>
      </c>
      <c r="H79" s="1">
        <v>21.325757575757574</v>
      </c>
      <c r="I79" s="1">
        <v>28.977272727272734</v>
      </c>
      <c r="K79" s="214"/>
      <c r="M79" s="598" t="s">
        <v>857</v>
      </c>
      <c r="N79" s="598">
        <v>1.2315856681006248</v>
      </c>
      <c r="Y79" s="633" t="s">
        <v>19</v>
      </c>
      <c r="Z79" s="646">
        <v>96.72</v>
      </c>
      <c r="AA79" s="643">
        <v>50</v>
      </c>
      <c r="AB79" s="646">
        <v>96.72</v>
      </c>
      <c r="AC79" s="643">
        <v>50</v>
      </c>
    </row>
    <row r="80" spans="7:31">
      <c r="K80" s="214"/>
      <c r="M80" s="598" t="s">
        <v>852</v>
      </c>
      <c r="N80" s="598">
        <v>1.1794074074074075</v>
      </c>
      <c r="Y80" s="633" t="s">
        <v>21</v>
      </c>
      <c r="Z80" s="647">
        <v>113.38</v>
      </c>
      <c r="AA80" s="643">
        <v>300</v>
      </c>
      <c r="AB80" s="635">
        <v>132.19999999999999</v>
      </c>
      <c r="AC80" s="643">
        <v>300</v>
      </c>
    </row>
    <row r="81" spans="11:30" ht="16.2" thickBot="1">
      <c r="K81" s="214"/>
      <c r="M81" s="598" t="s">
        <v>857</v>
      </c>
      <c r="N81" s="598">
        <v>1.2470140074662976</v>
      </c>
      <c r="Y81" s="639" t="s">
        <v>23</v>
      </c>
      <c r="Z81" s="648">
        <v>123.92</v>
      </c>
      <c r="AA81" s="641"/>
      <c r="AB81" s="637">
        <v>144.5</v>
      </c>
      <c r="AC81" s="641"/>
      <c r="AD81" s="632"/>
    </row>
    <row r="82" spans="11:30" ht="16.2" thickTop="1">
      <c r="K82" s="214"/>
      <c r="M82" s="598" t="s">
        <v>864</v>
      </c>
      <c r="N82" s="598">
        <v>1.2571545957238424</v>
      </c>
      <c r="Y82" s="880" t="s">
        <v>614</v>
      </c>
      <c r="Z82" s="880"/>
      <c r="AA82" s="880"/>
      <c r="AB82" s="880"/>
      <c r="AC82" s="880"/>
    </row>
    <row r="83" spans="11:30" ht="16.2" thickBot="1">
      <c r="K83" s="214"/>
      <c r="Y83" s="649"/>
      <c r="Z83" s="650">
        <v>114</v>
      </c>
      <c r="AA83" s="651"/>
      <c r="AB83" s="650">
        <v>114</v>
      </c>
      <c r="AC83" s="649"/>
    </row>
    <row r="84" spans="11:30">
      <c r="K84" s="214"/>
      <c r="Y84" s="652"/>
      <c r="Z84" s="652"/>
      <c r="AA84" s="652"/>
    </row>
    <row r="87" spans="11:30">
      <c r="M87" s="598" t="s">
        <v>927</v>
      </c>
      <c r="N87" s="598" t="s">
        <v>928</v>
      </c>
      <c r="O87" s="598" t="s">
        <v>929</v>
      </c>
      <c r="P87" s="598" t="s">
        <v>11</v>
      </c>
      <c r="Q87" s="598" t="s">
        <v>926</v>
      </c>
    </row>
    <row r="88" spans="11:30">
      <c r="L88" s="686"/>
      <c r="M88" s="686" t="str">
        <f>tab_elec_tranches!B1</f>
        <v>tranche1</v>
      </c>
      <c r="N88" s="686" t="str">
        <f>tab_elec_tranches!C1</f>
        <v>tranche2</v>
      </c>
      <c r="O88" s="686" t="str">
        <f>tab_elec_tranches!D1</f>
        <v>tranche3</v>
      </c>
      <c r="P88" s="686" t="str">
        <f>tab_elec_tranches!E1</f>
        <v>tranche_gdp</v>
      </c>
      <c r="Q88" s="686" t="str">
        <f>tab_elec_tranches!F1</f>
        <v>no_electr_sp</v>
      </c>
      <c r="R88" s="686"/>
      <c r="S88" s="686"/>
    </row>
    <row r="89" spans="11:30" ht="16.2" customHeight="1">
      <c r="L89" s="598">
        <f>tab_elec_tranches!A2</f>
        <v>1</v>
      </c>
      <c r="M89" s="598">
        <f>tab_elec_tranches!B2</f>
        <v>13.728934268391392</v>
      </c>
      <c r="N89" s="598">
        <f>tab_elec_tranches!C2</f>
        <v>2.2240698582069114</v>
      </c>
      <c r="O89" s="598">
        <f>tab_elec_tranches!D2</f>
        <v>0.76720863901720193</v>
      </c>
      <c r="P89" s="598">
        <f>tab_elec_tranches!E2</f>
        <v>0</v>
      </c>
      <c r="Q89" s="598">
        <f>tab_elec_tranches!F2</f>
        <v>83.2797872343845</v>
      </c>
      <c r="V89" s="623"/>
      <c r="W89" s="623"/>
      <c r="X89" s="623"/>
      <c r="Y89" s="623"/>
      <c r="Z89" s="623"/>
      <c r="AA89" s="623"/>
    </row>
    <row r="90" spans="11:30">
      <c r="L90" s="598">
        <f>tab_elec_tranches!A3</f>
        <v>2</v>
      </c>
      <c r="M90" s="598">
        <f>tab_elec_tranches!B3</f>
        <v>19.176608856651235</v>
      </c>
      <c r="N90" s="598">
        <f>tab_elec_tranches!C3</f>
        <v>4.6396413129968996</v>
      </c>
      <c r="O90" s="598">
        <f>tab_elec_tranches!D3</f>
        <v>2.9539031337272346</v>
      </c>
      <c r="P90" s="598">
        <f>tab_elec_tranches!E3</f>
        <v>0</v>
      </c>
      <c r="Q90" s="598">
        <f>tab_elec_tranches!F3</f>
        <v>73.22984669662462</v>
      </c>
    </row>
    <row r="91" spans="11:30">
      <c r="L91" s="598">
        <f>tab_elec_tranches!A4</f>
        <v>3</v>
      </c>
      <c r="M91" s="598">
        <f>tab_elec_tranches!B4</f>
        <v>21.922011140181837</v>
      </c>
      <c r="N91" s="598">
        <f>tab_elec_tranches!C4</f>
        <v>8.5772679486939545</v>
      </c>
      <c r="O91" s="598">
        <f>tab_elec_tranches!D4</f>
        <v>4.566171388924162</v>
      </c>
      <c r="P91" s="598">
        <f>tab_elec_tranches!E4</f>
        <v>8.4132656643387468E-2</v>
      </c>
      <c r="Q91" s="598">
        <f>tab_elec_tranches!F4</f>
        <v>64.850416865556653</v>
      </c>
      <c r="W91" s="623"/>
    </row>
    <row r="92" spans="11:30">
      <c r="L92" s="598">
        <f>tab_elec_tranches!A5</f>
        <v>4</v>
      </c>
      <c r="M92" s="598">
        <f>tab_elec_tranches!B5</f>
        <v>29.700843164240489</v>
      </c>
      <c r="N92" s="598">
        <f>tab_elec_tranches!C5</f>
        <v>10.888776919205515</v>
      </c>
      <c r="O92" s="598">
        <f>tab_elec_tranches!D5</f>
        <v>7.3709076133044089</v>
      </c>
      <c r="P92" s="598">
        <f>tab_elec_tranches!E5</f>
        <v>0</v>
      </c>
      <c r="Q92" s="598">
        <f>tab_elec_tranches!F5</f>
        <v>52.039472303249589</v>
      </c>
      <c r="Y92" s="609"/>
      <c r="Z92" s="609"/>
      <c r="AA92" s="609"/>
    </row>
    <row r="93" spans="11:30">
      <c r="L93" s="598">
        <f>tab_elec_tranches!A6</f>
        <v>5</v>
      </c>
      <c r="M93" s="598">
        <f>tab_elec_tranches!B6</f>
        <v>32.489648060634337</v>
      </c>
      <c r="N93" s="598">
        <f>tab_elec_tranches!C6</f>
        <v>16.134674492338739</v>
      </c>
      <c r="O93" s="598">
        <f>tab_elec_tranches!D6</f>
        <v>6.0006080699687567</v>
      </c>
      <c r="P93" s="598">
        <f>tab_elec_tranches!E6</f>
        <v>7.6483990196789864E-2</v>
      </c>
      <c r="Q93" s="598">
        <f>tab_elec_tranches!F6</f>
        <v>45.298585386861376</v>
      </c>
      <c r="Y93" s="607"/>
    </row>
    <row r="94" spans="11:30">
      <c r="L94" s="598">
        <f>tab_elec_tranches!A7</f>
        <v>6</v>
      </c>
      <c r="M94" s="598">
        <f>tab_elec_tranches!B7</f>
        <v>31.616988022640047</v>
      </c>
      <c r="N94" s="598">
        <f>tab_elec_tranches!C7</f>
        <v>18.86075046122593</v>
      </c>
      <c r="O94" s="598">
        <f>tab_elec_tranches!D7</f>
        <v>15.051986068740106</v>
      </c>
      <c r="P94" s="598">
        <f>tab_elec_tranches!E7</f>
        <v>0</v>
      </c>
      <c r="Q94" s="598">
        <f>tab_elec_tranches!F7</f>
        <v>34.470275447393917</v>
      </c>
    </row>
    <row r="95" spans="11:30">
      <c r="L95" s="598">
        <f>tab_elec_tranches!A8</f>
        <v>7</v>
      </c>
      <c r="M95" s="598">
        <f>tab_elec_tranches!B8</f>
        <v>41.101975808419716</v>
      </c>
      <c r="N95" s="598">
        <f>tab_elec_tranches!C8</f>
        <v>24.378170706322237</v>
      </c>
      <c r="O95" s="598">
        <f>tab_elec_tranches!D8</f>
        <v>10.408302204961089</v>
      </c>
      <c r="P95" s="598">
        <f>tab_elec_tranches!E8</f>
        <v>0.1504198555077739</v>
      </c>
      <c r="Q95" s="598">
        <f>tab_elec_tranches!F8</f>
        <v>23.961131424789183</v>
      </c>
    </row>
    <row r="96" spans="11:30">
      <c r="L96" s="598">
        <f>tab_elec_tranches!A9</f>
        <v>8</v>
      </c>
      <c r="M96" s="598">
        <f>tab_elec_tranches!B9</f>
        <v>32.220071553701061</v>
      </c>
      <c r="N96" s="598">
        <f>tab_elec_tranches!C9</f>
        <v>29.53288767718178</v>
      </c>
      <c r="O96" s="598">
        <f>tab_elec_tranches!D9</f>
        <v>22.169628676084368</v>
      </c>
      <c r="P96" s="598">
        <f>tab_elec_tranches!E9</f>
        <v>4.5880125666682876E-2</v>
      </c>
      <c r="Q96" s="598">
        <f>tab_elec_tranches!F9</f>
        <v>16.031531967366107</v>
      </c>
    </row>
    <row r="97" spans="6:25">
      <c r="L97" s="598">
        <f>tab_elec_tranches!A10</f>
        <v>9</v>
      </c>
      <c r="M97" s="598">
        <f>tab_elec_tranches!B10</f>
        <v>28.261205282655826</v>
      </c>
      <c r="N97" s="598">
        <f>tab_elec_tranches!C10</f>
        <v>30.937259382732108</v>
      </c>
      <c r="O97" s="598">
        <f>tab_elec_tranches!D10</f>
        <v>30.566080746550099</v>
      </c>
      <c r="P97" s="598">
        <f>tab_elec_tranches!E10</f>
        <v>0</v>
      </c>
      <c r="Q97" s="598">
        <f>tab_elec_tranches!F10</f>
        <v>10.235454588061966</v>
      </c>
      <c r="Y97" s="607"/>
    </row>
    <row r="98" spans="6:25">
      <c r="L98" s="598">
        <f>tab_elec_tranches!A11</f>
        <v>10</v>
      </c>
      <c r="M98" s="598">
        <f>tab_elec_tranches!B11</f>
        <v>23.545160522997275</v>
      </c>
      <c r="N98" s="598">
        <f>tab_elec_tranches!C11</f>
        <v>27.084504829265477</v>
      </c>
      <c r="O98" s="598">
        <f>tab_elec_tranches!D11</f>
        <v>44.629075063143311</v>
      </c>
      <c r="P98" s="598">
        <f>tab_elec_tranches!E11</f>
        <v>1.6101260146961418E-2</v>
      </c>
      <c r="Q98" s="598">
        <f>tab_elec_tranches!F11</f>
        <v>4.7251583244469657</v>
      </c>
    </row>
    <row r="100" spans="6:25">
      <c r="T100" s="686"/>
      <c r="U100" s="686"/>
    </row>
    <row r="101" spans="6:25">
      <c r="F101" s="1"/>
    </row>
    <row r="102" spans="6:25">
      <c r="F102" s="1"/>
    </row>
    <row r="103" spans="6:25">
      <c r="F103" s="1"/>
    </row>
    <row r="104" spans="6:25">
      <c r="F104" s="1"/>
      <c r="G104" s="625"/>
      <c r="H104" s="625"/>
    </row>
    <row r="105" spans="6:25">
      <c r="F105" s="1"/>
      <c r="G105" s="1"/>
      <c r="H105" s="1"/>
    </row>
    <row r="106" spans="6:25">
      <c r="F106" s="1"/>
      <c r="G106" s="1"/>
      <c r="H106" s="1"/>
    </row>
    <row r="107" spans="6:25">
      <c r="F107" s="1"/>
      <c r="G107" s="1"/>
      <c r="H107" s="1"/>
    </row>
    <row r="108" spans="6:25">
      <c r="F108" s="1"/>
      <c r="G108" s="1"/>
      <c r="H108" s="1"/>
    </row>
    <row r="109" spans="6:25">
      <c r="F109" s="1"/>
      <c r="G109" s="1"/>
      <c r="H109" s="1"/>
    </row>
    <row r="110" spans="6:25">
      <c r="F110" s="1"/>
      <c r="G110" s="1"/>
      <c r="H110" s="1"/>
    </row>
    <row r="111" spans="6:25">
      <c r="F111" s="1"/>
      <c r="G111" s="1"/>
      <c r="H111" s="598"/>
    </row>
    <row r="112" spans="6:25">
      <c r="F112" s="1"/>
      <c r="G112" s="1"/>
      <c r="H112" s="1"/>
    </row>
    <row r="113" spans="6:8">
      <c r="F113" s="1"/>
      <c r="G113" s="1"/>
      <c r="H113" s="598"/>
    </row>
    <row r="114" spans="6:8">
      <c r="F114" s="1"/>
      <c r="G114" s="1"/>
      <c r="H114" s="598"/>
    </row>
    <row r="115" spans="6:8">
      <c r="G115" s="1"/>
      <c r="H115" s="598"/>
    </row>
    <row r="116" spans="6:8">
      <c r="F116" s="1"/>
      <c r="G116" s="1"/>
      <c r="H116" s="598"/>
    </row>
    <row r="117" spans="6:8">
      <c r="F117" s="1"/>
      <c r="G117" s="1"/>
    </row>
    <row r="118" spans="6:8">
      <c r="F118" s="1"/>
      <c r="G118" s="1"/>
    </row>
    <row r="119" spans="6:8">
      <c r="G119" s="1"/>
    </row>
    <row r="120" spans="6:8">
      <c r="F120" s="1"/>
      <c r="G120" s="1"/>
    </row>
    <row r="121" spans="6:8">
      <c r="F121" s="1"/>
      <c r="G121" s="1"/>
    </row>
    <row r="122" spans="6:8">
      <c r="F122" s="1"/>
      <c r="G122" s="1"/>
    </row>
    <row r="123" spans="6:8">
      <c r="G123" s="1"/>
    </row>
    <row r="124" spans="6:8">
      <c r="F124" s="1"/>
      <c r="G124" s="1"/>
    </row>
    <row r="125" spans="6:8">
      <c r="F125" s="1"/>
      <c r="G125" s="1"/>
    </row>
    <row r="126" spans="6:8">
      <c r="F126" s="1"/>
      <c r="G126" s="1"/>
    </row>
    <row r="127" spans="6:8">
      <c r="G127" s="1"/>
    </row>
    <row r="128" spans="6:8">
      <c r="F128" s="1"/>
      <c r="G128" s="1"/>
    </row>
    <row r="129" spans="6:7">
      <c r="F129" s="1"/>
      <c r="G129" s="1"/>
    </row>
    <row r="130" spans="6:7">
      <c r="F130" s="1"/>
      <c r="G130" s="1"/>
    </row>
    <row r="131" spans="6:7">
      <c r="G131" s="1"/>
    </row>
    <row r="132" spans="6:7">
      <c r="F132" s="1"/>
      <c r="G132" s="1"/>
    </row>
    <row r="133" spans="6:7">
      <c r="F133" s="1"/>
      <c r="G133" s="1"/>
    </row>
    <row r="134" spans="6:7">
      <c r="F134" s="1"/>
      <c r="G134" s="1"/>
    </row>
    <row r="135" spans="6:7">
      <c r="G135" s="1"/>
    </row>
    <row r="136" spans="6:7">
      <c r="F136" s="1"/>
      <c r="G136" s="1"/>
    </row>
    <row r="137" spans="6:7">
      <c r="F137" s="1"/>
      <c r="G137" s="1"/>
    </row>
    <row r="138" spans="6:7">
      <c r="F138" s="1"/>
      <c r="G138" s="1"/>
    </row>
    <row r="140" spans="6:7">
      <c r="F140" s="1"/>
    </row>
    <row r="141" spans="6:7">
      <c r="F141" s="1"/>
    </row>
  </sheetData>
  <protectedRanges>
    <protectedRange sqref="Z75 Z79" name="Range1_2"/>
    <protectedRange sqref="AB50:AC52 AB66:AC68" name="Range1_2_1"/>
    <protectedRange sqref="AB54:AB56 AB70:AB72" name="Range1_2_2"/>
    <protectedRange sqref="AC54:AC56 AC70:AC72" name="Range2_1_1"/>
    <protectedRange sqref="AB59 AB79 AB75" name="Range1_1_1"/>
  </protectedRanges>
  <autoFilter ref="Y2:Z8" xr:uid="{E76E2C0D-1E88-4F7C-9E64-ACC7845FE0EC}">
    <sortState xmlns:xlrd2="http://schemas.microsoft.com/office/spreadsheetml/2017/richdata2" ref="Y3:Z8">
      <sortCondition ref="Z2:Z8"/>
    </sortState>
  </autoFilter>
  <mergeCells count="28">
    <mergeCell ref="Y73:AC73"/>
    <mergeCell ref="Y82:AC82"/>
    <mergeCell ref="O61:Q61"/>
    <mergeCell ref="AB62:AC62"/>
    <mergeCell ref="T63:T65"/>
    <mergeCell ref="U63:U65"/>
    <mergeCell ref="Y64:AC64"/>
    <mergeCell ref="T66:T68"/>
    <mergeCell ref="U66:U68"/>
    <mergeCell ref="X60:AD60"/>
    <mergeCell ref="G4:G6"/>
    <mergeCell ref="AG5:AG6"/>
    <mergeCell ref="G7:G9"/>
    <mergeCell ref="AG7:AG9"/>
    <mergeCell ref="E30:K30"/>
    <mergeCell ref="O30:U30"/>
    <mergeCell ref="X30:AD30"/>
    <mergeCell ref="G33:G35"/>
    <mergeCell ref="R33:R35"/>
    <mergeCell ref="G36:G38"/>
    <mergeCell ref="E60:K60"/>
    <mergeCell ref="O60:U60"/>
    <mergeCell ref="F1:K1"/>
    <mergeCell ref="O1:U1"/>
    <mergeCell ref="X1:AD1"/>
    <mergeCell ref="AG1:AM1"/>
    <mergeCell ref="H3:I3"/>
    <mergeCell ref="Q3:S3"/>
  </mergeCells>
  <phoneticPr fontId="50" type="noConversion"/>
  <pageMargins left="0.7" right="0.7" top="0.75" bottom="0.75" header="0.3" footer="0.3"/>
  <pageSetup orientation="portrait" horizontalDpi="0" verticalDpi="0"/>
  <drawing r:id="rId1"/>
  <legacy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9570B-507C-4BBE-9540-F201B61AA6B0}">
  <sheetPr codeName="Hoja31"/>
  <dimension ref="A1:I7921"/>
  <sheetViews>
    <sheetView workbookViewId="0">
      <selection activeCell="F7" sqref="F7"/>
    </sheetView>
  </sheetViews>
  <sheetFormatPr baseColWidth="10" defaultColWidth="8.88671875" defaultRowHeight="14.4"/>
  <cols>
    <col min="1" max="1" width="41" style="257" bestFit="1" customWidth="1"/>
    <col min="2" max="2" width="14.5546875" style="257" bestFit="1" customWidth="1"/>
    <col min="3" max="3" width="12.33203125" style="257" bestFit="1" customWidth="1"/>
    <col min="4" max="4" width="18.33203125" style="257" bestFit="1" customWidth="1"/>
    <col min="5" max="5" width="13" style="257" bestFit="1" customWidth="1"/>
    <col min="6" max="6" width="21.88671875" style="257" bestFit="1" customWidth="1"/>
    <col min="7" max="7" width="5.109375" style="257" bestFit="1" customWidth="1"/>
    <col min="8" max="8" width="11.109375" style="257" bestFit="1" customWidth="1"/>
    <col min="9" max="16384" width="8.88671875" style="257"/>
  </cols>
  <sheetData>
    <row r="1" spans="1:9">
      <c r="A1" s="257" t="s">
        <v>1099</v>
      </c>
      <c r="B1" s="257" t="s">
        <v>9020</v>
      </c>
      <c r="C1" s="257" t="s">
        <v>9021</v>
      </c>
      <c r="D1" s="257" t="s">
        <v>13954</v>
      </c>
      <c r="E1" s="257" t="s">
        <v>13955</v>
      </c>
      <c r="F1" s="257" t="s">
        <v>13956</v>
      </c>
      <c r="G1" s="257" t="s">
        <v>18166</v>
      </c>
      <c r="H1" s="257" t="s">
        <v>18167</v>
      </c>
      <c r="I1" s="257" t="s">
        <v>25872</v>
      </c>
    </row>
    <row r="2" spans="1:9">
      <c r="A2" s="257" t="s">
        <v>1100</v>
      </c>
      <c r="B2" s="9">
        <v>1</v>
      </c>
      <c r="C2" s="257" t="s">
        <v>9022</v>
      </c>
      <c r="D2" s="9">
        <v>231369.07879638672</v>
      </c>
      <c r="E2" s="9">
        <v>1721536.5294189453</v>
      </c>
      <c r="F2" s="257" t="s">
        <v>13957</v>
      </c>
      <c r="G2" s="9"/>
      <c r="H2" s="257" t="s">
        <v>18168</v>
      </c>
      <c r="I2" s="9">
        <v>1</v>
      </c>
    </row>
    <row r="3" spans="1:9">
      <c r="A3" s="257" t="s">
        <v>1101</v>
      </c>
      <c r="B3" s="9">
        <v>1</v>
      </c>
      <c r="C3" s="257" t="s">
        <v>9023</v>
      </c>
      <c r="D3" s="9">
        <v>787299551.5094192</v>
      </c>
      <c r="E3" s="9">
        <v>1721536.5294189453</v>
      </c>
      <c r="F3" s="257" t="s">
        <v>13957</v>
      </c>
      <c r="G3" s="9"/>
      <c r="H3" s="257" t="s">
        <v>18169</v>
      </c>
      <c r="I3" s="9">
        <v>1</v>
      </c>
    </row>
    <row r="4" spans="1:9">
      <c r="A4" s="257" t="s">
        <v>1102</v>
      </c>
      <c r="B4" s="9">
        <v>1</v>
      </c>
      <c r="C4" s="257" t="s">
        <v>9024</v>
      </c>
      <c r="D4" s="9">
        <v>0.1343968454009388</v>
      </c>
      <c r="E4" s="9">
        <v>1721536.5294189453</v>
      </c>
      <c r="F4" s="257" t="s">
        <v>13957</v>
      </c>
      <c r="G4" s="9"/>
      <c r="H4" s="257" t="s">
        <v>18170</v>
      </c>
      <c r="I4" s="9">
        <v>1</v>
      </c>
    </row>
    <row r="5" spans="1:9">
      <c r="A5" s="257" t="s">
        <v>1103</v>
      </c>
      <c r="B5" s="9">
        <v>1</v>
      </c>
      <c r="C5" s="257" t="s">
        <v>9025</v>
      </c>
      <c r="D5" s="9">
        <v>457.32375587472973</v>
      </c>
      <c r="E5" s="9">
        <v>1721536.5294189453</v>
      </c>
      <c r="F5" s="257" t="s">
        <v>13957</v>
      </c>
      <c r="G5" s="9"/>
      <c r="H5" s="257" t="s">
        <v>18171</v>
      </c>
      <c r="I5" s="9">
        <v>1</v>
      </c>
    </row>
    <row r="6" spans="1:9">
      <c r="A6" s="257" t="s">
        <v>1104</v>
      </c>
      <c r="B6" s="9">
        <v>1</v>
      </c>
      <c r="C6" s="257" t="s">
        <v>9026</v>
      </c>
      <c r="D6" s="9">
        <v>0</v>
      </c>
      <c r="E6" s="9">
        <v>1721536.5294189453</v>
      </c>
      <c r="F6" s="257" t="s">
        <v>13958</v>
      </c>
      <c r="G6" s="9"/>
      <c r="H6" s="257" t="s">
        <v>18172</v>
      </c>
      <c r="I6" s="9">
        <v>1</v>
      </c>
    </row>
    <row r="7" spans="1:9">
      <c r="A7" s="257" t="s">
        <v>1105</v>
      </c>
      <c r="B7" s="9">
        <v>1</v>
      </c>
      <c r="C7" s="257" t="s">
        <v>9027</v>
      </c>
      <c r="D7" s="9">
        <v>0</v>
      </c>
      <c r="E7" s="9">
        <v>1721536.5294189453</v>
      </c>
      <c r="F7" s="257" t="s">
        <v>13958</v>
      </c>
      <c r="G7" s="9"/>
      <c r="H7" s="257" t="s">
        <v>18173</v>
      </c>
      <c r="I7" s="9">
        <v>1</v>
      </c>
    </row>
    <row r="8" spans="1:9">
      <c r="A8" s="257" t="s">
        <v>1106</v>
      </c>
      <c r="B8" s="9">
        <v>1</v>
      </c>
      <c r="C8" s="257" t="s">
        <v>9028</v>
      </c>
      <c r="D8" s="9">
        <v>0</v>
      </c>
      <c r="E8" s="9">
        <v>1721536.5294189453</v>
      </c>
      <c r="F8" s="257" t="s">
        <v>13958</v>
      </c>
      <c r="G8" s="9"/>
      <c r="H8" s="257" t="s">
        <v>18174</v>
      </c>
      <c r="I8" s="9">
        <v>1</v>
      </c>
    </row>
    <row r="9" spans="1:9">
      <c r="A9" s="257" t="s">
        <v>1107</v>
      </c>
      <c r="B9" s="9">
        <v>1</v>
      </c>
      <c r="C9" s="257" t="s">
        <v>9029</v>
      </c>
      <c r="D9" s="9">
        <v>0</v>
      </c>
      <c r="E9" s="9">
        <v>1721536.5294189453</v>
      </c>
      <c r="F9" s="257" t="s">
        <v>13958</v>
      </c>
      <c r="G9" s="9"/>
      <c r="H9" s="257" t="s">
        <v>18175</v>
      </c>
      <c r="I9" s="9">
        <v>1</v>
      </c>
    </row>
    <row r="10" spans="1:9">
      <c r="A10" s="257" t="s">
        <v>1108</v>
      </c>
      <c r="B10" s="9">
        <v>1</v>
      </c>
      <c r="C10" s="257" t="s">
        <v>9030</v>
      </c>
      <c r="D10" s="9">
        <v>0</v>
      </c>
      <c r="E10" s="9">
        <v>1721536.5294189453</v>
      </c>
      <c r="F10" s="257" t="s">
        <v>13959</v>
      </c>
      <c r="G10" s="9"/>
      <c r="H10" s="257" t="s">
        <v>18176</v>
      </c>
      <c r="I10" s="9">
        <v>1</v>
      </c>
    </row>
    <row r="11" spans="1:9">
      <c r="A11" s="257" t="s">
        <v>1109</v>
      </c>
      <c r="B11" s="9">
        <v>1</v>
      </c>
      <c r="C11" s="257" t="s">
        <v>9031</v>
      </c>
      <c r="D11" s="9">
        <v>0</v>
      </c>
      <c r="E11" s="9">
        <v>1721536.5294189453</v>
      </c>
      <c r="F11" s="257" t="s">
        <v>13959</v>
      </c>
      <c r="G11" s="9"/>
      <c r="H11" s="257" t="s">
        <v>18177</v>
      </c>
      <c r="I11" s="9">
        <v>1</v>
      </c>
    </row>
    <row r="12" spans="1:9">
      <c r="A12" s="257" t="s">
        <v>1110</v>
      </c>
      <c r="B12" s="9">
        <v>1</v>
      </c>
      <c r="C12" s="257" t="s">
        <v>9032</v>
      </c>
      <c r="D12" s="9">
        <v>0</v>
      </c>
      <c r="E12" s="9">
        <v>1721536.5294189453</v>
      </c>
      <c r="F12" s="257" t="s">
        <v>13959</v>
      </c>
      <c r="G12" s="9"/>
      <c r="H12" s="257" t="s">
        <v>18178</v>
      </c>
      <c r="I12" s="9">
        <v>1</v>
      </c>
    </row>
    <row r="13" spans="1:9">
      <c r="A13" s="257" t="s">
        <v>1111</v>
      </c>
      <c r="B13" s="9">
        <v>1</v>
      </c>
      <c r="C13" s="257" t="s">
        <v>9033</v>
      </c>
      <c r="D13" s="9">
        <v>0</v>
      </c>
      <c r="E13" s="9">
        <v>1721536.5294189453</v>
      </c>
      <c r="F13" s="257" t="s">
        <v>13959</v>
      </c>
      <c r="G13" s="9"/>
      <c r="H13" s="257" t="s">
        <v>18179</v>
      </c>
      <c r="I13" s="9">
        <v>1</v>
      </c>
    </row>
    <row r="14" spans="1:9">
      <c r="A14" s="257" t="s">
        <v>1112</v>
      </c>
      <c r="B14" s="9">
        <v>1</v>
      </c>
      <c r="C14" s="257" t="s">
        <v>9034</v>
      </c>
      <c r="D14" s="9">
        <v>0</v>
      </c>
      <c r="E14" s="9">
        <v>1721536.5294189453</v>
      </c>
      <c r="F14" s="257" t="s">
        <v>13960</v>
      </c>
      <c r="G14" s="9"/>
      <c r="H14" s="257" t="s">
        <v>18180</v>
      </c>
      <c r="I14" s="9">
        <v>1</v>
      </c>
    </row>
    <row r="15" spans="1:9">
      <c r="A15" s="257" t="s">
        <v>1113</v>
      </c>
      <c r="B15" s="9">
        <v>1</v>
      </c>
      <c r="C15" s="257" t="s">
        <v>9035</v>
      </c>
      <c r="D15" s="9">
        <v>0</v>
      </c>
      <c r="E15" s="9">
        <v>1721536.5294189453</v>
      </c>
      <c r="F15" s="257" t="s">
        <v>13960</v>
      </c>
      <c r="G15" s="9"/>
      <c r="H15" s="257" t="s">
        <v>18181</v>
      </c>
      <c r="I15" s="9">
        <v>1</v>
      </c>
    </row>
    <row r="16" spans="1:9">
      <c r="A16" s="257" t="s">
        <v>1114</v>
      </c>
      <c r="B16" s="9">
        <v>1</v>
      </c>
      <c r="C16" s="257" t="s">
        <v>9036</v>
      </c>
      <c r="D16" s="9">
        <v>0</v>
      </c>
      <c r="E16" s="9">
        <v>1721536.5294189453</v>
      </c>
      <c r="F16" s="257" t="s">
        <v>13960</v>
      </c>
      <c r="G16" s="9"/>
      <c r="H16" s="257" t="s">
        <v>18182</v>
      </c>
      <c r="I16" s="9">
        <v>1</v>
      </c>
    </row>
    <row r="17" spans="1:9">
      <c r="A17" s="257" t="s">
        <v>1115</v>
      </c>
      <c r="B17" s="9">
        <v>1</v>
      </c>
      <c r="C17" s="257" t="s">
        <v>9037</v>
      </c>
      <c r="D17" s="9">
        <v>0</v>
      </c>
      <c r="E17" s="9">
        <v>1721536.5294189453</v>
      </c>
      <c r="F17" s="257" t="s">
        <v>13960</v>
      </c>
      <c r="G17" s="9"/>
      <c r="H17" s="257" t="s">
        <v>18183</v>
      </c>
      <c r="I17" s="9">
        <v>1</v>
      </c>
    </row>
    <row r="18" spans="1:9">
      <c r="A18" s="257" t="s">
        <v>1116</v>
      </c>
      <c r="B18" s="9">
        <v>1</v>
      </c>
      <c r="C18" s="257" t="s">
        <v>9038</v>
      </c>
      <c r="D18" s="9">
        <v>0</v>
      </c>
      <c r="E18" s="9">
        <v>1721536.5294189453</v>
      </c>
      <c r="F18" s="257" t="s">
        <v>13961</v>
      </c>
      <c r="G18" s="9"/>
      <c r="H18" s="257" t="s">
        <v>18184</v>
      </c>
      <c r="I18" s="9">
        <v>1</v>
      </c>
    </row>
    <row r="19" spans="1:9">
      <c r="A19" s="257" t="s">
        <v>1117</v>
      </c>
      <c r="B19" s="9">
        <v>1</v>
      </c>
      <c r="C19" s="257" t="s">
        <v>9039</v>
      </c>
      <c r="D19" s="9">
        <v>0</v>
      </c>
      <c r="E19" s="9">
        <v>1721536.5294189453</v>
      </c>
      <c r="F19" s="257" t="s">
        <v>13961</v>
      </c>
      <c r="G19" s="9"/>
      <c r="H19" s="257" t="s">
        <v>18185</v>
      </c>
      <c r="I19" s="9">
        <v>1</v>
      </c>
    </row>
    <row r="20" spans="1:9">
      <c r="A20" s="257" t="s">
        <v>1118</v>
      </c>
      <c r="B20" s="9">
        <v>1</v>
      </c>
      <c r="C20" s="257" t="s">
        <v>9040</v>
      </c>
      <c r="D20" s="9">
        <v>0</v>
      </c>
      <c r="E20" s="9">
        <v>1721536.5294189453</v>
      </c>
      <c r="F20" s="257" t="s">
        <v>13961</v>
      </c>
      <c r="G20" s="9"/>
      <c r="H20" s="257" t="s">
        <v>18186</v>
      </c>
      <c r="I20" s="9">
        <v>1</v>
      </c>
    </row>
    <row r="21" spans="1:9">
      <c r="A21" s="257" t="s">
        <v>1119</v>
      </c>
      <c r="B21" s="9">
        <v>1</v>
      </c>
      <c r="C21" s="257" t="s">
        <v>9041</v>
      </c>
      <c r="D21" s="9">
        <v>0</v>
      </c>
      <c r="E21" s="9">
        <v>1721536.5294189453</v>
      </c>
      <c r="F21" s="257" t="s">
        <v>13961</v>
      </c>
      <c r="G21" s="9"/>
      <c r="H21" s="257" t="s">
        <v>18187</v>
      </c>
      <c r="I21" s="9">
        <v>1</v>
      </c>
    </row>
    <row r="22" spans="1:9">
      <c r="A22" s="257" t="s">
        <v>1120</v>
      </c>
      <c r="B22" s="9">
        <v>1</v>
      </c>
      <c r="C22" s="257" t="s">
        <v>9042</v>
      </c>
      <c r="D22" s="9">
        <v>0</v>
      </c>
      <c r="E22" s="9">
        <v>1721536.5294189453</v>
      </c>
      <c r="F22" s="257" t="s">
        <v>13962</v>
      </c>
      <c r="G22" s="9"/>
      <c r="H22" s="257" t="s">
        <v>18188</v>
      </c>
      <c r="I22" s="9">
        <v>1</v>
      </c>
    </row>
    <row r="23" spans="1:9">
      <c r="A23" s="257" t="s">
        <v>1121</v>
      </c>
      <c r="B23" s="9">
        <v>1</v>
      </c>
      <c r="C23" s="257" t="s">
        <v>9043</v>
      </c>
      <c r="D23" s="9">
        <v>0</v>
      </c>
      <c r="E23" s="9">
        <v>1721536.5294189453</v>
      </c>
      <c r="F23" s="257" t="s">
        <v>13962</v>
      </c>
      <c r="G23" s="9"/>
      <c r="H23" s="257" t="s">
        <v>18189</v>
      </c>
      <c r="I23" s="9">
        <v>1</v>
      </c>
    </row>
    <row r="24" spans="1:9">
      <c r="A24" s="257" t="s">
        <v>1122</v>
      </c>
      <c r="B24" s="9">
        <v>1</v>
      </c>
      <c r="C24" s="257" t="s">
        <v>9044</v>
      </c>
      <c r="D24" s="9">
        <v>0</v>
      </c>
      <c r="E24" s="9">
        <v>1721536.5294189453</v>
      </c>
      <c r="F24" s="257" t="s">
        <v>13962</v>
      </c>
      <c r="G24" s="9"/>
      <c r="H24" s="257" t="s">
        <v>18190</v>
      </c>
      <c r="I24" s="9">
        <v>1</v>
      </c>
    </row>
    <row r="25" spans="1:9">
      <c r="A25" s="257" t="s">
        <v>1123</v>
      </c>
      <c r="B25" s="9">
        <v>1</v>
      </c>
      <c r="C25" s="257" t="s">
        <v>9045</v>
      </c>
      <c r="D25" s="9">
        <v>0</v>
      </c>
      <c r="E25" s="9">
        <v>1721536.5294189453</v>
      </c>
      <c r="F25" s="257" t="s">
        <v>13962</v>
      </c>
      <c r="G25" s="9"/>
      <c r="H25" s="257" t="s">
        <v>18191</v>
      </c>
      <c r="I25" s="9">
        <v>1</v>
      </c>
    </row>
    <row r="26" spans="1:9">
      <c r="A26" s="257" t="s">
        <v>1124</v>
      </c>
      <c r="B26" s="9">
        <v>1</v>
      </c>
      <c r="C26" s="257" t="s">
        <v>9046</v>
      </c>
      <c r="D26" s="9">
        <v>0</v>
      </c>
      <c r="E26" s="9">
        <v>1721536.5294189453</v>
      </c>
      <c r="F26" s="257" t="s">
        <v>13963</v>
      </c>
      <c r="G26" s="9"/>
      <c r="H26" s="257" t="s">
        <v>18192</v>
      </c>
      <c r="I26" s="9">
        <v>1</v>
      </c>
    </row>
    <row r="27" spans="1:9">
      <c r="A27" s="257" t="s">
        <v>1125</v>
      </c>
      <c r="B27" s="9">
        <v>1</v>
      </c>
      <c r="C27" s="257" t="s">
        <v>9047</v>
      </c>
      <c r="D27" s="9">
        <v>0</v>
      </c>
      <c r="E27" s="9">
        <v>1721536.5294189453</v>
      </c>
      <c r="F27" s="257" t="s">
        <v>13963</v>
      </c>
      <c r="G27" s="9"/>
      <c r="H27" s="257" t="s">
        <v>18193</v>
      </c>
      <c r="I27" s="9">
        <v>1</v>
      </c>
    </row>
    <row r="28" spans="1:9">
      <c r="A28" s="257" t="s">
        <v>1126</v>
      </c>
      <c r="B28" s="9">
        <v>1</v>
      </c>
      <c r="C28" s="257" t="s">
        <v>9048</v>
      </c>
      <c r="D28" s="9">
        <v>0</v>
      </c>
      <c r="E28" s="9">
        <v>1721536.5294189453</v>
      </c>
      <c r="F28" s="257" t="s">
        <v>13963</v>
      </c>
      <c r="G28" s="9"/>
      <c r="H28" s="257" t="s">
        <v>18194</v>
      </c>
      <c r="I28" s="9">
        <v>1</v>
      </c>
    </row>
    <row r="29" spans="1:9">
      <c r="A29" s="257" t="s">
        <v>1127</v>
      </c>
      <c r="B29" s="9">
        <v>1</v>
      </c>
      <c r="C29" s="257" t="s">
        <v>9049</v>
      </c>
      <c r="D29" s="9">
        <v>0</v>
      </c>
      <c r="E29" s="9">
        <v>1721536.5294189453</v>
      </c>
      <c r="F29" s="257" t="s">
        <v>13963</v>
      </c>
      <c r="G29" s="9"/>
      <c r="H29" s="257" t="s">
        <v>18195</v>
      </c>
      <c r="I29" s="9">
        <v>1</v>
      </c>
    </row>
    <row r="30" spans="1:9">
      <c r="A30" s="257" t="s">
        <v>1128</v>
      </c>
      <c r="B30" s="9">
        <v>1</v>
      </c>
      <c r="C30" s="257" t="s">
        <v>9050</v>
      </c>
      <c r="D30" s="9">
        <v>0</v>
      </c>
      <c r="E30" s="9">
        <v>1721536.5294189453</v>
      </c>
      <c r="F30" s="257" t="s">
        <v>13964</v>
      </c>
      <c r="G30" s="9"/>
      <c r="H30" s="257" t="s">
        <v>18196</v>
      </c>
      <c r="I30" s="9">
        <v>1</v>
      </c>
    </row>
    <row r="31" spans="1:9">
      <c r="A31" s="257" t="s">
        <v>1129</v>
      </c>
      <c r="B31" s="9">
        <v>1</v>
      </c>
      <c r="C31" s="257" t="s">
        <v>9051</v>
      </c>
      <c r="D31" s="9">
        <v>0</v>
      </c>
      <c r="E31" s="9">
        <v>1721536.5294189453</v>
      </c>
      <c r="F31" s="257" t="s">
        <v>13964</v>
      </c>
      <c r="G31" s="9"/>
      <c r="H31" s="257" t="s">
        <v>18197</v>
      </c>
      <c r="I31" s="9">
        <v>1</v>
      </c>
    </row>
    <row r="32" spans="1:9">
      <c r="A32" s="257" t="s">
        <v>1130</v>
      </c>
      <c r="B32" s="9">
        <v>1</v>
      </c>
      <c r="C32" s="257" t="s">
        <v>9052</v>
      </c>
      <c r="D32" s="9">
        <v>0</v>
      </c>
      <c r="E32" s="9">
        <v>1721536.5294189453</v>
      </c>
      <c r="F32" s="257" t="s">
        <v>13964</v>
      </c>
      <c r="G32" s="9"/>
      <c r="H32" s="257" t="s">
        <v>18198</v>
      </c>
      <c r="I32" s="9">
        <v>1</v>
      </c>
    </row>
    <row r="33" spans="1:9">
      <c r="A33" s="257" t="s">
        <v>1131</v>
      </c>
      <c r="B33" s="9">
        <v>1</v>
      </c>
      <c r="C33" s="257" t="s">
        <v>9053</v>
      </c>
      <c r="D33" s="9">
        <v>0</v>
      </c>
      <c r="E33" s="9">
        <v>1721536.5294189453</v>
      </c>
      <c r="F33" s="257" t="s">
        <v>13964</v>
      </c>
      <c r="G33" s="9"/>
      <c r="H33" s="257" t="s">
        <v>18199</v>
      </c>
      <c r="I33" s="9">
        <v>1</v>
      </c>
    </row>
    <row r="34" spans="1:9">
      <c r="A34" s="257" t="s">
        <v>1132</v>
      </c>
      <c r="B34" s="9">
        <v>1</v>
      </c>
      <c r="C34" s="257" t="s">
        <v>9054</v>
      </c>
      <c r="D34" s="9">
        <v>1721536.5294189453</v>
      </c>
      <c r="E34" s="9">
        <v>1721536.5294189453</v>
      </c>
      <c r="F34" s="257" t="s">
        <v>13965</v>
      </c>
      <c r="G34" s="9"/>
      <c r="H34" s="257" t="s">
        <v>18200</v>
      </c>
      <c r="I34" s="9">
        <v>1</v>
      </c>
    </row>
    <row r="35" spans="1:9">
      <c r="A35" s="257" t="s">
        <v>1133</v>
      </c>
      <c r="B35" s="9">
        <v>1</v>
      </c>
      <c r="C35" s="257" t="s">
        <v>9055</v>
      </c>
      <c r="D35" s="9">
        <v>2819211675.8134937</v>
      </c>
      <c r="E35" s="9">
        <v>1721536.5294189453</v>
      </c>
      <c r="F35" s="257" t="s">
        <v>13965</v>
      </c>
      <c r="G35" s="9"/>
      <c r="H35" s="257" t="s">
        <v>18201</v>
      </c>
      <c r="I35" s="9">
        <v>1</v>
      </c>
    </row>
    <row r="36" spans="1:9">
      <c r="A36" s="257" t="s">
        <v>1134</v>
      </c>
      <c r="B36" s="9">
        <v>1</v>
      </c>
      <c r="C36" s="257" t="s">
        <v>9056</v>
      </c>
      <c r="D36" s="9">
        <v>1</v>
      </c>
      <c r="E36" s="9">
        <v>1721536.5294189453</v>
      </c>
      <c r="F36" s="257" t="s">
        <v>13965</v>
      </c>
      <c r="G36" s="9"/>
      <c r="H36" s="257" t="s">
        <v>18202</v>
      </c>
      <c r="I36" s="9">
        <v>1</v>
      </c>
    </row>
    <row r="37" spans="1:9">
      <c r="A37" s="257" t="s">
        <v>1135</v>
      </c>
      <c r="B37" s="9">
        <v>1</v>
      </c>
      <c r="C37" s="257" t="s">
        <v>9057</v>
      </c>
      <c r="D37" s="9">
        <v>1637.613624594441</v>
      </c>
      <c r="E37" s="9">
        <v>1721536.5294189453</v>
      </c>
      <c r="F37" s="257" t="s">
        <v>13965</v>
      </c>
      <c r="G37" s="9"/>
      <c r="H37" s="257" t="s">
        <v>18203</v>
      </c>
      <c r="I37" s="9">
        <v>1</v>
      </c>
    </row>
    <row r="38" spans="1:9">
      <c r="A38" s="257" t="s">
        <v>1136</v>
      </c>
      <c r="B38" s="9">
        <v>1</v>
      </c>
      <c r="C38" s="257" t="s">
        <v>9058</v>
      </c>
      <c r="D38" s="9">
        <v>1721536.5294189453</v>
      </c>
      <c r="E38" s="9">
        <v>1721536.5294189453</v>
      </c>
      <c r="F38" s="257" t="s">
        <v>13966</v>
      </c>
      <c r="G38" s="9"/>
      <c r="H38" s="257" t="s">
        <v>18204</v>
      </c>
      <c r="I38" s="9">
        <v>1</v>
      </c>
    </row>
    <row r="39" spans="1:9">
      <c r="A39" s="257" t="s">
        <v>1137</v>
      </c>
      <c r="B39" s="9">
        <v>1</v>
      </c>
      <c r="C39" s="257" t="s">
        <v>9059</v>
      </c>
      <c r="D39" s="9">
        <v>2819211675.8134937</v>
      </c>
      <c r="E39" s="9">
        <v>1721536.5294189453</v>
      </c>
      <c r="F39" s="257" t="s">
        <v>13966</v>
      </c>
      <c r="G39" s="9"/>
      <c r="H39" s="257" t="s">
        <v>18205</v>
      </c>
      <c r="I39" s="9">
        <v>1</v>
      </c>
    </row>
    <row r="40" spans="1:9">
      <c r="A40" s="257" t="s">
        <v>1138</v>
      </c>
      <c r="B40" s="9">
        <v>1</v>
      </c>
      <c r="C40" s="257" t="s">
        <v>9060</v>
      </c>
      <c r="D40" s="9">
        <v>1</v>
      </c>
      <c r="E40" s="9">
        <v>1721536.5294189453</v>
      </c>
      <c r="F40" s="257" t="s">
        <v>13966</v>
      </c>
      <c r="G40" s="9"/>
      <c r="H40" s="257" t="s">
        <v>18206</v>
      </c>
      <c r="I40" s="9">
        <v>1</v>
      </c>
    </row>
    <row r="41" spans="1:9">
      <c r="A41" s="257" t="s">
        <v>1139</v>
      </c>
      <c r="B41" s="9">
        <v>1</v>
      </c>
      <c r="C41" s="257" t="s">
        <v>9061</v>
      </c>
      <c r="D41" s="9">
        <v>1637.613624594441</v>
      </c>
      <c r="E41" s="9">
        <v>1721536.5294189453</v>
      </c>
      <c r="F41" s="257" t="s">
        <v>13966</v>
      </c>
      <c r="G41" s="9"/>
      <c r="H41" s="257" t="s">
        <v>18207</v>
      </c>
      <c r="I41" s="9">
        <v>1</v>
      </c>
    </row>
    <row r="42" spans="1:9">
      <c r="A42" s="257" t="s">
        <v>1140</v>
      </c>
      <c r="B42" s="9">
        <v>1</v>
      </c>
      <c r="C42" s="257" t="s">
        <v>9062</v>
      </c>
      <c r="D42" s="9">
        <v>1721536.5294189453</v>
      </c>
      <c r="E42" s="9">
        <v>1721536.5294189453</v>
      </c>
      <c r="F42" s="257" t="s">
        <v>13967</v>
      </c>
      <c r="G42" s="9"/>
      <c r="H42" s="257" t="s">
        <v>18208</v>
      </c>
      <c r="I42" s="9">
        <v>1</v>
      </c>
    </row>
    <row r="43" spans="1:9">
      <c r="A43" s="257" t="s">
        <v>1141</v>
      </c>
      <c r="B43" s="9">
        <v>1</v>
      </c>
      <c r="C43" s="257" t="s">
        <v>9063</v>
      </c>
      <c r="D43" s="9">
        <v>2819211675.8134937</v>
      </c>
      <c r="E43" s="9">
        <v>1721536.5294189453</v>
      </c>
      <c r="F43" s="257" t="s">
        <v>13967</v>
      </c>
      <c r="G43" s="9"/>
      <c r="H43" s="257" t="s">
        <v>18209</v>
      </c>
      <c r="I43" s="9">
        <v>1</v>
      </c>
    </row>
    <row r="44" spans="1:9">
      <c r="A44" s="257" t="s">
        <v>1142</v>
      </c>
      <c r="B44" s="9">
        <v>1</v>
      </c>
      <c r="C44" s="257" t="s">
        <v>9064</v>
      </c>
      <c r="D44" s="9">
        <v>1</v>
      </c>
      <c r="E44" s="9">
        <v>1721536.5294189453</v>
      </c>
      <c r="F44" s="257" t="s">
        <v>13967</v>
      </c>
      <c r="G44" s="9"/>
      <c r="H44" s="257" t="s">
        <v>18210</v>
      </c>
      <c r="I44" s="9">
        <v>1</v>
      </c>
    </row>
    <row r="45" spans="1:9">
      <c r="A45" s="257" t="s">
        <v>1143</v>
      </c>
      <c r="B45" s="9">
        <v>1</v>
      </c>
      <c r="C45" s="257" t="s">
        <v>9065</v>
      </c>
      <c r="D45" s="9">
        <v>1637.613624594441</v>
      </c>
      <c r="E45" s="9">
        <v>1721536.5294189453</v>
      </c>
      <c r="F45" s="257" t="s">
        <v>13967</v>
      </c>
      <c r="G45" s="9"/>
      <c r="H45" s="257" t="s">
        <v>18211</v>
      </c>
      <c r="I45" s="9">
        <v>1</v>
      </c>
    </row>
    <row r="46" spans="1:9">
      <c r="A46" s="257" t="s">
        <v>1144</v>
      </c>
      <c r="B46" s="9">
        <v>1</v>
      </c>
      <c r="C46" s="257" t="s">
        <v>9066</v>
      </c>
      <c r="D46" s="9">
        <v>1721536.5294189453</v>
      </c>
      <c r="E46" s="9">
        <v>1721536.5294189453</v>
      </c>
      <c r="F46" s="257" t="s">
        <v>13968</v>
      </c>
      <c r="G46" s="9"/>
      <c r="H46" s="257" t="s">
        <v>18212</v>
      </c>
      <c r="I46" s="9">
        <v>1</v>
      </c>
    </row>
    <row r="47" spans="1:9">
      <c r="A47" s="257" t="s">
        <v>1145</v>
      </c>
      <c r="B47" s="9">
        <v>1</v>
      </c>
      <c r="C47" s="257" t="s">
        <v>9067</v>
      </c>
      <c r="D47" s="9">
        <v>989262400.12555075</v>
      </c>
      <c r="E47" s="9">
        <v>1721536.5294189453</v>
      </c>
      <c r="F47" s="257" t="s">
        <v>13968</v>
      </c>
      <c r="G47" s="9"/>
      <c r="H47" s="257" t="s">
        <v>18213</v>
      </c>
      <c r="I47" s="9">
        <v>1</v>
      </c>
    </row>
    <row r="48" spans="1:9">
      <c r="A48" s="257" t="s">
        <v>1146</v>
      </c>
      <c r="B48" s="9">
        <v>1</v>
      </c>
      <c r="C48" s="257" t="s">
        <v>9068</v>
      </c>
      <c r="D48" s="9">
        <v>1</v>
      </c>
      <c r="E48" s="9">
        <v>1721536.5294189453</v>
      </c>
      <c r="F48" s="257" t="s">
        <v>13968</v>
      </c>
      <c r="G48" s="9"/>
      <c r="H48" s="257" t="s">
        <v>18214</v>
      </c>
      <c r="I48" s="9">
        <v>1</v>
      </c>
    </row>
    <row r="49" spans="1:9">
      <c r="A49" s="257" t="s">
        <v>1147</v>
      </c>
      <c r="B49" s="9">
        <v>1</v>
      </c>
      <c r="C49" s="257" t="s">
        <v>9069</v>
      </c>
      <c r="D49" s="9">
        <v>574.6392151547592</v>
      </c>
      <c r="E49" s="9">
        <v>1721536.5294189453</v>
      </c>
      <c r="F49" s="257" t="s">
        <v>13968</v>
      </c>
      <c r="G49" s="9"/>
      <c r="H49" s="257" t="s">
        <v>18215</v>
      </c>
      <c r="I49" s="9">
        <v>1</v>
      </c>
    </row>
    <row r="50" spans="1:9">
      <c r="A50" s="257" t="s">
        <v>1148</v>
      </c>
      <c r="B50" s="9">
        <v>1</v>
      </c>
      <c r="C50" s="257" t="s">
        <v>9070</v>
      </c>
      <c r="D50" s="9">
        <v>240333.54522705078</v>
      </c>
      <c r="E50" s="9">
        <v>1721536.5294189453</v>
      </c>
      <c r="F50" s="257" t="s">
        <v>13969</v>
      </c>
      <c r="G50" s="9"/>
      <c r="H50" s="257" t="s">
        <v>18216</v>
      </c>
      <c r="I50" s="9">
        <v>1</v>
      </c>
    </row>
    <row r="51" spans="1:9">
      <c r="A51" s="257" t="s">
        <v>1149</v>
      </c>
      <c r="B51" s="9">
        <v>1</v>
      </c>
      <c r="C51" s="257" t="s">
        <v>9071</v>
      </c>
      <c r="D51" s="9">
        <v>369768223.86138141</v>
      </c>
      <c r="E51" s="9">
        <v>1721536.5294189453</v>
      </c>
      <c r="F51" s="257" t="s">
        <v>13969</v>
      </c>
      <c r="G51" s="9"/>
      <c r="H51" s="257" t="s">
        <v>18217</v>
      </c>
      <c r="I51" s="9">
        <v>1</v>
      </c>
    </row>
    <row r="52" spans="1:9">
      <c r="A52" s="257" t="s">
        <v>1150</v>
      </c>
      <c r="B52" s="9">
        <v>1</v>
      </c>
      <c r="C52" s="257" t="s">
        <v>9072</v>
      </c>
      <c r="D52" s="9">
        <v>0.13960409269280413</v>
      </c>
      <c r="E52" s="9">
        <v>1721536.5294189453</v>
      </c>
      <c r="F52" s="257" t="s">
        <v>13969</v>
      </c>
      <c r="G52" s="9"/>
      <c r="H52" s="257" t="s">
        <v>18218</v>
      </c>
      <c r="I52" s="9">
        <v>1</v>
      </c>
    </row>
    <row r="53" spans="1:9">
      <c r="A53" s="257" t="s">
        <v>1151</v>
      </c>
      <c r="B53" s="9">
        <v>1</v>
      </c>
      <c r="C53" s="257" t="s">
        <v>9073</v>
      </c>
      <c r="D53" s="9">
        <v>214.78964723809023</v>
      </c>
      <c r="E53" s="9">
        <v>1721536.5294189453</v>
      </c>
      <c r="F53" s="257" t="s">
        <v>13969</v>
      </c>
      <c r="G53" s="9"/>
      <c r="H53" s="257" t="s">
        <v>18219</v>
      </c>
      <c r="I53" s="9">
        <v>1</v>
      </c>
    </row>
    <row r="54" spans="1:9">
      <c r="A54" s="257" t="s">
        <v>1152</v>
      </c>
      <c r="B54" s="9">
        <v>1</v>
      </c>
      <c r="C54" s="257" t="s">
        <v>9074</v>
      </c>
      <c r="D54" s="9">
        <v>1721536.5294189453</v>
      </c>
      <c r="E54" s="9">
        <v>1721536.5294189453</v>
      </c>
      <c r="F54" s="257" t="s">
        <v>13970</v>
      </c>
      <c r="G54" s="9"/>
      <c r="H54" s="257" t="s">
        <v>18220</v>
      </c>
      <c r="I54" s="9">
        <v>1</v>
      </c>
    </row>
    <row r="55" spans="1:9">
      <c r="A55" s="257" t="s">
        <v>1153</v>
      </c>
      <c r="B55" s="9">
        <v>1</v>
      </c>
      <c r="C55" s="257" t="s">
        <v>9075</v>
      </c>
      <c r="D55" s="9">
        <v>3188979899.6748753</v>
      </c>
      <c r="E55" s="9">
        <v>1721536.5294189453</v>
      </c>
      <c r="F55" s="257" t="s">
        <v>13970</v>
      </c>
      <c r="G55" s="9"/>
      <c r="H55" s="257" t="s">
        <v>18221</v>
      </c>
      <c r="I55" s="9">
        <v>1</v>
      </c>
    </row>
    <row r="56" spans="1:9">
      <c r="A56" s="257" t="s">
        <v>1154</v>
      </c>
      <c r="B56" s="9">
        <v>1</v>
      </c>
      <c r="C56" s="257" t="s">
        <v>9076</v>
      </c>
      <c r="D56" s="9">
        <v>1</v>
      </c>
      <c r="E56" s="9">
        <v>1721536.5294189453</v>
      </c>
      <c r="F56" s="257" t="s">
        <v>13970</v>
      </c>
      <c r="G56" s="9"/>
      <c r="H56" s="257" t="s">
        <v>18222</v>
      </c>
      <c r="I56" s="9">
        <v>1</v>
      </c>
    </row>
    <row r="57" spans="1:9">
      <c r="A57" s="257" t="s">
        <v>1155</v>
      </c>
      <c r="B57" s="9">
        <v>1</v>
      </c>
      <c r="C57" s="257" t="s">
        <v>9077</v>
      </c>
      <c r="D57" s="9">
        <v>1852.4032718325313</v>
      </c>
      <c r="E57" s="9">
        <v>1721536.5294189453</v>
      </c>
      <c r="F57" s="257" t="s">
        <v>13970</v>
      </c>
      <c r="G57" s="9"/>
      <c r="H57" s="257" t="s">
        <v>18223</v>
      </c>
      <c r="I57" s="9">
        <v>1</v>
      </c>
    </row>
    <row r="58" spans="1:9">
      <c r="A58" s="257" t="s">
        <v>1156</v>
      </c>
      <c r="B58" s="9">
        <v>1</v>
      </c>
      <c r="C58" s="257" t="s">
        <v>9078</v>
      </c>
      <c r="D58" s="9">
        <v>1721536.5294189453</v>
      </c>
      <c r="E58" s="9">
        <v>1721536.5294189453</v>
      </c>
      <c r="F58" s="257" t="s">
        <v>13971</v>
      </c>
      <c r="G58" s="9"/>
      <c r="H58" s="257" t="s">
        <v>18224</v>
      </c>
      <c r="I58" s="9">
        <v>1</v>
      </c>
    </row>
    <row r="59" spans="1:9">
      <c r="A59" s="257" t="s">
        <v>1157</v>
      </c>
      <c r="B59" s="9">
        <v>1</v>
      </c>
      <c r="C59" s="257" t="s">
        <v>9079</v>
      </c>
      <c r="D59" s="9">
        <v>3188979899.6748753</v>
      </c>
      <c r="E59" s="9">
        <v>1721536.5294189453</v>
      </c>
      <c r="F59" s="257" t="s">
        <v>13971</v>
      </c>
      <c r="G59" s="9"/>
      <c r="H59" s="257" t="s">
        <v>18225</v>
      </c>
      <c r="I59" s="9">
        <v>1</v>
      </c>
    </row>
    <row r="60" spans="1:9">
      <c r="A60" s="257" t="s">
        <v>1158</v>
      </c>
      <c r="B60" s="9">
        <v>1</v>
      </c>
      <c r="C60" s="257" t="s">
        <v>9080</v>
      </c>
      <c r="D60" s="9">
        <v>1</v>
      </c>
      <c r="E60" s="9">
        <v>1721536.5294189453</v>
      </c>
      <c r="F60" s="257" t="s">
        <v>13971</v>
      </c>
      <c r="G60" s="9"/>
      <c r="H60" s="257" t="s">
        <v>18226</v>
      </c>
      <c r="I60" s="9">
        <v>1</v>
      </c>
    </row>
    <row r="61" spans="1:9">
      <c r="A61" s="257" t="s">
        <v>1159</v>
      </c>
      <c r="B61" s="9">
        <v>1</v>
      </c>
      <c r="C61" s="257" t="s">
        <v>9081</v>
      </c>
      <c r="D61" s="9">
        <v>1852.4032718325313</v>
      </c>
      <c r="E61" s="9">
        <v>1721536.5294189453</v>
      </c>
      <c r="F61" s="257" t="s">
        <v>13971</v>
      </c>
      <c r="G61" s="9"/>
      <c r="H61" s="257" t="s">
        <v>18227</v>
      </c>
      <c r="I61" s="9">
        <v>1</v>
      </c>
    </row>
    <row r="62" spans="1:9">
      <c r="A62" s="257" t="s">
        <v>1160</v>
      </c>
      <c r="B62" s="9">
        <v>1</v>
      </c>
      <c r="C62" s="257" t="s">
        <v>9082</v>
      </c>
      <c r="D62" s="9">
        <v>1721536.5294189453</v>
      </c>
      <c r="E62" s="9">
        <v>1721536.5294189453</v>
      </c>
      <c r="F62" s="257" t="s">
        <v>13972</v>
      </c>
      <c r="G62" s="9"/>
      <c r="H62" s="257" t="s">
        <v>18228</v>
      </c>
      <c r="I62" s="9">
        <v>1</v>
      </c>
    </row>
    <row r="63" spans="1:9">
      <c r="A63" s="257" t="s">
        <v>1161</v>
      </c>
      <c r="B63" s="9">
        <v>1</v>
      </c>
      <c r="C63" s="257" t="s">
        <v>9083</v>
      </c>
      <c r="D63" s="9">
        <v>1405032861.664083</v>
      </c>
      <c r="E63" s="9">
        <v>1721536.5294189453</v>
      </c>
      <c r="F63" s="257" t="s">
        <v>13972</v>
      </c>
      <c r="G63" s="9"/>
      <c r="H63" s="257" t="s">
        <v>18229</v>
      </c>
      <c r="I63" s="9">
        <v>1</v>
      </c>
    </row>
    <row r="64" spans="1:9">
      <c r="A64" s="257" t="s">
        <v>1162</v>
      </c>
      <c r="B64" s="9">
        <v>1</v>
      </c>
      <c r="C64" s="257" t="s">
        <v>9084</v>
      </c>
      <c r="D64" s="9">
        <v>1</v>
      </c>
      <c r="E64" s="9">
        <v>1721536.5294189453</v>
      </c>
      <c r="F64" s="257" t="s">
        <v>13972</v>
      </c>
      <c r="G64" s="9"/>
      <c r="H64" s="257" t="s">
        <v>18230</v>
      </c>
      <c r="I64" s="9">
        <v>1</v>
      </c>
    </row>
    <row r="65" spans="1:9">
      <c r="A65" s="257" t="s">
        <v>1163</v>
      </c>
      <c r="B65" s="9">
        <v>1</v>
      </c>
      <c r="C65" s="257" t="s">
        <v>9085</v>
      </c>
      <c r="D65" s="9">
        <v>816.1504781651721</v>
      </c>
      <c r="E65" s="9">
        <v>1721536.5294189453</v>
      </c>
      <c r="F65" s="257" t="s">
        <v>13972</v>
      </c>
      <c r="G65" s="9"/>
      <c r="H65" s="257" t="s">
        <v>18231</v>
      </c>
      <c r="I65" s="9">
        <v>1</v>
      </c>
    </row>
    <row r="66" spans="1:9">
      <c r="A66" s="257" t="s">
        <v>1164</v>
      </c>
      <c r="B66" s="9">
        <v>1</v>
      </c>
      <c r="C66" s="257" t="s">
        <v>9086</v>
      </c>
      <c r="D66" s="9">
        <v>1721536.5294189453</v>
      </c>
      <c r="E66" s="9">
        <v>1721536.5294189453</v>
      </c>
      <c r="F66" s="257" t="s">
        <v>13973</v>
      </c>
      <c r="G66" s="9"/>
      <c r="H66" s="257" t="s">
        <v>18232</v>
      </c>
      <c r="I66" s="9">
        <v>1</v>
      </c>
    </row>
    <row r="67" spans="1:9">
      <c r="A67" s="257" t="s">
        <v>1165</v>
      </c>
      <c r="B67" s="9">
        <v>1</v>
      </c>
      <c r="C67" s="257" t="s">
        <v>9087</v>
      </c>
      <c r="D67" s="9">
        <v>1405032861.664083</v>
      </c>
      <c r="E67" s="9">
        <v>1721536.5294189453</v>
      </c>
      <c r="F67" s="257" t="s">
        <v>13973</v>
      </c>
      <c r="G67" s="9"/>
      <c r="H67" s="257" t="s">
        <v>18233</v>
      </c>
      <c r="I67" s="9">
        <v>1</v>
      </c>
    </row>
    <row r="68" spans="1:9">
      <c r="A68" s="257" t="s">
        <v>1166</v>
      </c>
      <c r="B68" s="9">
        <v>1</v>
      </c>
      <c r="C68" s="257" t="s">
        <v>9088</v>
      </c>
      <c r="D68" s="9">
        <v>1</v>
      </c>
      <c r="E68" s="9">
        <v>1721536.5294189453</v>
      </c>
      <c r="F68" s="257" t="s">
        <v>13973</v>
      </c>
      <c r="G68" s="9"/>
      <c r="H68" s="257" t="s">
        <v>18234</v>
      </c>
      <c r="I68" s="9">
        <v>1</v>
      </c>
    </row>
    <row r="69" spans="1:9">
      <c r="A69" s="257" t="s">
        <v>1167</v>
      </c>
      <c r="B69" s="9">
        <v>1</v>
      </c>
      <c r="C69" s="257" t="s">
        <v>9089</v>
      </c>
      <c r="D69" s="9">
        <v>816.1504781651721</v>
      </c>
      <c r="E69" s="9">
        <v>1721536.5294189453</v>
      </c>
      <c r="F69" s="257" t="s">
        <v>13973</v>
      </c>
      <c r="G69" s="9"/>
      <c r="H69" s="257" t="s">
        <v>18235</v>
      </c>
      <c r="I69" s="9">
        <v>1</v>
      </c>
    </row>
    <row r="70" spans="1:9">
      <c r="A70" s="257" t="s">
        <v>1168</v>
      </c>
      <c r="B70" s="9">
        <v>1</v>
      </c>
      <c r="C70" s="257" t="s">
        <v>9090</v>
      </c>
      <c r="D70" s="9">
        <v>1721536.5294189453</v>
      </c>
      <c r="E70" s="9">
        <v>1721536.5294189453</v>
      </c>
      <c r="F70" s="257" t="s">
        <v>13974</v>
      </c>
      <c r="G70" s="9"/>
      <c r="H70" s="257" t="s">
        <v>18236</v>
      </c>
      <c r="I70" s="9">
        <v>1</v>
      </c>
    </row>
    <row r="71" spans="1:9">
      <c r="A71" s="257" t="s">
        <v>1169</v>
      </c>
      <c r="B71" s="9">
        <v>1</v>
      </c>
      <c r="C71" s="257" t="s">
        <v>9091</v>
      </c>
      <c r="D71" s="9">
        <v>1414178814.149411</v>
      </c>
      <c r="E71" s="9">
        <v>1721536.5294189453</v>
      </c>
      <c r="F71" s="257" t="s">
        <v>13974</v>
      </c>
      <c r="G71" s="9"/>
      <c r="H71" s="257" t="s">
        <v>18237</v>
      </c>
      <c r="I71" s="9">
        <v>1</v>
      </c>
    </row>
    <row r="72" spans="1:9">
      <c r="A72" s="257" t="s">
        <v>1170</v>
      </c>
      <c r="B72" s="9">
        <v>1</v>
      </c>
      <c r="C72" s="257" t="s">
        <v>9092</v>
      </c>
      <c r="D72" s="9">
        <v>1</v>
      </c>
      <c r="E72" s="9">
        <v>1721536.5294189453</v>
      </c>
      <c r="F72" s="257" t="s">
        <v>13974</v>
      </c>
      <c r="G72" s="9"/>
      <c r="H72" s="257" t="s">
        <v>18238</v>
      </c>
      <c r="I72" s="9">
        <v>1</v>
      </c>
    </row>
    <row r="73" spans="1:9">
      <c r="A73" s="257" t="s">
        <v>1171</v>
      </c>
      <c r="B73" s="9">
        <v>1</v>
      </c>
      <c r="C73" s="257" t="s">
        <v>9093</v>
      </c>
      <c r="D73" s="9">
        <v>821.46314642926916</v>
      </c>
      <c r="E73" s="9">
        <v>1721536.5294189453</v>
      </c>
      <c r="F73" s="257" t="s">
        <v>13974</v>
      </c>
      <c r="G73" s="9"/>
      <c r="H73" s="257" t="s">
        <v>18239</v>
      </c>
      <c r="I73" s="9">
        <v>1</v>
      </c>
    </row>
    <row r="74" spans="1:9">
      <c r="A74" s="257" t="s">
        <v>1172</v>
      </c>
      <c r="B74" s="9">
        <v>1</v>
      </c>
      <c r="C74" s="257" t="s">
        <v>9094</v>
      </c>
      <c r="D74" s="9">
        <v>1721536.5294189453</v>
      </c>
      <c r="E74" s="9">
        <v>1721536.5294189453</v>
      </c>
      <c r="F74" s="257" t="s">
        <v>13975</v>
      </c>
      <c r="G74" s="9"/>
      <c r="H74" s="257" t="s">
        <v>18240</v>
      </c>
      <c r="I74" s="9">
        <v>1</v>
      </c>
    </row>
    <row r="75" spans="1:9">
      <c r="A75" s="257" t="s">
        <v>1173</v>
      </c>
      <c r="B75" s="9">
        <v>1</v>
      </c>
      <c r="C75" s="257" t="s">
        <v>9095</v>
      </c>
      <c r="D75" s="9">
        <v>1776561951.6349699</v>
      </c>
      <c r="E75" s="9">
        <v>1721536.5294189453</v>
      </c>
      <c r="F75" s="257" t="s">
        <v>13975</v>
      </c>
      <c r="G75" s="9"/>
      <c r="H75" s="257" t="s">
        <v>18241</v>
      </c>
      <c r="I75" s="9">
        <v>1</v>
      </c>
    </row>
    <row r="76" spans="1:9">
      <c r="A76" s="257" t="s">
        <v>1174</v>
      </c>
      <c r="B76" s="9">
        <v>1</v>
      </c>
      <c r="C76" s="257" t="s">
        <v>9096</v>
      </c>
      <c r="D76" s="9">
        <v>1</v>
      </c>
      <c r="E76" s="9">
        <v>1721536.5294189453</v>
      </c>
      <c r="F76" s="257" t="s">
        <v>13975</v>
      </c>
      <c r="G76" s="9"/>
      <c r="H76" s="257" t="s">
        <v>18242</v>
      </c>
      <c r="I76" s="9">
        <v>1</v>
      </c>
    </row>
    <row r="77" spans="1:9">
      <c r="A77" s="257" t="s">
        <v>1175</v>
      </c>
      <c r="B77" s="9">
        <v>1</v>
      </c>
      <c r="C77" s="257" t="s">
        <v>9097</v>
      </c>
      <c r="D77" s="9">
        <v>1031.9629710294889</v>
      </c>
      <c r="E77" s="9">
        <v>1721536.5294189453</v>
      </c>
      <c r="F77" s="257" t="s">
        <v>13975</v>
      </c>
      <c r="G77" s="9"/>
      <c r="H77" s="257" t="s">
        <v>18243</v>
      </c>
      <c r="I77" s="9">
        <v>1</v>
      </c>
    </row>
    <row r="78" spans="1:9">
      <c r="A78" s="257" t="s">
        <v>1176</v>
      </c>
      <c r="B78" s="9">
        <v>1</v>
      </c>
      <c r="C78" s="257" t="s">
        <v>9098</v>
      </c>
      <c r="D78" s="9">
        <v>287844.57055664063</v>
      </c>
      <c r="E78" s="9">
        <v>1721536.5294189453</v>
      </c>
      <c r="F78" s="257" t="s">
        <v>13976</v>
      </c>
      <c r="G78" s="9"/>
      <c r="H78" s="257" t="s">
        <v>18244</v>
      </c>
      <c r="I78" s="9">
        <v>1</v>
      </c>
    </row>
    <row r="79" spans="1:9">
      <c r="A79" s="257" t="s">
        <v>1177</v>
      </c>
      <c r="B79" s="9">
        <v>1</v>
      </c>
      <c r="C79" s="257" t="s">
        <v>9099</v>
      </c>
      <c r="D79" s="9">
        <v>936998342.48003411</v>
      </c>
      <c r="E79" s="9">
        <v>1721536.5294189453</v>
      </c>
      <c r="F79" s="257" t="s">
        <v>13976</v>
      </c>
      <c r="G79" s="9"/>
      <c r="H79" s="257" t="s">
        <v>18245</v>
      </c>
      <c r="I79" s="9">
        <v>1</v>
      </c>
    </row>
    <row r="80" spans="1:9">
      <c r="A80" s="257" t="s">
        <v>1178</v>
      </c>
      <c r="B80" s="9">
        <v>1</v>
      </c>
      <c r="C80" s="257" t="s">
        <v>9100</v>
      </c>
      <c r="D80" s="9">
        <v>0.16720212765615505</v>
      </c>
      <c r="E80" s="9">
        <v>1721536.5294189453</v>
      </c>
      <c r="F80" s="257" t="s">
        <v>13976</v>
      </c>
      <c r="G80" s="9"/>
      <c r="H80" s="257" t="s">
        <v>18246</v>
      </c>
      <c r="I80" s="9">
        <v>1</v>
      </c>
    </row>
    <row r="81" spans="1:9">
      <c r="A81" s="257" t="s">
        <v>1179</v>
      </c>
      <c r="B81" s="9">
        <v>1</v>
      </c>
      <c r="C81" s="257" t="s">
        <v>9101</v>
      </c>
      <c r="D81" s="9">
        <v>544.28025572962474</v>
      </c>
      <c r="E81" s="9">
        <v>1721536.5294189453</v>
      </c>
      <c r="F81" s="257" t="s">
        <v>13976</v>
      </c>
      <c r="G81" s="9"/>
      <c r="H81" s="257" t="s">
        <v>18247</v>
      </c>
      <c r="I81" s="9">
        <v>1</v>
      </c>
    </row>
    <row r="82" spans="1:9">
      <c r="A82" s="257" t="s">
        <v>1180</v>
      </c>
      <c r="B82" s="9">
        <v>1</v>
      </c>
      <c r="C82" s="257" t="s">
        <v>9102</v>
      </c>
      <c r="D82" s="9">
        <v>1721536.5294189453</v>
      </c>
      <c r="E82" s="9">
        <v>1721536.5294189453</v>
      </c>
      <c r="F82" s="257" t="s">
        <v>13977</v>
      </c>
      <c r="G82" s="9"/>
      <c r="H82" s="257" t="s">
        <v>18248</v>
      </c>
      <c r="I82" s="9">
        <v>1</v>
      </c>
    </row>
    <row r="83" spans="1:9">
      <c r="A83" s="257" t="s">
        <v>1181</v>
      </c>
      <c r="B83" s="9">
        <v>1</v>
      </c>
      <c r="C83" s="257" t="s">
        <v>9103</v>
      </c>
      <c r="D83" s="9">
        <v>475419605.55987114</v>
      </c>
      <c r="E83" s="9">
        <v>1721536.5294189453</v>
      </c>
      <c r="F83" s="257" t="s">
        <v>13977</v>
      </c>
      <c r="G83" s="9"/>
      <c r="H83" s="257" t="s">
        <v>18249</v>
      </c>
      <c r="I83" s="9">
        <v>1</v>
      </c>
    </row>
    <row r="84" spans="1:9">
      <c r="A84" s="257" t="s">
        <v>1182</v>
      </c>
      <c r="B84" s="9">
        <v>1</v>
      </c>
      <c r="C84" s="257" t="s">
        <v>9104</v>
      </c>
      <c r="D84" s="9">
        <v>1</v>
      </c>
      <c r="E84" s="9">
        <v>1721536.5294189453</v>
      </c>
      <c r="F84" s="257" t="s">
        <v>13977</v>
      </c>
      <c r="G84" s="9"/>
      <c r="H84" s="257" t="s">
        <v>18250</v>
      </c>
      <c r="I84" s="9">
        <v>1</v>
      </c>
    </row>
    <row r="85" spans="1:9">
      <c r="A85" s="257" t="s">
        <v>1183</v>
      </c>
      <c r="B85" s="9">
        <v>1</v>
      </c>
      <c r="C85" s="257" t="s">
        <v>9105</v>
      </c>
      <c r="D85" s="9">
        <v>276.16004507341779</v>
      </c>
      <c r="E85" s="9">
        <v>1721536.5294189453</v>
      </c>
      <c r="F85" s="257" t="s">
        <v>13977</v>
      </c>
      <c r="G85" s="9"/>
      <c r="H85" s="257" t="s">
        <v>18251</v>
      </c>
      <c r="I85" s="9">
        <v>1</v>
      </c>
    </row>
    <row r="86" spans="1:9">
      <c r="A86" s="257" t="s">
        <v>1184</v>
      </c>
      <c r="B86" s="9">
        <v>1</v>
      </c>
      <c r="C86" s="257" t="s">
        <v>9106</v>
      </c>
      <c r="D86" s="9">
        <v>1721536.5294189453</v>
      </c>
      <c r="E86" s="9">
        <v>1721536.5294189453</v>
      </c>
      <c r="F86" s="257" t="s">
        <v>13978</v>
      </c>
      <c r="G86" s="9"/>
      <c r="H86" s="257" t="s">
        <v>18252</v>
      </c>
      <c r="I86" s="9">
        <v>1</v>
      </c>
    </row>
    <row r="87" spans="1:9">
      <c r="A87" s="257" t="s">
        <v>1185</v>
      </c>
      <c r="B87" s="9">
        <v>1</v>
      </c>
      <c r="C87" s="257" t="s">
        <v>9107</v>
      </c>
      <c r="D87" s="9">
        <v>1412417948.0399053</v>
      </c>
      <c r="E87" s="9">
        <v>1721536.5294189453</v>
      </c>
      <c r="F87" s="257" t="s">
        <v>13978</v>
      </c>
      <c r="G87" s="9"/>
      <c r="H87" s="257" t="s">
        <v>18253</v>
      </c>
      <c r="I87" s="9">
        <v>1</v>
      </c>
    </row>
    <row r="88" spans="1:9">
      <c r="A88" s="257" t="s">
        <v>1186</v>
      </c>
      <c r="B88" s="9">
        <v>1</v>
      </c>
      <c r="C88" s="257" t="s">
        <v>9108</v>
      </c>
      <c r="D88" s="9">
        <v>1</v>
      </c>
      <c r="E88" s="9">
        <v>1721536.5294189453</v>
      </c>
      <c r="F88" s="257" t="s">
        <v>13978</v>
      </c>
      <c r="G88" s="9"/>
      <c r="H88" s="257" t="s">
        <v>18254</v>
      </c>
      <c r="I88" s="9">
        <v>1</v>
      </c>
    </row>
    <row r="89" spans="1:9">
      <c r="A89" s="257" t="s">
        <v>1187</v>
      </c>
      <c r="B89" s="9">
        <v>1</v>
      </c>
      <c r="C89" s="257" t="s">
        <v>9109</v>
      </c>
      <c r="D89" s="9">
        <v>820.44030080304253</v>
      </c>
      <c r="E89" s="9">
        <v>1721536.5294189453</v>
      </c>
      <c r="F89" s="257" t="s">
        <v>13978</v>
      </c>
      <c r="G89" s="9"/>
      <c r="H89" s="257" t="s">
        <v>18255</v>
      </c>
      <c r="I89" s="9">
        <v>1</v>
      </c>
    </row>
    <row r="90" spans="1:9">
      <c r="A90" s="257" t="s">
        <v>1188</v>
      </c>
      <c r="B90" s="9">
        <v>1</v>
      </c>
      <c r="C90" s="257" t="s">
        <v>9110</v>
      </c>
      <c r="D90" s="9">
        <v>13207.776977539063</v>
      </c>
      <c r="E90" s="9">
        <v>1721536.5294189453</v>
      </c>
      <c r="F90" s="257" t="s">
        <v>13979</v>
      </c>
      <c r="G90" s="9"/>
      <c r="H90" s="257" t="s">
        <v>18256</v>
      </c>
      <c r="I90" s="9">
        <v>1</v>
      </c>
    </row>
    <row r="91" spans="1:9">
      <c r="A91" s="257" t="s">
        <v>1189</v>
      </c>
      <c r="B91" s="9">
        <v>1</v>
      </c>
      <c r="C91" s="257" t="s">
        <v>9111</v>
      </c>
      <c r="D91" s="9">
        <v>7385086.3758223196</v>
      </c>
      <c r="E91" s="9">
        <v>1721536.5294189453</v>
      </c>
      <c r="F91" s="257" t="s">
        <v>13979</v>
      </c>
      <c r="G91" s="9"/>
      <c r="H91" s="257" t="s">
        <v>18257</v>
      </c>
      <c r="I91" s="9">
        <v>1</v>
      </c>
    </row>
    <row r="92" spans="1:9">
      <c r="A92" s="257" t="s">
        <v>1190</v>
      </c>
      <c r="B92" s="9">
        <v>1</v>
      </c>
      <c r="C92" s="257" t="s">
        <v>9112</v>
      </c>
      <c r="D92" s="9">
        <v>7.6720863901720195E-3</v>
      </c>
      <c r="E92" s="9">
        <v>1721536.5294189453</v>
      </c>
      <c r="F92" s="257" t="s">
        <v>13979</v>
      </c>
      <c r="G92" s="9"/>
      <c r="H92" s="257" t="s">
        <v>18258</v>
      </c>
      <c r="I92" s="9">
        <v>1</v>
      </c>
    </row>
    <row r="93" spans="1:9">
      <c r="A93" s="257" t="s">
        <v>1191</v>
      </c>
      <c r="B93" s="9">
        <v>1</v>
      </c>
      <c r="C93" s="257" t="s">
        <v>9113</v>
      </c>
      <c r="D93" s="9">
        <v>4.2898226378704498</v>
      </c>
      <c r="E93" s="9">
        <v>1721536.5294189453</v>
      </c>
      <c r="F93" s="257" t="s">
        <v>13979</v>
      </c>
      <c r="G93" s="9"/>
      <c r="H93" s="257" t="s">
        <v>18259</v>
      </c>
      <c r="I93" s="9">
        <v>1</v>
      </c>
    </row>
    <row r="94" spans="1:9">
      <c r="A94" s="257" t="s">
        <v>1192</v>
      </c>
      <c r="B94" s="9">
        <v>1</v>
      </c>
      <c r="C94" s="257" t="s">
        <v>9114</v>
      </c>
      <c r="D94" s="9">
        <v>231369.07879638672</v>
      </c>
      <c r="E94" s="9">
        <v>1721536.5294189453</v>
      </c>
      <c r="F94" s="257" t="s">
        <v>13980</v>
      </c>
      <c r="G94" s="9"/>
      <c r="H94" s="257" t="s">
        <v>18260</v>
      </c>
      <c r="I94" s="9">
        <v>1</v>
      </c>
    </row>
    <row r="95" spans="1:9">
      <c r="A95" s="257" t="s">
        <v>1193</v>
      </c>
      <c r="B95" s="9">
        <v>1</v>
      </c>
      <c r="C95" s="257" t="s">
        <v>9115</v>
      </c>
      <c r="D95" s="9">
        <v>362383137.48555911</v>
      </c>
      <c r="E95" s="9">
        <v>1721536.5294189453</v>
      </c>
      <c r="F95" s="257" t="s">
        <v>13980</v>
      </c>
      <c r="G95" s="9"/>
      <c r="H95" s="257" t="s">
        <v>18261</v>
      </c>
      <c r="I95" s="9">
        <v>1</v>
      </c>
    </row>
    <row r="96" spans="1:9">
      <c r="A96" s="257" t="s">
        <v>1194</v>
      </c>
      <c r="B96" s="9">
        <v>1</v>
      </c>
      <c r="C96" s="257" t="s">
        <v>9116</v>
      </c>
      <c r="D96" s="9">
        <v>0.1343968454009388</v>
      </c>
      <c r="E96" s="9">
        <v>1721536.5294189453</v>
      </c>
      <c r="F96" s="257" t="s">
        <v>13980</v>
      </c>
      <c r="G96" s="9"/>
      <c r="H96" s="257" t="s">
        <v>18262</v>
      </c>
      <c r="I96" s="9">
        <v>1</v>
      </c>
    </row>
    <row r="97" spans="1:9">
      <c r="A97" s="257" t="s">
        <v>1195</v>
      </c>
      <c r="B97" s="9">
        <v>1</v>
      </c>
      <c r="C97" s="257" t="s">
        <v>9117</v>
      </c>
      <c r="D97" s="9">
        <v>210.4998246002198</v>
      </c>
      <c r="E97" s="9">
        <v>1721536.5294189453</v>
      </c>
      <c r="F97" s="257" t="s">
        <v>13980</v>
      </c>
      <c r="G97" s="9"/>
      <c r="H97" s="257" t="s">
        <v>18263</v>
      </c>
      <c r="I97" s="9">
        <v>1</v>
      </c>
    </row>
    <row r="98" spans="1:9">
      <c r="A98" s="257" t="s">
        <v>1196</v>
      </c>
      <c r="B98" s="9">
        <v>1</v>
      </c>
      <c r="C98" s="257" t="s">
        <v>9118</v>
      </c>
      <c r="D98" s="9">
        <v>0</v>
      </c>
      <c r="E98" s="9">
        <v>1721536.5294189453</v>
      </c>
      <c r="F98" s="257" t="s">
        <v>13981</v>
      </c>
      <c r="G98" s="9"/>
      <c r="H98" s="257" t="s">
        <v>18264</v>
      </c>
      <c r="I98" s="9">
        <v>1</v>
      </c>
    </row>
    <row r="99" spans="1:9">
      <c r="A99" s="257" t="s">
        <v>1197</v>
      </c>
      <c r="B99" s="9">
        <v>1</v>
      </c>
      <c r="C99" s="257" t="s">
        <v>9119</v>
      </c>
      <c r="D99" s="9">
        <v>0</v>
      </c>
      <c r="E99" s="9">
        <v>1721536.5294189453</v>
      </c>
      <c r="F99" s="257" t="s">
        <v>13981</v>
      </c>
      <c r="G99" s="9"/>
      <c r="H99" s="257" t="s">
        <v>18265</v>
      </c>
      <c r="I99" s="9">
        <v>1</v>
      </c>
    </row>
    <row r="100" spans="1:9">
      <c r="A100" s="257" t="s">
        <v>1198</v>
      </c>
      <c r="B100" s="9">
        <v>1</v>
      </c>
      <c r="C100" s="257" t="s">
        <v>9120</v>
      </c>
      <c r="D100" s="9">
        <v>0</v>
      </c>
      <c r="E100" s="9">
        <v>1721536.5294189453</v>
      </c>
      <c r="F100" s="257" t="s">
        <v>13981</v>
      </c>
      <c r="G100" s="9"/>
      <c r="H100" s="257" t="s">
        <v>18266</v>
      </c>
      <c r="I100" s="9">
        <v>1</v>
      </c>
    </row>
    <row r="101" spans="1:9">
      <c r="A101" s="257" t="s">
        <v>1199</v>
      </c>
      <c r="B101" s="9">
        <v>1</v>
      </c>
      <c r="C101" s="257" t="s">
        <v>9121</v>
      </c>
      <c r="D101" s="9">
        <v>0</v>
      </c>
      <c r="E101" s="9">
        <v>1721536.5294189453</v>
      </c>
      <c r="F101" s="257" t="s">
        <v>13981</v>
      </c>
      <c r="G101" s="9"/>
      <c r="H101" s="257" t="s">
        <v>18267</v>
      </c>
      <c r="I101" s="9">
        <v>1</v>
      </c>
    </row>
    <row r="102" spans="1:9">
      <c r="A102" s="257" t="s">
        <v>1200</v>
      </c>
      <c r="B102" s="9">
        <v>2</v>
      </c>
      <c r="C102" s="257" t="s">
        <v>9122</v>
      </c>
      <c r="D102" s="9">
        <v>371304.27395629883</v>
      </c>
      <c r="E102" s="9">
        <v>1728935.5716552734</v>
      </c>
      <c r="F102" s="257" t="s">
        <v>13982</v>
      </c>
      <c r="G102" s="9"/>
      <c r="H102" s="257" t="s">
        <v>18268</v>
      </c>
      <c r="I102" s="9">
        <v>1</v>
      </c>
    </row>
    <row r="103" spans="1:9">
      <c r="A103" s="257" t="s">
        <v>1201</v>
      </c>
      <c r="B103" s="9">
        <v>2</v>
      </c>
      <c r="C103" s="257" t="s">
        <v>9123</v>
      </c>
      <c r="D103" s="9">
        <v>1637011529.5449319</v>
      </c>
      <c r="E103" s="9">
        <v>1728935.5716552734</v>
      </c>
      <c r="F103" s="257" t="s">
        <v>13982</v>
      </c>
      <c r="G103" s="9"/>
      <c r="H103" s="257" t="s">
        <v>18269</v>
      </c>
      <c r="I103" s="9">
        <v>1</v>
      </c>
    </row>
    <row r="104" spans="1:9">
      <c r="A104" s="257" t="s">
        <v>1202</v>
      </c>
      <c r="B104" s="9">
        <v>2</v>
      </c>
      <c r="C104" s="257" t="s">
        <v>9124</v>
      </c>
      <c r="D104" s="9">
        <v>0.21475888404610366</v>
      </c>
      <c r="E104" s="9">
        <v>1728935.5716552734</v>
      </c>
      <c r="F104" s="257" t="s">
        <v>13982</v>
      </c>
      <c r="G104" s="9"/>
      <c r="H104" s="257" t="s">
        <v>18270</v>
      </c>
      <c r="I104" s="9">
        <v>1</v>
      </c>
    </row>
    <row r="105" spans="1:9">
      <c r="A105" s="257" t="s">
        <v>1203</v>
      </c>
      <c r="B105" s="9">
        <v>2</v>
      </c>
      <c r="C105" s="257" t="s">
        <v>9125</v>
      </c>
      <c r="D105" s="9">
        <v>946.83200252376434</v>
      </c>
      <c r="E105" s="9">
        <v>1728935.5716552734</v>
      </c>
      <c r="F105" s="257" t="s">
        <v>13982</v>
      </c>
      <c r="G105" s="9"/>
      <c r="H105" s="257" t="s">
        <v>18271</v>
      </c>
      <c r="I105" s="9">
        <v>1</v>
      </c>
    </row>
    <row r="106" spans="1:9">
      <c r="A106" s="257" t="s">
        <v>1204</v>
      </c>
      <c r="B106" s="9">
        <v>2</v>
      </c>
      <c r="C106" s="257" t="s">
        <v>9126</v>
      </c>
      <c r="D106" s="9">
        <v>0</v>
      </c>
      <c r="E106" s="9">
        <v>1728935.5716552734</v>
      </c>
      <c r="F106" s="257" t="s">
        <v>13983</v>
      </c>
      <c r="G106" s="9"/>
      <c r="H106" s="257" t="s">
        <v>18272</v>
      </c>
      <c r="I106" s="9">
        <v>1</v>
      </c>
    </row>
    <row r="107" spans="1:9">
      <c r="A107" s="257" t="s">
        <v>1205</v>
      </c>
      <c r="B107" s="9">
        <v>2</v>
      </c>
      <c r="C107" s="257" t="s">
        <v>9127</v>
      </c>
      <c r="D107" s="9">
        <v>0</v>
      </c>
      <c r="E107" s="9">
        <v>1728935.5716552734</v>
      </c>
      <c r="F107" s="257" t="s">
        <v>13983</v>
      </c>
      <c r="G107" s="9"/>
      <c r="H107" s="257" t="s">
        <v>18273</v>
      </c>
      <c r="I107" s="9">
        <v>1</v>
      </c>
    </row>
    <row r="108" spans="1:9">
      <c r="A108" s="257" t="s">
        <v>1206</v>
      </c>
      <c r="B108" s="9">
        <v>2</v>
      </c>
      <c r="C108" s="257" t="s">
        <v>9128</v>
      </c>
      <c r="D108" s="9">
        <v>0</v>
      </c>
      <c r="E108" s="9">
        <v>1728935.5716552734</v>
      </c>
      <c r="F108" s="257" t="s">
        <v>13983</v>
      </c>
      <c r="G108" s="9"/>
      <c r="H108" s="257" t="s">
        <v>18274</v>
      </c>
      <c r="I108" s="9">
        <v>1</v>
      </c>
    </row>
    <row r="109" spans="1:9">
      <c r="A109" s="257" t="s">
        <v>1207</v>
      </c>
      <c r="B109" s="9">
        <v>2</v>
      </c>
      <c r="C109" s="257" t="s">
        <v>9129</v>
      </c>
      <c r="D109" s="9">
        <v>0</v>
      </c>
      <c r="E109" s="9">
        <v>1728935.5716552734</v>
      </c>
      <c r="F109" s="257" t="s">
        <v>13983</v>
      </c>
      <c r="G109" s="9"/>
      <c r="H109" s="257" t="s">
        <v>18275</v>
      </c>
      <c r="I109" s="9">
        <v>1</v>
      </c>
    </row>
    <row r="110" spans="1:9">
      <c r="A110" s="257" t="s">
        <v>1208</v>
      </c>
      <c r="B110" s="9">
        <v>2</v>
      </c>
      <c r="C110" s="257" t="s">
        <v>9130</v>
      </c>
      <c r="D110" s="9">
        <v>0</v>
      </c>
      <c r="E110" s="9">
        <v>1728935.5716552734</v>
      </c>
      <c r="F110" s="257" t="s">
        <v>13984</v>
      </c>
      <c r="G110" s="9"/>
      <c r="H110" s="257" t="s">
        <v>18276</v>
      </c>
      <c r="I110" s="9">
        <v>1</v>
      </c>
    </row>
    <row r="111" spans="1:9">
      <c r="A111" s="257" t="s">
        <v>1209</v>
      </c>
      <c r="B111" s="9">
        <v>2</v>
      </c>
      <c r="C111" s="257" t="s">
        <v>9131</v>
      </c>
      <c r="D111" s="9">
        <v>0</v>
      </c>
      <c r="E111" s="9">
        <v>1728935.5716552734</v>
      </c>
      <c r="F111" s="257" t="s">
        <v>13984</v>
      </c>
      <c r="G111" s="9"/>
      <c r="H111" s="257" t="s">
        <v>18277</v>
      </c>
      <c r="I111" s="9">
        <v>1</v>
      </c>
    </row>
    <row r="112" spans="1:9">
      <c r="A112" s="257" t="s">
        <v>1210</v>
      </c>
      <c r="B112" s="9">
        <v>2</v>
      </c>
      <c r="C112" s="257" t="s">
        <v>9132</v>
      </c>
      <c r="D112" s="9">
        <v>0</v>
      </c>
      <c r="E112" s="9">
        <v>1728935.5716552734</v>
      </c>
      <c r="F112" s="257" t="s">
        <v>13984</v>
      </c>
      <c r="G112" s="9"/>
      <c r="H112" s="257" t="s">
        <v>18278</v>
      </c>
      <c r="I112" s="9">
        <v>1</v>
      </c>
    </row>
    <row r="113" spans="1:9">
      <c r="A113" s="257" t="s">
        <v>1211</v>
      </c>
      <c r="B113" s="9">
        <v>2</v>
      </c>
      <c r="C113" s="257" t="s">
        <v>9133</v>
      </c>
      <c r="D113" s="9">
        <v>0</v>
      </c>
      <c r="E113" s="9">
        <v>1728935.5716552734</v>
      </c>
      <c r="F113" s="257" t="s">
        <v>13984</v>
      </c>
      <c r="G113" s="9"/>
      <c r="H113" s="257" t="s">
        <v>18279</v>
      </c>
      <c r="I113" s="9">
        <v>1</v>
      </c>
    </row>
    <row r="114" spans="1:9">
      <c r="A114" s="257" t="s">
        <v>1212</v>
      </c>
      <c r="B114" s="9">
        <v>2</v>
      </c>
      <c r="C114" s="257" t="s">
        <v>9134</v>
      </c>
      <c r="D114" s="9">
        <v>0</v>
      </c>
      <c r="E114" s="9">
        <v>1728935.5716552734</v>
      </c>
      <c r="F114" s="257" t="s">
        <v>13985</v>
      </c>
      <c r="G114" s="9"/>
      <c r="H114" s="257" t="s">
        <v>18280</v>
      </c>
      <c r="I114" s="9">
        <v>1</v>
      </c>
    </row>
    <row r="115" spans="1:9">
      <c r="A115" s="257" t="s">
        <v>1213</v>
      </c>
      <c r="B115" s="9">
        <v>2</v>
      </c>
      <c r="C115" s="257" t="s">
        <v>9135</v>
      </c>
      <c r="D115" s="9">
        <v>0</v>
      </c>
      <c r="E115" s="9">
        <v>1728935.5716552734</v>
      </c>
      <c r="F115" s="257" t="s">
        <v>13985</v>
      </c>
      <c r="G115" s="9"/>
      <c r="H115" s="257" t="s">
        <v>18281</v>
      </c>
      <c r="I115" s="9">
        <v>1</v>
      </c>
    </row>
    <row r="116" spans="1:9">
      <c r="A116" s="257" t="s">
        <v>1214</v>
      </c>
      <c r="B116" s="9">
        <v>2</v>
      </c>
      <c r="C116" s="257" t="s">
        <v>9136</v>
      </c>
      <c r="D116" s="9">
        <v>0</v>
      </c>
      <c r="E116" s="9">
        <v>1728935.5716552734</v>
      </c>
      <c r="F116" s="257" t="s">
        <v>13985</v>
      </c>
      <c r="G116" s="9"/>
      <c r="H116" s="257" t="s">
        <v>18282</v>
      </c>
      <c r="I116" s="9">
        <v>1</v>
      </c>
    </row>
    <row r="117" spans="1:9">
      <c r="A117" s="257" t="s">
        <v>1215</v>
      </c>
      <c r="B117" s="9">
        <v>2</v>
      </c>
      <c r="C117" s="257" t="s">
        <v>9137</v>
      </c>
      <c r="D117" s="9">
        <v>0</v>
      </c>
      <c r="E117" s="9">
        <v>1728935.5716552734</v>
      </c>
      <c r="F117" s="257" t="s">
        <v>13985</v>
      </c>
      <c r="G117" s="9"/>
      <c r="H117" s="257" t="s">
        <v>18283</v>
      </c>
      <c r="I117" s="9">
        <v>1</v>
      </c>
    </row>
    <row r="118" spans="1:9">
      <c r="A118" s="257" t="s">
        <v>1216</v>
      </c>
      <c r="B118" s="9">
        <v>2</v>
      </c>
      <c r="C118" s="257" t="s">
        <v>9138</v>
      </c>
      <c r="D118" s="9">
        <v>0</v>
      </c>
      <c r="E118" s="9">
        <v>1728935.5716552734</v>
      </c>
      <c r="F118" s="257" t="s">
        <v>13986</v>
      </c>
      <c r="G118" s="9"/>
      <c r="H118" s="257" t="s">
        <v>18284</v>
      </c>
      <c r="I118" s="9">
        <v>1</v>
      </c>
    </row>
    <row r="119" spans="1:9">
      <c r="A119" s="257" t="s">
        <v>1217</v>
      </c>
      <c r="B119" s="9">
        <v>2</v>
      </c>
      <c r="C119" s="257" t="s">
        <v>9139</v>
      </c>
      <c r="D119" s="9">
        <v>0</v>
      </c>
      <c r="E119" s="9">
        <v>1728935.5716552734</v>
      </c>
      <c r="F119" s="257" t="s">
        <v>13986</v>
      </c>
      <c r="G119" s="9"/>
      <c r="H119" s="257" t="s">
        <v>18285</v>
      </c>
      <c r="I119" s="9">
        <v>1</v>
      </c>
    </row>
    <row r="120" spans="1:9">
      <c r="A120" s="257" t="s">
        <v>1218</v>
      </c>
      <c r="B120" s="9">
        <v>2</v>
      </c>
      <c r="C120" s="257" t="s">
        <v>9140</v>
      </c>
      <c r="D120" s="9">
        <v>0</v>
      </c>
      <c r="E120" s="9">
        <v>1728935.5716552734</v>
      </c>
      <c r="F120" s="257" t="s">
        <v>13986</v>
      </c>
      <c r="G120" s="9"/>
      <c r="H120" s="257" t="s">
        <v>18286</v>
      </c>
      <c r="I120" s="9">
        <v>1</v>
      </c>
    </row>
    <row r="121" spans="1:9">
      <c r="A121" s="257" t="s">
        <v>1219</v>
      </c>
      <c r="B121" s="9">
        <v>2</v>
      </c>
      <c r="C121" s="257" t="s">
        <v>9141</v>
      </c>
      <c r="D121" s="9">
        <v>0</v>
      </c>
      <c r="E121" s="9">
        <v>1728935.5716552734</v>
      </c>
      <c r="F121" s="257" t="s">
        <v>13986</v>
      </c>
      <c r="G121" s="9"/>
      <c r="H121" s="257" t="s">
        <v>18287</v>
      </c>
      <c r="I121" s="9">
        <v>1</v>
      </c>
    </row>
    <row r="122" spans="1:9">
      <c r="A122" s="257" t="s">
        <v>1220</v>
      </c>
      <c r="B122" s="9">
        <v>2</v>
      </c>
      <c r="C122" s="257" t="s">
        <v>9142</v>
      </c>
      <c r="D122" s="9">
        <v>0</v>
      </c>
      <c r="E122" s="9">
        <v>1728935.5716552734</v>
      </c>
      <c r="F122" s="257" t="s">
        <v>13987</v>
      </c>
      <c r="G122" s="9"/>
      <c r="H122" s="257" t="s">
        <v>18288</v>
      </c>
      <c r="I122" s="9">
        <v>1</v>
      </c>
    </row>
    <row r="123" spans="1:9">
      <c r="A123" s="257" t="s">
        <v>1221</v>
      </c>
      <c r="B123" s="9">
        <v>2</v>
      </c>
      <c r="C123" s="257" t="s">
        <v>9143</v>
      </c>
      <c r="D123" s="9">
        <v>0</v>
      </c>
      <c r="E123" s="9">
        <v>1728935.5716552734</v>
      </c>
      <c r="F123" s="257" t="s">
        <v>13987</v>
      </c>
      <c r="G123" s="9"/>
      <c r="H123" s="257" t="s">
        <v>18289</v>
      </c>
      <c r="I123" s="9">
        <v>1</v>
      </c>
    </row>
    <row r="124" spans="1:9">
      <c r="A124" s="257" t="s">
        <v>1222</v>
      </c>
      <c r="B124" s="9">
        <v>2</v>
      </c>
      <c r="C124" s="257" t="s">
        <v>9144</v>
      </c>
      <c r="D124" s="9">
        <v>0</v>
      </c>
      <c r="E124" s="9">
        <v>1728935.5716552734</v>
      </c>
      <c r="F124" s="257" t="s">
        <v>13987</v>
      </c>
      <c r="G124" s="9"/>
      <c r="H124" s="257" t="s">
        <v>18290</v>
      </c>
      <c r="I124" s="9">
        <v>1</v>
      </c>
    </row>
    <row r="125" spans="1:9">
      <c r="A125" s="257" t="s">
        <v>1223</v>
      </c>
      <c r="B125" s="9">
        <v>2</v>
      </c>
      <c r="C125" s="257" t="s">
        <v>9145</v>
      </c>
      <c r="D125" s="9">
        <v>0</v>
      </c>
      <c r="E125" s="9">
        <v>1728935.5716552734</v>
      </c>
      <c r="F125" s="257" t="s">
        <v>13987</v>
      </c>
      <c r="G125" s="9"/>
      <c r="H125" s="257" t="s">
        <v>18291</v>
      </c>
      <c r="I125" s="9">
        <v>1</v>
      </c>
    </row>
    <row r="126" spans="1:9">
      <c r="A126" s="257" t="s">
        <v>1224</v>
      </c>
      <c r="B126" s="9">
        <v>2</v>
      </c>
      <c r="C126" s="257" t="s">
        <v>9146</v>
      </c>
      <c r="D126" s="9">
        <v>0</v>
      </c>
      <c r="E126" s="9">
        <v>1728935.5716552734</v>
      </c>
      <c r="F126" s="257" t="s">
        <v>13988</v>
      </c>
      <c r="G126" s="9"/>
      <c r="H126" s="257" t="s">
        <v>18292</v>
      </c>
      <c r="I126" s="9">
        <v>1</v>
      </c>
    </row>
    <row r="127" spans="1:9">
      <c r="A127" s="257" t="s">
        <v>1225</v>
      </c>
      <c r="B127" s="9">
        <v>2</v>
      </c>
      <c r="C127" s="257" t="s">
        <v>9147</v>
      </c>
      <c r="D127" s="9">
        <v>0</v>
      </c>
      <c r="E127" s="9">
        <v>1728935.5716552734</v>
      </c>
      <c r="F127" s="257" t="s">
        <v>13988</v>
      </c>
      <c r="G127" s="9"/>
      <c r="H127" s="257" t="s">
        <v>18293</v>
      </c>
      <c r="I127" s="9">
        <v>1</v>
      </c>
    </row>
    <row r="128" spans="1:9">
      <c r="A128" s="257" t="s">
        <v>1226</v>
      </c>
      <c r="B128" s="9">
        <v>2</v>
      </c>
      <c r="C128" s="257" t="s">
        <v>9148</v>
      </c>
      <c r="D128" s="9">
        <v>0</v>
      </c>
      <c r="E128" s="9">
        <v>1728935.5716552734</v>
      </c>
      <c r="F128" s="257" t="s">
        <v>13988</v>
      </c>
      <c r="G128" s="9"/>
      <c r="H128" s="257" t="s">
        <v>18294</v>
      </c>
      <c r="I128" s="9">
        <v>1</v>
      </c>
    </row>
    <row r="129" spans="1:9">
      <c r="A129" s="257" t="s">
        <v>1227</v>
      </c>
      <c r="B129" s="9">
        <v>2</v>
      </c>
      <c r="C129" s="257" t="s">
        <v>9149</v>
      </c>
      <c r="D129" s="9">
        <v>0</v>
      </c>
      <c r="E129" s="9">
        <v>1728935.5716552734</v>
      </c>
      <c r="F129" s="257" t="s">
        <v>13988</v>
      </c>
      <c r="G129" s="9"/>
      <c r="H129" s="257" t="s">
        <v>18295</v>
      </c>
      <c r="I129" s="9">
        <v>1</v>
      </c>
    </row>
    <row r="130" spans="1:9">
      <c r="A130" s="257" t="s">
        <v>1228</v>
      </c>
      <c r="B130" s="9">
        <v>2</v>
      </c>
      <c r="C130" s="257" t="s">
        <v>9150</v>
      </c>
      <c r="D130" s="9">
        <v>0</v>
      </c>
      <c r="E130" s="9">
        <v>1728935.5716552734</v>
      </c>
      <c r="F130" s="257" t="s">
        <v>13989</v>
      </c>
      <c r="G130" s="9"/>
      <c r="H130" s="257" t="s">
        <v>18296</v>
      </c>
      <c r="I130" s="9">
        <v>1</v>
      </c>
    </row>
    <row r="131" spans="1:9">
      <c r="A131" s="257" t="s">
        <v>1229</v>
      </c>
      <c r="B131" s="9">
        <v>2</v>
      </c>
      <c r="C131" s="257" t="s">
        <v>9151</v>
      </c>
      <c r="D131" s="9">
        <v>0</v>
      </c>
      <c r="E131" s="9">
        <v>1728935.5716552734</v>
      </c>
      <c r="F131" s="257" t="s">
        <v>13989</v>
      </c>
      <c r="G131" s="9"/>
      <c r="H131" s="257" t="s">
        <v>18297</v>
      </c>
      <c r="I131" s="9">
        <v>1</v>
      </c>
    </row>
    <row r="132" spans="1:9">
      <c r="A132" s="257" t="s">
        <v>1230</v>
      </c>
      <c r="B132" s="9">
        <v>2</v>
      </c>
      <c r="C132" s="257" t="s">
        <v>9152</v>
      </c>
      <c r="D132" s="9">
        <v>0</v>
      </c>
      <c r="E132" s="9">
        <v>1728935.5716552734</v>
      </c>
      <c r="F132" s="257" t="s">
        <v>13989</v>
      </c>
      <c r="G132" s="9"/>
      <c r="H132" s="257" t="s">
        <v>18298</v>
      </c>
      <c r="I132" s="9">
        <v>1</v>
      </c>
    </row>
    <row r="133" spans="1:9">
      <c r="A133" s="257" t="s">
        <v>1231</v>
      </c>
      <c r="B133" s="9">
        <v>2</v>
      </c>
      <c r="C133" s="257" t="s">
        <v>9153</v>
      </c>
      <c r="D133" s="9">
        <v>0</v>
      </c>
      <c r="E133" s="9">
        <v>1728935.5716552734</v>
      </c>
      <c r="F133" s="257" t="s">
        <v>13989</v>
      </c>
      <c r="G133" s="9"/>
      <c r="H133" s="257" t="s">
        <v>18299</v>
      </c>
      <c r="I133" s="9">
        <v>1</v>
      </c>
    </row>
    <row r="134" spans="1:9">
      <c r="A134" s="257" t="s">
        <v>1232</v>
      </c>
      <c r="B134" s="9">
        <v>2</v>
      </c>
      <c r="C134" s="257" t="s">
        <v>9154</v>
      </c>
      <c r="D134" s="9">
        <v>1728935.5716552734</v>
      </c>
      <c r="E134" s="9">
        <v>1728935.5716552734</v>
      </c>
      <c r="F134" s="257" t="s">
        <v>13990</v>
      </c>
      <c r="G134" s="9"/>
      <c r="H134" s="257" t="s">
        <v>18300</v>
      </c>
      <c r="I134" s="9">
        <v>1</v>
      </c>
    </row>
    <row r="135" spans="1:9">
      <c r="A135" s="257" t="s">
        <v>1233</v>
      </c>
      <c r="B135" s="9">
        <v>2</v>
      </c>
      <c r="C135" s="257" t="s">
        <v>9155</v>
      </c>
      <c r="D135" s="9">
        <v>5048870512.3509874</v>
      </c>
      <c r="E135" s="9">
        <v>1728935.5716552734</v>
      </c>
      <c r="F135" s="257" t="s">
        <v>13990</v>
      </c>
      <c r="G135" s="9"/>
      <c r="H135" s="257" t="s">
        <v>18301</v>
      </c>
      <c r="I135" s="9">
        <v>1</v>
      </c>
    </row>
    <row r="136" spans="1:9">
      <c r="A136" s="257" t="s">
        <v>1234</v>
      </c>
      <c r="B136" s="9">
        <v>2</v>
      </c>
      <c r="C136" s="257" t="s">
        <v>9156</v>
      </c>
      <c r="D136" s="9">
        <v>1</v>
      </c>
      <c r="E136" s="9">
        <v>1728935.5716552734</v>
      </c>
      <c r="F136" s="257" t="s">
        <v>13990</v>
      </c>
      <c r="G136" s="9"/>
      <c r="H136" s="257" t="s">
        <v>18302</v>
      </c>
      <c r="I136" s="9">
        <v>1</v>
      </c>
    </row>
    <row r="137" spans="1:9">
      <c r="A137" s="257" t="s">
        <v>1235</v>
      </c>
      <c r="B137" s="9">
        <v>2</v>
      </c>
      <c r="C137" s="257" t="s">
        <v>9157</v>
      </c>
      <c r="D137" s="9">
        <v>2920.2190036018674</v>
      </c>
      <c r="E137" s="9">
        <v>1728935.5716552734</v>
      </c>
      <c r="F137" s="257" t="s">
        <v>13990</v>
      </c>
      <c r="G137" s="9"/>
      <c r="H137" s="257" t="s">
        <v>18303</v>
      </c>
      <c r="I137" s="9">
        <v>1</v>
      </c>
    </row>
    <row r="138" spans="1:9">
      <c r="A138" s="257" t="s">
        <v>1236</v>
      </c>
      <c r="B138" s="9">
        <v>2</v>
      </c>
      <c r="C138" s="257" t="s">
        <v>9158</v>
      </c>
      <c r="D138" s="9">
        <v>1728935.5716552734</v>
      </c>
      <c r="E138" s="9">
        <v>1728935.5716552734</v>
      </c>
      <c r="F138" s="257" t="s">
        <v>13991</v>
      </c>
      <c r="G138" s="9"/>
      <c r="H138" s="257" t="s">
        <v>18304</v>
      </c>
      <c r="I138" s="9">
        <v>1</v>
      </c>
    </row>
    <row r="139" spans="1:9">
      <c r="A139" s="257" t="s">
        <v>1237</v>
      </c>
      <c r="B139" s="9">
        <v>2</v>
      </c>
      <c r="C139" s="257" t="s">
        <v>9159</v>
      </c>
      <c r="D139" s="9">
        <v>5048870512.3509874</v>
      </c>
      <c r="E139" s="9">
        <v>1728935.5716552734</v>
      </c>
      <c r="F139" s="257" t="s">
        <v>13991</v>
      </c>
      <c r="G139" s="9"/>
      <c r="H139" s="257" t="s">
        <v>18305</v>
      </c>
      <c r="I139" s="9">
        <v>1</v>
      </c>
    </row>
    <row r="140" spans="1:9">
      <c r="A140" s="257" t="s">
        <v>1238</v>
      </c>
      <c r="B140" s="9">
        <v>2</v>
      </c>
      <c r="C140" s="257" t="s">
        <v>9160</v>
      </c>
      <c r="D140" s="9">
        <v>1</v>
      </c>
      <c r="E140" s="9">
        <v>1728935.5716552734</v>
      </c>
      <c r="F140" s="257" t="s">
        <v>13991</v>
      </c>
      <c r="G140" s="9"/>
      <c r="H140" s="257" t="s">
        <v>18306</v>
      </c>
      <c r="I140" s="9">
        <v>1</v>
      </c>
    </row>
    <row r="141" spans="1:9">
      <c r="A141" s="257" t="s">
        <v>1239</v>
      </c>
      <c r="B141" s="9">
        <v>2</v>
      </c>
      <c r="C141" s="257" t="s">
        <v>9161</v>
      </c>
      <c r="D141" s="9">
        <v>2920.2190036018674</v>
      </c>
      <c r="E141" s="9">
        <v>1728935.5716552734</v>
      </c>
      <c r="F141" s="257" t="s">
        <v>13991</v>
      </c>
      <c r="G141" s="9"/>
      <c r="H141" s="257" t="s">
        <v>18307</v>
      </c>
      <c r="I141" s="9">
        <v>1</v>
      </c>
    </row>
    <row r="142" spans="1:9">
      <c r="A142" s="257" t="s">
        <v>1240</v>
      </c>
      <c r="B142" s="9">
        <v>2</v>
      </c>
      <c r="C142" s="257" t="s">
        <v>9162</v>
      </c>
      <c r="D142" s="9">
        <v>1728935.5716552734</v>
      </c>
      <c r="E142" s="9">
        <v>1728935.5716552734</v>
      </c>
      <c r="F142" s="257" t="s">
        <v>13992</v>
      </c>
      <c r="G142" s="9"/>
      <c r="H142" s="257" t="s">
        <v>18308</v>
      </c>
      <c r="I142" s="9">
        <v>1</v>
      </c>
    </row>
    <row r="143" spans="1:9">
      <c r="A143" s="257" t="s">
        <v>1241</v>
      </c>
      <c r="B143" s="9">
        <v>2</v>
      </c>
      <c r="C143" s="257" t="s">
        <v>9163</v>
      </c>
      <c r="D143" s="9">
        <v>5048870512.3509874</v>
      </c>
      <c r="E143" s="9">
        <v>1728935.5716552734</v>
      </c>
      <c r="F143" s="257" t="s">
        <v>13992</v>
      </c>
      <c r="G143" s="9"/>
      <c r="H143" s="257" t="s">
        <v>18309</v>
      </c>
      <c r="I143" s="9">
        <v>1</v>
      </c>
    </row>
    <row r="144" spans="1:9">
      <c r="A144" s="257" t="s">
        <v>1242</v>
      </c>
      <c r="B144" s="9">
        <v>2</v>
      </c>
      <c r="C144" s="257" t="s">
        <v>9164</v>
      </c>
      <c r="D144" s="9">
        <v>1</v>
      </c>
      <c r="E144" s="9">
        <v>1728935.5716552734</v>
      </c>
      <c r="F144" s="257" t="s">
        <v>13992</v>
      </c>
      <c r="G144" s="9"/>
      <c r="H144" s="257" t="s">
        <v>18310</v>
      </c>
      <c r="I144" s="9">
        <v>1</v>
      </c>
    </row>
    <row r="145" spans="1:9">
      <c r="A145" s="257" t="s">
        <v>1243</v>
      </c>
      <c r="B145" s="9">
        <v>2</v>
      </c>
      <c r="C145" s="257" t="s">
        <v>9165</v>
      </c>
      <c r="D145" s="9">
        <v>2920.2190036018674</v>
      </c>
      <c r="E145" s="9">
        <v>1728935.5716552734</v>
      </c>
      <c r="F145" s="257" t="s">
        <v>13992</v>
      </c>
      <c r="G145" s="9"/>
      <c r="H145" s="257" t="s">
        <v>18311</v>
      </c>
      <c r="I145" s="9">
        <v>1</v>
      </c>
    </row>
    <row r="146" spans="1:9">
      <c r="A146" s="257" t="s">
        <v>1244</v>
      </c>
      <c r="B146" s="9">
        <v>2</v>
      </c>
      <c r="C146" s="257" t="s">
        <v>9166</v>
      </c>
      <c r="D146" s="9">
        <v>1728935.5716552734</v>
      </c>
      <c r="E146" s="9">
        <v>1728935.5716552734</v>
      </c>
      <c r="F146" s="257" t="s">
        <v>13993</v>
      </c>
      <c r="G146" s="9"/>
      <c r="H146" s="257" t="s">
        <v>18312</v>
      </c>
      <c r="I146" s="9">
        <v>1</v>
      </c>
    </row>
    <row r="147" spans="1:9">
      <c r="A147" s="257" t="s">
        <v>1245</v>
      </c>
      <c r="B147" s="9">
        <v>2</v>
      </c>
      <c r="C147" s="257" t="s">
        <v>9167</v>
      </c>
      <c r="D147" s="9">
        <v>1549823553.5909498</v>
      </c>
      <c r="E147" s="9">
        <v>1728935.5716552734</v>
      </c>
      <c r="F147" s="257" t="s">
        <v>13993</v>
      </c>
      <c r="G147" s="9"/>
      <c r="H147" s="257" t="s">
        <v>18313</v>
      </c>
      <c r="I147" s="9">
        <v>1</v>
      </c>
    </row>
    <row r="148" spans="1:9">
      <c r="A148" s="257" t="s">
        <v>1246</v>
      </c>
      <c r="B148" s="9">
        <v>2</v>
      </c>
      <c r="C148" s="257" t="s">
        <v>9168</v>
      </c>
      <c r="D148" s="9">
        <v>1</v>
      </c>
      <c r="E148" s="9">
        <v>1728935.5716552734</v>
      </c>
      <c r="F148" s="257" t="s">
        <v>13993</v>
      </c>
      <c r="G148" s="9"/>
      <c r="H148" s="257" t="s">
        <v>18314</v>
      </c>
      <c r="I148" s="9">
        <v>1</v>
      </c>
    </row>
    <row r="149" spans="1:9">
      <c r="A149" s="257" t="s">
        <v>1247</v>
      </c>
      <c r="B149" s="9">
        <v>2</v>
      </c>
      <c r="C149" s="257" t="s">
        <v>9169</v>
      </c>
      <c r="D149" s="9">
        <v>896.40330096693958</v>
      </c>
      <c r="E149" s="9">
        <v>1728935.5716552734</v>
      </c>
      <c r="F149" s="257" t="s">
        <v>13993</v>
      </c>
      <c r="G149" s="9"/>
      <c r="H149" s="257" t="s">
        <v>18315</v>
      </c>
      <c r="I149" s="9">
        <v>1</v>
      </c>
    </row>
    <row r="150" spans="1:9">
      <c r="A150" s="257" t="s">
        <v>1248</v>
      </c>
      <c r="B150" s="9">
        <v>2</v>
      </c>
      <c r="C150" s="257" t="s">
        <v>9170</v>
      </c>
      <c r="D150" s="9">
        <v>407549.17483520508</v>
      </c>
      <c r="E150" s="9">
        <v>1728935.5716552734</v>
      </c>
      <c r="F150" s="257" t="s">
        <v>13994</v>
      </c>
      <c r="G150" s="9"/>
      <c r="H150" s="257" t="s">
        <v>18316</v>
      </c>
      <c r="I150" s="9">
        <v>1</v>
      </c>
    </row>
    <row r="151" spans="1:9">
      <c r="A151" s="257" t="s">
        <v>1249</v>
      </c>
      <c r="B151" s="9">
        <v>2</v>
      </c>
      <c r="C151" s="257" t="s">
        <v>9171</v>
      </c>
      <c r="D151" s="9">
        <v>817092071.12323725</v>
      </c>
      <c r="E151" s="9">
        <v>1728935.5716552734</v>
      </c>
      <c r="F151" s="257" t="s">
        <v>13994</v>
      </c>
      <c r="G151" s="9"/>
      <c r="H151" s="257" t="s">
        <v>18317</v>
      </c>
      <c r="I151" s="9">
        <v>1</v>
      </c>
    </row>
    <row r="152" spans="1:9">
      <c r="A152" s="257" t="s">
        <v>1250</v>
      </c>
      <c r="B152" s="9">
        <v>2</v>
      </c>
      <c r="C152" s="257" t="s">
        <v>9172</v>
      </c>
      <c r="D152" s="9">
        <v>0.23572259227972256</v>
      </c>
      <c r="E152" s="9">
        <v>1728935.5716552734</v>
      </c>
      <c r="F152" s="257" t="s">
        <v>13994</v>
      </c>
      <c r="G152" s="9"/>
      <c r="H152" s="257" t="s">
        <v>18318</v>
      </c>
      <c r="I152" s="9">
        <v>1</v>
      </c>
    </row>
    <row r="153" spans="1:9">
      <c r="A153" s="257" t="s">
        <v>1251</v>
      </c>
      <c r="B153" s="9">
        <v>2</v>
      </c>
      <c r="C153" s="257" t="s">
        <v>9173</v>
      </c>
      <c r="D153" s="9">
        <v>472.59833421146965</v>
      </c>
      <c r="E153" s="9">
        <v>1728935.5716552734</v>
      </c>
      <c r="F153" s="257" t="s">
        <v>13994</v>
      </c>
      <c r="G153" s="9"/>
      <c r="H153" s="257" t="s">
        <v>18319</v>
      </c>
      <c r="I153" s="9">
        <v>1</v>
      </c>
    </row>
    <row r="154" spans="1:9">
      <c r="A154" s="257" t="s">
        <v>1252</v>
      </c>
      <c r="B154" s="9">
        <v>2</v>
      </c>
      <c r="C154" s="257" t="s">
        <v>9174</v>
      </c>
      <c r="D154" s="9">
        <v>1728935.5716552734</v>
      </c>
      <c r="E154" s="9">
        <v>1728935.5716552734</v>
      </c>
      <c r="F154" s="257" t="s">
        <v>13995</v>
      </c>
      <c r="G154" s="9"/>
      <c r="H154" s="257" t="s">
        <v>18320</v>
      </c>
      <c r="I154" s="9">
        <v>1</v>
      </c>
    </row>
    <row r="155" spans="1:9">
      <c r="A155" s="257" t="s">
        <v>1253</v>
      </c>
      <c r="B155" s="9">
        <v>2</v>
      </c>
      <c r="C155" s="257" t="s">
        <v>9175</v>
      </c>
      <c r="D155" s="9">
        <v>5865962583.4742241</v>
      </c>
      <c r="E155" s="9">
        <v>1728935.5716552734</v>
      </c>
      <c r="F155" s="257" t="s">
        <v>13995</v>
      </c>
      <c r="G155" s="9"/>
      <c r="H155" s="257" t="s">
        <v>18321</v>
      </c>
      <c r="I155" s="9">
        <v>1</v>
      </c>
    </row>
    <row r="156" spans="1:9">
      <c r="A156" s="257" t="s">
        <v>1254</v>
      </c>
      <c r="B156" s="9">
        <v>2</v>
      </c>
      <c r="C156" s="257" t="s">
        <v>9176</v>
      </c>
      <c r="D156" s="9">
        <v>1</v>
      </c>
      <c r="E156" s="9">
        <v>1728935.5716552734</v>
      </c>
      <c r="F156" s="257" t="s">
        <v>13995</v>
      </c>
      <c r="G156" s="9"/>
      <c r="H156" s="257" t="s">
        <v>18322</v>
      </c>
      <c r="I156" s="9">
        <v>1</v>
      </c>
    </row>
    <row r="157" spans="1:9">
      <c r="A157" s="257" t="s">
        <v>1255</v>
      </c>
      <c r="B157" s="9">
        <v>2</v>
      </c>
      <c r="C157" s="257" t="s">
        <v>9177</v>
      </c>
      <c r="D157" s="9">
        <v>3392.8173378133365</v>
      </c>
      <c r="E157" s="9">
        <v>1728935.5716552734</v>
      </c>
      <c r="F157" s="257" t="s">
        <v>13995</v>
      </c>
      <c r="G157" s="9"/>
      <c r="H157" s="257" t="s">
        <v>18323</v>
      </c>
      <c r="I157" s="9">
        <v>1</v>
      </c>
    </row>
    <row r="158" spans="1:9">
      <c r="A158" s="257" t="s">
        <v>1256</v>
      </c>
      <c r="B158" s="9">
        <v>2</v>
      </c>
      <c r="C158" s="257" t="s">
        <v>9178</v>
      </c>
      <c r="D158" s="9">
        <v>1728935.5716552734</v>
      </c>
      <c r="E158" s="9">
        <v>1728935.5716552734</v>
      </c>
      <c r="F158" s="257" t="s">
        <v>13996</v>
      </c>
      <c r="G158" s="9"/>
      <c r="H158" s="257" t="s">
        <v>18324</v>
      </c>
      <c r="I158" s="9">
        <v>1</v>
      </c>
    </row>
    <row r="159" spans="1:9">
      <c r="A159" s="257" t="s">
        <v>1257</v>
      </c>
      <c r="B159" s="9">
        <v>2</v>
      </c>
      <c r="C159" s="257" t="s">
        <v>9179</v>
      </c>
      <c r="D159" s="9">
        <v>5865962583.4742241</v>
      </c>
      <c r="E159" s="9">
        <v>1728935.5716552734</v>
      </c>
      <c r="F159" s="257" t="s">
        <v>13996</v>
      </c>
      <c r="G159" s="9"/>
      <c r="H159" s="257" t="s">
        <v>18325</v>
      </c>
      <c r="I159" s="9">
        <v>1</v>
      </c>
    </row>
    <row r="160" spans="1:9">
      <c r="A160" s="257" t="s">
        <v>1258</v>
      </c>
      <c r="B160" s="9">
        <v>2</v>
      </c>
      <c r="C160" s="257" t="s">
        <v>9180</v>
      </c>
      <c r="D160" s="9">
        <v>1</v>
      </c>
      <c r="E160" s="9">
        <v>1728935.5716552734</v>
      </c>
      <c r="F160" s="257" t="s">
        <v>13996</v>
      </c>
      <c r="G160" s="9"/>
      <c r="H160" s="257" t="s">
        <v>18326</v>
      </c>
      <c r="I160" s="9">
        <v>1</v>
      </c>
    </row>
    <row r="161" spans="1:9">
      <c r="A161" s="257" t="s">
        <v>1259</v>
      </c>
      <c r="B161" s="9">
        <v>2</v>
      </c>
      <c r="C161" s="257" t="s">
        <v>9181</v>
      </c>
      <c r="D161" s="9">
        <v>3392.8173378133365</v>
      </c>
      <c r="E161" s="9">
        <v>1728935.5716552734</v>
      </c>
      <c r="F161" s="257" t="s">
        <v>13996</v>
      </c>
      <c r="G161" s="9"/>
      <c r="H161" s="257" t="s">
        <v>18327</v>
      </c>
      <c r="I161" s="9">
        <v>1</v>
      </c>
    </row>
    <row r="162" spans="1:9">
      <c r="A162" s="257" t="s">
        <v>1260</v>
      </c>
      <c r="B162" s="9">
        <v>2</v>
      </c>
      <c r="C162" s="257" t="s">
        <v>9182</v>
      </c>
      <c r="D162" s="9">
        <v>1728935.5716552734</v>
      </c>
      <c r="E162" s="9">
        <v>1728935.5716552734</v>
      </c>
      <c r="F162" s="257" t="s">
        <v>13997</v>
      </c>
      <c r="G162" s="9"/>
      <c r="H162" s="257" t="s">
        <v>18328</v>
      </c>
      <c r="I162" s="9">
        <v>1</v>
      </c>
    </row>
    <row r="163" spans="1:9">
      <c r="A163" s="257" t="s">
        <v>1261</v>
      </c>
      <c r="B163" s="9">
        <v>2</v>
      </c>
      <c r="C163" s="257" t="s">
        <v>9183</v>
      </c>
      <c r="D163" s="9">
        <v>2626375351.6698084</v>
      </c>
      <c r="E163" s="9">
        <v>1728935.5716552734</v>
      </c>
      <c r="F163" s="257" t="s">
        <v>13997</v>
      </c>
      <c r="G163" s="9"/>
      <c r="H163" s="257" t="s">
        <v>18329</v>
      </c>
      <c r="I163" s="9">
        <v>1</v>
      </c>
    </row>
    <row r="164" spans="1:9">
      <c r="A164" s="257" t="s">
        <v>1262</v>
      </c>
      <c r="B164" s="9">
        <v>2</v>
      </c>
      <c r="C164" s="257" t="s">
        <v>9184</v>
      </c>
      <c r="D164" s="9">
        <v>1</v>
      </c>
      <c r="E164" s="9">
        <v>1728935.5716552734</v>
      </c>
      <c r="F164" s="257" t="s">
        <v>13997</v>
      </c>
      <c r="G164" s="9"/>
      <c r="H164" s="257" t="s">
        <v>18330</v>
      </c>
      <c r="I164" s="9">
        <v>1</v>
      </c>
    </row>
    <row r="165" spans="1:9">
      <c r="A165" s="257" t="s">
        <v>1263</v>
      </c>
      <c r="B165" s="9">
        <v>2</v>
      </c>
      <c r="C165" s="257" t="s">
        <v>9185</v>
      </c>
      <c r="D165" s="9">
        <v>1519.0706899247443</v>
      </c>
      <c r="E165" s="9">
        <v>1728935.5716552734</v>
      </c>
      <c r="F165" s="257" t="s">
        <v>13997</v>
      </c>
      <c r="G165" s="9"/>
      <c r="H165" s="257" t="s">
        <v>18331</v>
      </c>
      <c r="I165" s="9">
        <v>1</v>
      </c>
    </row>
    <row r="166" spans="1:9">
      <c r="A166" s="257" t="s">
        <v>1264</v>
      </c>
      <c r="B166" s="9">
        <v>2</v>
      </c>
      <c r="C166" s="257" t="s">
        <v>9186</v>
      </c>
      <c r="D166" s="9">
        <v>1728935.5716552734</v>
      </c>
      <c r="E166" s="9">
        <v>1728935.5716552734</v>
      </c>
      <c r="F166" s="257" t="s">
        <v>13998</v>
      </c>
      <c r="G166" s="9"/>
      <c r="H166" s="257" t="s">
        <v>18332</v>
      </c>
      <c r="I166" s="9">
        <v>1</v>
      </c>
    </row>
    <row r="167" spans="1:9">
      <c r="A167" s="257" t="s">
        <v>1265</v>
      </c>
      <c r="B167" s="9">
        <v>2</v>
      </c>
      <c r="C167" s="257" t="s">
        <v>9187</v>
      </c>
      <c r="D167" s="9">
        <v>2626375351.6698084</v>
      </c>
      <c r="E167" s="9">
        <v>1728935.5716552734</v>
      </c>
      <c r="F167" s="257" t="s">
        <v>13998</v>
      </c>
      <c r="G167" s="9"/>
      <c r="H167" s="257" t="s">
        <v>18333</v>
      </c>
      <c r="I167" s="9">
        <v>1</v>
      </c>
    </row>
    <row r="168" spans="1:9">
      <c r="A168" s="257" t="s">
        <v>1266</v>
      </c>
      <c r="B168" s="9">
        <v>2</v>
      </c>
      <c r="C168" s="257" t="s">
        <v>9188</v>
      </c>
      <c r="D168" s="9">
        <v>1</v>
      </c>
      <c r="E168" s="9">
        <v>1728935.5716552734</v>
      </c>
      <c r="F168" s="257" t="s">
        <v>13998</v>
      </c>
      <c r="G168" s="9"/>
      <c r="H168" s="257" t="s">
        <v>18334</v>
      </c>
      <c r="I168" s="9">
        <v>1</v>
      </c>
    </row>
    <row r="169" spans="1:9">
      <c r="A169" s="257" t="s">
        <v>1267</v>
      </c>
      <c r="B169" s="9">
        <v>2</v>
      </c>
      <c r="C169" s="257" t="s">
        <v>9189</v>
      </c>
      <c r="D169" s="9">
        <v>1519.0706899247443</v>
      </c>
      <c r="E169" s="9">
        <v>1728935.5716552734</v>
      </c>
      <c r="F169" s="257" t="s">
        <v>13998</v>
      </c>
      <c r="G169" s="9"/>
      <c r="H169" s="257" t="s">
        <v>18335</v>
      </c>
      <c r="I169" s="9">
        <v>1</v>
      </c>
    </row>
    <row r="170" spans="1:9">
      <c r="A170" s="257" t="s">
        <v>1268</v>
      </c>
      <c r="B170" s="9">
        <v>2</v>
      </c>
      <c r="C170" s="257" t="s">
        <v>9190</v>
      </c>
      <c r="D170" s="9">
        <v>1728935.5716552734</v>
      </c>
      <c r="E170" s="9">
        <v>1728935.5716552734</v>
      </c>
      <c r="F170" s="257" t="s">
        <v>13999</v>
      </c>
      <c r="G170" s="9"/>
      <c r="H170" s="257" t="s">
        <v>18336</v>
      </c>
      <c r="I170" s="9">
        <v>1</v>
      </c>
    </row>
    <row r="171" spans="1:9">
      <c r="A171" s="257" t="s">
        <v>1269</v>
      </c>
      <c r="B171" s="9">
        <v>2</v>
      </c>
      <c r="C171" s="257" t="s">
        <v>9191</v>
      </c>
      <c r="D171" s="9">
        <v>2422495160.681179</v>
      </c>
      <c r="E171" s="9">
        <v>1728935.5716552734</v>
      </c>
      <c r="F171" s="257" t="s">
        <v>13999</v>
      </c>
      <c r="G171" s="9"/>
      <c r="H171" s="257" t="s">
        <v>18337</v>
      </c>
      <c r="I171" s="9">
        <v>1</v>
      </c>
    </row>
    <row r="172" spans="1:9">
      <c r="A172" s="257" t="s">
        <v>1270</v>
      </c>
      <c r="B172" s="9">
        <v>2</v>
      </c>
      <c r="C172" s="257" t="s">
        <v>9192</v>
      </c>
      <c r="D172" s="9">
        <v>1</v>
      </c>
      <c r="E172" s="9">
        <v>1728935.5716552734</v>
      </c>
      <c r="F172" s="257" t="s">
        <v>13999</v>
      </c>
      <c r="G172" s="9"/>
      <c r="H172" s="257" t="s">
        <v>18338</v>
      </c>
      <c r="I172" s="9">
        <v>1</v>
      </c>
    </row>
    <row r="173" spans="1:9">
      <c r="A173" s="257" t="s">
        <v>1271</v>
      </c>
      <c r="B173" s="9">
        <v>2</v>
      </c>
      <c r="C173" s="257" t="s">
        <v>9193</v>
      </c>
      <c r="D173" s="9">
        <v>1401.148313677123</v>
      </c>
      <c r="E173" s="9">
        <v>1728935.5716552734</v>
      </c>
      <c r="F173" s="257" t="s">
        <v>13999</v>
      </c>
      <c r="G173" s="9"/>
      <c r="H173" s="257" t="s">
        <v>18339</v>
      </c>
      <c r="I173" s="9">
        <v>1</v>
      </c>
    </row>
    <row r="174" spans="1:9">
      <c r="A174" s="257" t="s">
        <v>1272</v>
      </c>
      <c r="B174" s="9">
        <v>2</v>
      </c>
      <c r="C174" s="257" t="s">
        <v>9194</v>
      </c>
      <c r="D174" s="9">
        <v>1728935.5716552734</v>
      </c>
      <c r="E174" s="9">
        <v>1728935.5716552734</v>
      </c>
      <c r="F174" s="257" t="s">
        <v>14000</v>
      </c>
      <c r="G174" s="9"/>
      <c r="H174" s="257" t="s">
        <v>18340</v>
      </c>
      <c r="I174" s="9">
        <v>1</v>
      </c>
    </row>
    <row r="175" spans="1:9">
      <c r="A175" s="257" t="s">
        <v>1273</v>
      </c>
      <c r="B175" s="9">
        <v>2</v>
      </c>
      <c r="C175" s="257" t="s">
        <v>9195</v>
      </c>
      <c r="D175" s="9">
        <v>3186835083.1358814</v>
      </c>
      <c r="E175" s="9">
        <v>1728935.5716552734</v>
      </c>
      <c r="F175" s="257" t="s">
        <v>14000</v>
      </c>
      <c r="G175" s="9"/>
      <c r="H175" s="257" t="s">
        <v>18341</v>
      </c>
      <c r="I175" s="9">
        <v>1</v>
      </c>
    </row>
    <row r="176" spans="1:9">
      <c r="A176" s="257" t="s">
        <v>1274</v>
      </c>
      <c r="B176" s="9">
        <v>2</v>
      </c>
      <c r="C176" s="257" t="s">
        <v>9196</v>
      </c>
      <c r="D176" s="9">
        <v>1</v>
      </c>
      <c r="E176" s="9">
        <v>1728935.5716552734</v>
      </c>
      <c r="F176" s="257" t="s">
        <v>14000</v>
      </c>
      <c r="G176" s="9"/>
      <c r="H176" s="257" t="s">
        <v>18342</v>
      </c>
      <c r="I176" s="9">
        <v>1</v>
      </c>
    </row>
    <row r="177" spans="1:9">
      <c r="A177" s="257" t="s">
        <v>1275</v>
      </c>
      <c r="B177" s="9">
        <v>2</v>
      </c>
      <c r="C177" s="257" t="s">
        <v>9197</v>
      </c>
      <c r="D177" s="9">
        <v>1843.2353034907037</v>
      </c>
      <c r="E177" s="9">
        <v>1728935.5716552734</v>
      </c>
      <c r="F177" s="257" t="s">
        <v>14000</v>
      </c>
      <c r="G177" s="9"/>
      <c r="H177" s="257" t="s">
        <v>18343</v>
      </c>
      <c r="I177" s="9">
        <v>1</v>
      </c>
    </row>
    <row r="178" spans="1:9">
      <c r="A178" s="257" t="s">
        <v>1276</v>
      </c>
      <c r="B178" s="9">
        <v>2</v>
      </c>
      <c r="C178" s="257" t="s">
        <v>9198</v>
      </c>
      <c r="D178" s="9">
        <v>462838.70304870605</v>
      </c>
      <c r="E178" s="9">
        <v>1728935.5716552734</v>
      </c>
      <c r="F178" s="257" t="s">
        <v>14001</v>
      </c>
      <c r="G178" s="9"/>
      <c r="H178" s="257" t="s">
        <v>18344</v>
      </c>
      <c r="I178" s="9">
        <v>1</v>
      </c>
    </row>
    <row r="179" spans="1:9">
      <c r="A179" s="257" t="s">
        <v>1277</v>
      </c>
      <c r="B179" s="9">
        <v>2</v>
      </c>
      <c r="C179" s="257" t="s">
        <v>9199</v>
      </c>
      <c r="D179" s="9">
        <v>1940825086.318881</v>
      </c>
      <c r="E179" s="9">
        <v>1728935.5716552734</v>
      </c>
      <c r="F179" s="257" t="s">
        <v>14001</v>
      </c>
      <c r="G179" s="9"/>
      <c r="H179" s="257" t="s">
        <v>18345</v>
      </c>
      <c r="I179" s="9">
        <v>1</v>
      </c>
    </row>
    <row r="180" spans="1:9">
      <c r="A180" s="257" t="s">
        <v>1278</v>
      </c>
      <c r="B180" s="9">
        <v>2</v>
      </c>
      <c r="C180" s="257" t="s">
        <v>9200</v>
      </c>
      <c r="D180" s="9">
        <v>0.26770153303375371</v>
      </c>
      <c r="E180" s="9">
        <v>1728935.5716552734</v>
      </c>
      <c r="F180" s="257" t="s">
        <v>14001</v>
      </c>
      <c r="G180" s="9"/>
      <c r="H180" s="257" t="s">
        <v>18346</v>
      </c>
      <c r="I180" s="9">
        <v>1</v>
      </c>
    </row>
    <row r="181" spans="1:9">
      <c r="A181" s="257" t="s">
        <v>1279</v>
      </c>
      <c r="B181" s="9">
        <v>2</v>
      </c>
      <c r="C181" s="257" t="s">
        <v>9201</v>
      </c>
      <c r="D181" s="9">
        <v>1122.5548933907039</v>
      </c>
      <c r="E181" s="9">
        <v>1728935.5716552734</v>
      </c>
      <c r="F181" s="257" t="s">
        <v>14001</v>
      </c>
      <c r="G181" s="9"/>
      <c r="H181" s="257" t="s">
        <v>18347</v>
      </c>
      <c r="I181" s="9">
        <v>1</v>
      </c>
    </row>
    <row r="182" spans="1:9">
      <c r="A182" s="257" t="s">
        <v>1280</v>
      </c>
      <c r="B182" s="9">
        <v>2</v>
      </c>
      <c r="C182" s="257" t="s">
        <v>9202</v>
      </c>
      <c r="D182" s="9">
        <v>1728935.5716552734</v>
      </c>
      <c r="E182" s="9">
        <v>1728935.5716552734</v>
      </c>
      <c r="F182" s="257" t="s">
        <v>14002</v>
      </c>
      <c r="G182" s="9"/>
      <c r="H182" s="257" t="s">
        <v>18348</v>
      </c>
      <c r="I182" s="9">
        <v>1</v>
      </c>
    </row>
    <row r="183" spans="1:9">
      <c r="A183" s="257" t="s">
        <v>1281</v>
      </c>
      <c r="B183" s="9">
        <v>2</v>
      </c>
      <c r="C183" s="257" t="s">
        <v>9203</v>
      </c>
      <c r="D183" s="9">
        <v>738302414.01946187</v>
      </c>
      <c r="E183" s="9">
        <v>1728935.5716552734</v>
      </c>
      <c r="F183" s="257" t="s">
        <v>14002</v>
      </c>
      <c r="G183" s="9"/>
      <c r="H183" s="257" t="s">
        <v>18349</v>
      </c>
      <c r="I183" s="9">
        <v>1</v>
      </c>
    </row>
    <row r="184" spans="1:9">
      <c r="A184" s="257" t="s">
        <v>1282</v>
      </c>
      <c r="B184" s="9">
        <v>2</v>
      </c>
      <c r="C184" s="257" t="s">
        <v>9204</v>
      </c>
      <c r="D184" s="9">
        <v>1</v>
      </c>
      <c r="E184" s="9">
        <v>1728935.5716552734</v>
      </c>
      <c r="F184" s="257" t="s">
        <v>14002</v>
      </c>
      <c r="G184" s="9"/>
      <c r="H184" s="257" t="s">
        <v>18350</v>
      </c>
      <c r="I184" s="9">
        <v>1</v>
      </c>
    </row>
    <row r="185" spans="1:9">
      <c r="A185" s="257" t="s">
        <v>1283</v>
      </c>
      <c r="B185" s="9">
        <v>2</v>
      </c>
      <c r="C185" s="257" t="s">
        <v>9205</v>
      </c>
      <c r="D185" s="9">
        <v>427.02714093192913</v>
      </c>
      <c r="E185" s="9">
        <v>1728935.5716552734</v>
      </c>
      <c r="F185" s="257" t="s">
        <v>14002</v>
      </c>
      <c r="G185" s="9"/>
      <c r="H185" s="257" t="s">
        <v>18351</v>
      </c>
      <c r="I185" s="9">
        <v>1</v>
      </c>
    </row>
    <row r="186" spans="1:9">
      <c r="A186" s="257" t="s">
        <v>1284</v>
      </c>
      <c r="B186" s="9">
        <v>2</v>
      </c>
      <c r="C186" s="257" t="s">
        <v>9206</v>
      </c>
      <c r="D186" s="9">
        <v>1728935.5716552734</v>
      </c>
      <c r="E186" s="9">
        <v>1728935.5716552734</v>
      </c>
      <c r="F186" s="257" t="s">
        <v>14003</v>
      </c>
      <c r="G186" s="9"/>
      <c r="H186" s="257" t="s">
        <v>18352</v>
      </c>
      <c r="I186" s="9">
        <v>1</v>
      </c>
    </row>
    <row r="187" spans="1:9">
      <c r="A187" s="257" t="s">
        <v>1285</v>
      </c>
      <c r="B187" s="9">
        <v>2</v>
      </c>
      <c r="C187" s="257" t="s">
        <v>9207</v>
      </c>
      <c r="D187" s="9">
        <v>2679127500.3383431</v>
      </c>
      <c r="E187" s="9">
        <v>1728935.5716552734</v>
      </c>
      <c r="F187" s="257" t="s">
        <v>14003</v>
      </c>
      <c r="G187" s="9"/>
      <c r="H187" s="257" t="s">
        <v>18353</v>
      </c>
      <c r="I187" s="9">
        <v>1</v>
      </c>
    </row>
    <row r="188" spans="1:9">
      <c r="A188" s="257" t="s">
        <v>1286</v>
      </c>
      <c r="B188" s="9">
        <v>2</v>
      </c>
      <c r="C188" s="257" t="s">
        <v>9208</v>
      </c>
      <c r="D188" s="9">
        <v>1</v>
      </c>
      <c r="E188" s="9">
        <v>1728935.5716552734</v>
      </c>
      <c r="F188" s="257" t="s">
        <v>14003</v>
      </c>
      <c r="G188" s="9"/>
      <c r="H188" s="257" t="s">
        <v>18354</v>
      </c>
      <c r="I188" s="9">
        <v>1</v>
      </c>
    </row>
    <row r="189" spans="1:9">
      <c r="A189" s="257" t="s">
        <v>1287</v>
      </c>
      <c r="B189" s="9">
        <v>2</v>
      </c>
      <c r="C189" s="257" t="s">
        <v>9209</v>
      </c>
      <c r="D189" s="9">
        <v>1549.582034322633</v>
      </c>
      <c r="E189" s="9">
        <v>1728935.5716552734</v>
      </c>
      <c r="F189" s="257" t="s">
        <v>14003</v>
      </c>
      <c r="G189" s="9"/>
      <c r="H189" s="257" t="s">
        <v>18355</v>
      </c>
      <c r="I189" s="9">
        <v>1</v>
      </c>
    </row>
    <row r="190" spans="1:9">
      <c r="A190" s="257" t="s">
        <v>1288</v>
      </c>
      <c r="B190" s="9">
        <v>2</v>
      </c>
      <c r="C190" s="257" t="s">
        <v>9210</v>
      </c>
      <c r="D190" s="9">
        <v>51071.08203125</v>
      </c>
      <c r="E190" s="9">
        <v>1728935.5716552734</v>
      </c>
      <c r="F190" s="257" t="s">
        <v>14004</v>
      </c>
      <c r="G190" s="9"/>
      <c r="H190" s="257" t="s">
        <v>18356</v>
      </c>
      <c r="I190" s="9">
        <v>1</v>
      </c>
    </row>
    <row r="191" spans="1:9">
      <c r="A191" s="257" t="s">
        <v>1289</v>
      </c>
      <c r="B191" s="9">
        <v>2</v>
      </c>
      <c r="C191" s="257" t="s">
        <v>9211</v>
      </c>
      <c r="D191" s="9">
        <v>52752148.668534569</v>
      </c>
      <c r="E191" s="9">
        <v>1728935.5716552734</v>
      </c>
      <c r="F191" s="257" t="s">
        <v>14004</v>
      </c>
      <c r="G191" s="9"/>
      <c r="H191" s="257" t="s">
        <v>18357</v>
      </c>
      <c r="I191" s="9">
        <v>1</v>
      </c>
    </row>
    <row r="192" spans="1:9">
      <c r="A192" s="257" t="s">
        <v>1290</v>
      </c>
      <c r="B192" s="9">
        <v>2</v>
      </c>
      <c r="C192" s="257" t="s">
        <v>9212</v>
      </c>
      <c r="D192" s="9">
        <v>2.9539031337272346E-2</v>
      </c>
      <c r="E192" s="9">
        <v>1728935.5716552734</v>
      </c>
      <c r="F192" s="257" t="s">
        <v>14004</v>
      </c>
      <c r="G192" s="9"/>
      <c r="H192" s="257" t="s">
        <v>18358</v>
      </c>
      <c r="I192" s="9">
        <v>1</v>
      </c>
    </row>
    <row r="193" spans="1:9">
      <c r="A193" s="257" t="s">
        <v>1291</v>
      </c>
      <c r="B193" s="9">
        <v>2</v>
      </c>
      <c r="C193" s="257" t="s">
        <v>9213</v>
      </c>
      <c r="D193" s="9">
        <v>30.511344397888667</v>
      </c>
      <c r="E193" s="9">
        <v>1728935.5716552734</v>
      </c>
      <c r="F193" s="257" t="s">
        <v>14004</v>
      </c>
      <c r="G193" s="9"/>
      <c r="H193" s="257" t="s">
        <v>18359</v>
      </c>
      <c r="I193" s="9">
        <v>1</v>
      </c>
    </row>
    <row r="194" spans="1:9">
      <c r="A194" s="257" t="s">
        <v>1292</v>
      </c>
      <c r="B194" s="9">
        <v>2</v>
      </c>
      <c r="C194" s="257" t="s">
        <v>9214</v>
      </c>
      <c r="D194" s="9">
        <v>371304.27395629883</v>
      </c>
      <c r="E194" s="9">
        <v>1728935.5716552734</v>
      </c>
      <c r="F194" s="257" t="s">
        <v>14005</v>
      </c>
      <c r="G194" s="9"/>
      <c r="H194" s="257" t="s">
        <v>18360</v>
      </c>
      <c r="I194" s="9">
        <v>1</v>
      </c>
    </row>
    <row r="195" spans="1:9">
      <c r="A195" s="257" t="s">
        <v>1293</v>
      </c>
      <c r="B195" s="9">
        <v>2</v>
      </c>
      <c r="C195" s="257" t="s">
        <v>9215</v>
      </c>
      <c r="D195" s="9">
        <v>764339922.45470273</v>
      </c>
      <c r="E195" s="9">
        <v>1728935.5716552734</v>
      </c>
      <c r="F195" s="257" t="s">
        <v>14005</v>
      </c>
      <c r="G195" s="9"/>
      <c r="H195" s="257" t="s">
        <v>18361</v>
      </c>
      <c r="I195" s="9">
        <v>1</v>
      </c>
    </row>
    <row r="196" spans="1:9">
      <c r="A196" s="257" t="s">
        <v>1294</v>
      </c>
      <c r="B196" s="9">
        <v>2</v>
      </c>
      <c r="C196" s="257" t="s">
        <v>9216</v>
      </c>
      <c r="D196" s="9">
        <v>0.21475888404610366</v>
      </c>
      <c r="E196" s="9">
        <v>1728935.5716552734</v>
      </c>
      <c r="F196" s="257" t="s">
        <v>14005</v>
      </c>
      <c r="G196" s="9"/>
      <c r="H196" s="257" t="s">
        <v>18362</v>
      </c>
      <c r="I196" s="9">
        <v>1</v>
      </c>
    </row>
    <row r="197" spans="1:9">
      <c r="A197" s="257" t="s">
        <v>1295</v>
      </c>
      <c r="B197" s="9">
        <v>2</v>
      </c>
      <c r="C197" s="257" t="s">
        <v>9217</v>
      </c>
      <c r="D197" s="9">
        <v>442.086989813581</v>
      </c>
      <c r="E197" s="9">
        <v>1728935.5716552734</v>
      </c>
      <c r="F197" s="257" t="s">
        <v>14005</v>
      </c>
      <c r="G197" s="9"/>
      <c r="H197" s="257" t="s">
        <v>18363</v>
      </c>
      <c r="I197" s="9">
        <v>1</v>
      </c>
    </row>
    <row r="198" spans="1:9">
      <c r="A198" s="257" t="s">
        <v>1296</v>
      </c>
      <c r="B198" s="9">
        <v>2</v>
      </c>
      <c r="C198" s="257" t="s">
        <v>9218</v>
      </c>
      <c r="D198" s="9">
        <v>0</v>
      </c>
      <c r="E198" s="9">
        <v>1728935.5716552734</v>
      </c>
      <c r="F198" s="257" t="s">
        <v>14006</v>
      </c>
      <c r="G198" s="9"/>
      <c r="H198" s="257" t="s">
        <v>18364</v>
      </c>
      <c r="I198" s="9">
        <v>1</v>
      </c>
    </row>
    <row r="199" spans="1:9">
      <c r="A199" s="257" t="s">
        <v>1297</v>
      </c>
      <c r="B199" s="9">
        <v>2</v>
      </c>
      <c r="C199" s="257" t="s">
        <v>9219</v>
      </c>
      <c r="D199" s="9">
        <v>0</v>
      </c>
      <c r="E199" s="9">
        <v>1728935.5716552734</v>
      </c>
      <c r="F199" s="257" t="s">
        <v>14006</v>
      </c>
      <c r="G199" s="9"/>
      <c r="H199" s="257" t="s">
        <v>18365</v>
      </c>
      <c r="I199" s="9">
        <v>1</v>
      </c>
    </row>
    <row r="200" spans="1:9">
      <c r="A200" s="257" t="s">
        <v>1298</v>
      </c>
      <c r="B200" s="9">
        <v>2</v>
      </c>
      <c r="C200" s="257" t="s">
        <v>9220</v>
      </c>
      <c r="D200" s="9">
        <v>0</v>
      </c>
      <c r="E200" s="9">
        <v>1728935.5716552734</v>
      </c>
      <c r="F200" s="257" t="s">
        <v>14006</v>
      </c>
      <c r="G200" s="9"/>
      <c r="H200" s="257" t="s">
        <v>18366</v>
      </c>
      <c r="I200" s="9">
        <v>1</v>
      </c>
    </row>
    <row r="201" spans="1:9">
      <c r="A201" s="257" t="s">
        <v>1299</v>
      </c>
      <c r="B201" s="9">
        <v>2</v>
      </c>
      <c r="C201" s="257" t="s">
        <v>9221</v>
      </c>
      <c r="D201" s="9">
        <v>0</v>
      </c>
      <c r="E201" s="9">
        <v>1728935.5716552734</v>
      </c>
      <c r="F201" s="257" t="s">
        <v>14006</v>
      </c>
      <c r="G201" s="9"/>
      <c r="H201" s="257" t="s">
        <v>18367</v>
      </c>
      <c r="I201" s="9">
        <v>1</v>
      </c>
    </row>
    <row r="202" spans="1:9">
      <c r="A202" s="257" t="s">
        <v>1300</v>
      </c>
      <c r="B202" s="9">
        <v>3</v>
      </c>
      <c r="C202" s="257" t="s">
        <v>9222</v>
      </c>
      <c r="D202" s="9">
        <v>558196.97508239746</v>
      </c>
      <c r="E202" s="9">
        <v>1724459.8235549927</v>
      </c>
      <c r="F202" s="257" t="s">
        <v>14007</v>
      </c>
      <c r="G202" s="9"/>
      <c r="H202" s="257" t="s">
        <v>18368</v>
      </c>
      <c r="I202" s="9">
        <v>1</v>
      </c>
    </row>
    <row r="203" spans="1:9">
      <c r="A203" s="257" t="s">
        <v>1301</v>
      </c>
      <c r="B203" s="9">
        <v>3</v>
      </c>
      <c r="C203" s="257" t="s">
        <v>9223</v>
      </c>
      <c r="D203" s="9">
        <v>1654621173.3655238</v>
      </c>
      <c r="E203" s="9">
        <v>1724459.8235549927</v>
      </c>
      <c r="F203" s="257" t="s">
        <v>14007</v>
      </c>
      <c r="G203" s="9"/>
      <c r="H203" s="257" t="s">
        <v>18369</v>
      </c>
      <c r="I203" s="9">
        <v>1</v>
      </c>
    </row>
    <row r="204" spans="1:9">
      <c r="A204" s="257" t="s">
        <v>1302</v>
      </c>
      <c r="B204" s="9">
        <v>3</v>
      </c>
      <c r="C204" s="257" t="s">
        <v>9224</v>
      </c>
      <c r="D204" s="9">
        <v>0.32369381266979497</v>
      </c>
      <c r="E204" s="9">
        <v>1724459.8235549927</v>
      </c>
      <c r="F204" s="257" t="s">
        <v>14007</v>
      </c>
      <c r="G204" s="9"/>
      <c r="H204" s="257" t="s">
        <v>18370</v>
      </c>
      <c r="I204" s="9">
        <v>1</v>
      </c>
    </row>
    <row r="205" spans="1:9">
      <c r="A205" s="257" t="s">
        <v>1303</v>
      </c>
      <c r="B205" s="9">
        <v>3</v>
      </c>
      <c r="C205" s="257" t="s">
        <v>9225</v>
      </c>
      <c r="D205" s="9">
        <v>959.50114393184549</v>
      </c>
      <c r="E205" s="9">
        <v>1724459.8235549927</v>
      </c>
      <c r="F205" s="257" t="s">
        <v>14007</v>
      </c>
      <c r="G205" s="9"/>
      <c r="H205" s="257" t="s">
        <v>18371</v>
      </c>
      <c r="I205" s="9">
        <v>1</v>
      </c>
    </row>
    <row r="206" spans="1:9">
      <c r="A206" s="257" t="s">
        <v>1304</v>
      </c>
      <c r="B206" s="9">
        <v>3</v>
      </c>
      <c r="C206" s="257" t="s">
        <v>9226</v>
      </c>
      <c r="D206" s="9">
        <v>0</v>
      </c>
      <c r="E206" s="9">
        <v>1724459.8235549927</v>
      </c>
      <c r="F206" s="257" t="s">
        <v>14008</v>
      </c>
      <c r="G206" s="9"/>
      <c r="H206" s="257" t="s">
        <v>18372</v>
      </c>
      <c r="I206" s="9">
        <v>1</v>
      </c>
    </row>
    <row r="207" spans="1:9">
      <c r="A207" s="257" t="s">
        <v>1305</v>
      </c>
      <c r="B207" s="9">
        <v>3</v>
      </c>
      <c r="C207" s="257" t="s">
        <v>9227</v>
      </c>
      <c r="D207" s="9">
        <v>0</v>
      </c>
      <c r="E207" s="9">
        <v>1724459.8235549927</v>
      </c>
      <c r="F207" s="257" t="s">
        <v>14008</v>
      </c>
      <c r="G207" s="9"/>
      <c r="H207" s="257" t="s">
        <v>18373</v>
      </c>
      <c r="I207" s="9">
        <v>1</v>
      </c>
    </row>
    <row r="208" spans="1:9">
      <c r="A208" s="257" t="s">
        <v>1306</v>
      </c>
      <c r="B208" s="9">
        <v>3</v>
      </c>
      <c r="C208" s="257" t="s">
        <v>9228</v>
      </c>
      <c r="D208" s="9">
        <v>0</v>
      </c>
      <c r="E208" s="9">
        <v>1724459.8235549927</v>
      </c>
      <c r="F208" s="257" t="s">
        <v>14008</v>
      </c>
      <c r="G208" s="9"/>
      <c r="H208" s="257" t="s">
        <v>18374</v>
      </c>
      <c r="I208" s="9">
        <v>1</v>
      </c>
    </row>
    <row r="209" spans="1:9">
      <c r="A209" s="257" t="s">
        <v>1307</v>
      </c>
      <c r="B209" s="9">
        <v>3</v>
      </c>
      <c r="C209" s="257" t="s">
        <v>9229</v>
      </c>
      <c r="D209" s="9">
        <v>0</v>
      </c>
      <c r="E209" s="9">
        <v>1724459.8235549927</v>
      </c>
      <c r="F209" s="257" t="s">
        <v>14008</v>
      </c>
      <c r="G209" s="9"/>
      <c r="H209" s="257" t="s">
        <v>18375</v>
      </c>
      <c r="I209" s="9">
        <v>1</v>
      </c>
    </row>
    <row r="210" spans="1:9">
      <c r="A210" s="257" t="s">
        <v>1308</v>
      </c>
      <c r="B210" s="9">
        <v>3</v>
      </c>
      <c r="C210" s="257" t="s">
        <v>9230</v>
      </c>
      <c r="D210" s="9">
        <v>0</v>
      </c>
      <c r="E210" s="9">
        <v>1724459.8235549927</v>
      </c>
      <c r="F210" s="257" t="s">
        <v>14009</v>
      </c>
      <c r="G210" s="9"/>
      <c r="H210" s="257" t="s">
        <v>18376</v>
      </c>
      <c r="I210" s="9">
        <v>1</v>
      </c>
    </row>
    <row r="211" spans="1:9">
      <c r="A211" s="257" t="s">
        <v>1309</v>
      </c>
      <c r="B211" s="9">
        <v>3</v>
      </c>
      <c r="C211" s="257" t="s">
        <v>9231</v>
      </c>
      <c r="D211" s="9">
        <v>0</v>
      </c>
      <c r="E211" s="9">
        <v>1724459.8235549927</v>
      </c>
      <c r="F211" s="257" t="s">
        <v>14009</v>
      </c>
      <c r="G211" s="9"/>
      <c r="H211" s="257" t="s">
        <v>18377</v>
      </c>
      <c r="I211" s="9">
        <v>1</v>
      </c>
    </row>
    <row r="212" spans="1:9">
      <c r="A212" s="257" t="s">
        <v>1310</v>
      </c>
      <c r="B212" s="9">
        <v>3</v>
      </c>
      <c r="C212" s="257" t="s">
        <v>9232</v>
      </c>
      <c r="D212" s="9">
        <v>0</v>
      </c>
      <c r="E212" s="9">
        <v>1724459.8235549927</v>
      </c>
      <c r="F212" s="257" t="s">
        <v>14009</v>
      </c>
      <c r="G212" s="9"/>
      <c r="H212" s="257" t="s">
        <v>18378</v>
      </c>
      <c r="I212" s="9">
        <v>1</v>
      </c>
    </row>
    <row r="213" spans="1:9">
      <c r="A213" s="257" t="s">
        <v>1311</v>
      </c>
      <c r="B213" s="9">
        <v>3</v>
      </c>
      <c r="C213" s="257" t="s">
        <v>9233</v>
      </c>
      <c r="D213" s="9">
        <v>0</v>
      </c>
      <c r="E213" s="9">
        <v>1724459.8235549927</v>
      </c>
      <c r="F213" s="257" t="s">
        <v>14009</v>
      </c>
      <c r="G213" s="9"/>
      <c r="H213" s="257" t="s">
        <v>18379</v>
      </c>
      <c r="I213" s="9">
        <v>1</v>
      </c>
    </row>
    <row r="214" spans="1:9">
      <c r="A214" s="257" t="s">
        <v>1312</v>
      </c>
      <c r="B214" s="9">
        <v>3</v>
      </c>
      <c r="C214" s="257" t="s">
        <v>9234</v>
      </c>
      <c r="D214" s="9">
        <v>0</v>
      </c>
      <c r="E214" s="9">
        <v>1724459.8235549927</v>
      </c>
      <c r="F214" s="257" t="s">
        <v>14010</v>
      </c>
      <c r="G214" s="9"/>
      <c r="H214" s="257" t="s">
        <v>18380</v>
      </c>
      <c r="I214" s="9">
        <v>1</v>
      </c>
    </row>
    <row r="215" spans="1:9">
      <c r="A215" s="257" t="s">
        <v>1313</v>
      </c>
      <c r="B215" s="9">
        <v>3</v>
      </c>
      <c r="C215" s="257" t="s">
        <v>9235</v>
      </c>
      <c r="D215" s="9">
        <v>0</v>
      </c>
      <c r="E215" s="9">
        <v>1724459.8235549927</v>
      </c>
      <c r="F215" s="257" t="s">
        <v>14010</v>
      </c>
      <c r="G215" s="9"/>
      <c r="H215" s="257" t="s">
        <v>18381</v>
      </c>
      <c r="I215" s="9">
        <v>1</v>
      </c>
    </row>
    <row r="216" spans="1:9">
      <c r="A216" s="257" t="s">
        <v>1314</v>
      </c>
      <c r="B216" s="9">
        <v>3</v>
      </c>
      <c r="C216" s="257" t="s">
        <v>9236</v>
      </c>
      <c r="D216" s="9">
        <v>0</v>
      </c>
      <c r="E216" s="9">
        <v>1724459.8235549927</v>
      </c>
      <c r="F216" s="257" t="s">
        <v>14010</v>
      </c>
      <c r="G216" s="9"/>
      <c r="H216" s="257" t="s">
        <v>18382</v>
      </c>
      <c r="I216" s="9">
        <v>1</v>
      </c>
    </row>
    <row r="217" spans="1:9">
      <c r="A217" s="257" t="s">
        <v>1315</v>
      </c>
      <c r="B217" s="9">
        <v>3</v>
      </c>
      <c r="C217" s="257" t="s">
        <v>9237</v>
      </c>
      <c r="D217" s="9">
        <v>0</v>
      </c>
      <c r="E217" s="9">
        <v>1724459.8235549927</v>
      </c>
      <c r="F217" s="257" t="s">
        <v>14010</v>
      </c>
      <c r="G217" s="9"/>
      <c r="H217" s="257" t="s">
        <v>18383</v>
      </c>
      <c r="I217" s="9">
        <v>1</v>
      </c>
    </row>
    <row r="218" spans="1:9">
      <c r="A218" s="257" t="s">
        <v>1316</v>
      </c>
      <c r="B218" s="9">
        <v>3</v>
      </c>
      <c r="C218" s="257" t="s">
        <v>9238</v>
      </c>
      <c r="D218" s="9">
        <v>0</v>
      </c>
      <c r="E218" s="9">
        <v>1724459.8235549927</v>
      </c>
      <c r="F218" s="257" t="s">
        <v>14011</v>
      </c>
      <c r="G218" s="9"/>
      <c r="H218" s="257" t="s">
        <v>18384</v>
      </c>
      <c r="I218" s="9">
        <v>1</v>
      </c>
    </row>
    <row r="219" spans="1:9">
      <c r="A219" s="257" t="s">
        <v>1317</v>
      </c>
      <c r="B219" s="9">
        <v>3</v>
      </c>
      <c r="C219" s="257" t="s">
        <v>9239</v>
      </c>
      <c r="D219" s="9">
        <v>0</v>
      </c>
      <c r="E219" s="9">
        <v>1724459.8235549927</v>
      </c>
      <c r="F219" s="257" t="s">
        <v>14011</v>
      </c>
      <c r="G219" s="9"/>
      <c r="H219" s="257" t="s">
        <v>18385</v>
      </c>
      <c r="I219" s="9">
        <v>1</v>
      </c>
    </row>
    <row r="220" spans="1:9">
      <c r="A220" s="257" t="s">
        <v>1318</v>
      </c>
      <c r="B220" s="9">
        <v>3</v>
      </c>
      <c r="C220" s="257" t="s">
        <v>9240</v>
      </c>
      <c r="D220" s="9">
        <v>0</v>
      </c>
      <c r="E220" s="9">
        <v>1724459.8235549927</v>
      </c>
      <c r="F220" s="257" t="s">
        <v>14011</v>
      </c>
      <c r="G220" s="9"/>
      <c r="H220" s="257" t="s">
        <v>18386</v>
      </c>
      <c r="I220" s="9">
        <v>1</v>
      </c>
    </row>
    <row r="221" spans="1:9">
      <c r="A221" s="257" t="s">
        <v>1319</v>
      </c>
      <c r="B221" s="9">
        <v>3</v>
      </c>
      <c r="C221" s="257" t="s">
        <v>9241</v>
      </c>
      <c r="D221" s="9">
        <v>0</v>
      </c>
      <c r="E221" s="9">
        <v>1724459.8235549927</v>
      </c>
      <c r="F221" s="257" t="s">
        <v>14011</v>
      </c>
      <c r="G221" s="9"/>
      <c r="H221" s="257" t="s">
        <v>18387</v>
      </c>
      <c r="I221" s="9">
        <v>1</v>
      </c>
    </row>
    <row r="222" spans="1:9">
      <c r="A222" s="257" t="s">
        <v>1320</v>
      </c>
      <c r="B222" s="9">
        <v>3</v>
      </c>
      <c r="C222" s="257" t="s">
        <v>9242</v>
      </c>
      <c r="D222" s="9">
        <v>0</v>
      </c>
      <c r="E222" s="9">
        <v>1724459.8235549927</v>
      </c>
      <c r="F222" s="257" t="s">
        <v>14012</v>
      </c>
      <c r="G222" s="9"/>
      <c r="H222" s="257" t="s">
        <v>18388</v>
      </c>
      <c r="I222" s="9">
        <v>1</v>
      </c>
    </row>
    <row r="223" spans="1:9">
      <c r="A223" s="257" t="s">
        <v>1321</v>
      </c>
      <c r="B223" s="9">
        <v>3</v>
      </c>
      <c r="C223" s="257" t="s">
        <v>9243</v>
      </c>
      <c r="D223" s="9">
        <v>0</v>
      </c>
      <c r="E223" s="9">
        <v>1724459.8235549927</v>
      </c>
      <c r="F223" s="257" t="s">
        <v>14012</v>
      </c>
      <c r="G223" s="9"/>
      <c r="H223" s="257" t="s">
        <v>18389</v>
      </c>
      <c r="I223" s="9">
        <v>1</v>
      </c>
    </row>
    <row r="224" spans="1:9">
      <c r="A224" s="257" t="s">
        <v>1322</v>
      </c>
      <c r="B224" s="9">
        <v>3</v>
      </c>
      <c r="C224" s="257" t="s">
        <v>9244</v>
      </c>
      <c r="D224" s="9">
        <v>0</v>
      </c>
      <c r="E224" s="9">
        <v>1724459.8235549927</v>
      </c>
      <c r="F224" s="257" t="s">
        <v>14012</v>
      </c>
      <c r="G224" s="9"/>
      <c r="H224" s="257" t="s">
        <v>18390</v>
      </c>
      <c r="I224" s="9">
        <v>1</v>
      </c>
    </row>
    <row r="225" spans="1:9">
      <c r="A225" s="257" t="s">
        <v>1323</v>
      </c>
      <c r="B225" s="9">
        <v>3</v>
      </c>
      <c r="C225" s="257" t="s">
        <v>9245</v>
      </c>
      <c r="D225" s="9">
        <v>0</v>
      </c>
      <c r="E225" s="9">
        <v>1724459.8235549927</v>
      </c>
      <c r="F225" s="257" t="s">
        <v>14012</v>
      </c>
      <c r="G225" s="9"/>
      <c r="H225" s="257" t="s">
        <v>18391</v>
      </c>
      <c r="I225" s="9">
        <v>1</v>
      </c>
    </row>
    <row r="226" spans="1:9">
      <c r="A226" s="257" t="s">
        <v>1324</v>
      </c>
      <c r="B226" s="9">
        <v>3</v>
      </c>
      <c r="C226" s="257" t="s">
        <v>9246</v>
      </c>
      <c r="D226" s="9">
        <v>0</v>
      </c>
      <c r="E226" s="9">
        <v>1724459.8235549927</v>
      </c>
      <c r="F226" s="257" t="s">
        <v>14013</v>
      </c>
      <c r="G226" s="9"/>
      <c r="H226" s="257" t="s">
        <v>18392</v>
      </c>
      <c r="I226" s="9">
        <v>1</v>
      </c>
    </row>
    <row r="227" spans="1:9">
      <c r="A227" s="257" t="s">
        <v>1325</v>
      </c>
      <c r="B227" s="9">
        <v>3</v>
      </c>
      <c r="C227" s="257" t="s">
        <v>9247</v>
      </c>
      <c r="D227" s="9">
        <v>0</v>
      </c>
      <c r="E227" s="9">
        <v>1724459.8235549927</v>
      </c>
      <c r="F227" s="257" t="s">
        <v>14013</v>
      </c>
      <c r="G227" s="9"/>
      <c r="H227" s="257" t="s">
        <v>18393</v>
      </c>
      <c r="I227" s="9">
        <v>1</v>
      </c>
    </row>
    <row r="228" spans="1:9">
      <c r="A228" s="257" t="s">
        <v>1326</v>
      </c>
      <c r="B228" s="9">
        <v>3</v>
      </c>
      <c r="C228" s="257" t="s">
        <v>9248</v>
      </c>
      <c r="D228" s="9">
        <v>0</v>
      </c>
      <c r="E228" s="9">
        <v>1724459.8235549927</v>
      </c>
      <c r="F228" s="257" t="s">
        <v>14013</v>
      </c>
      <c r="G228" s="9"/>
      <c r="H228" s="257" t="s">
        <v>18394</v>
      </c>
      <c r="I228" s="9">
        <v>1</v>
      </c>
    </row>
    <row r="229" spans="1:9">
      <c r="A229" s="257" t="s">
        <v>1327</v>
      </c>
      <c r="B229" s="9">
        <v>3</v>
      </c>
      <c r="C229" s="257" t="s">
        <v>9249</v>
      </c>
      <c r="D229" s="9">
        <v>0</v>
      </c>
      <c r="E229" s="9">
        <v>1724459.8235549927</v>
      </c>
      <c r="F229" s="257" t="s">
        <v>14013</v>
      </c>
      <c r="G229" s="9"/>
      <c r="H229" s="257" t="s">
        <v>18395</v>
      </c>
      <c r="I229" s="9">
        <v>1</v>
      </c>
    </row>
    <row r="230" spans="1:9">
      <c r="A230" s="257" t="s">
        <v>1328</v>
      </c>
      <c r="B230" s="9">
        <v>3</v>
      </c>
      <c r="C230" s="257" t="s">
        <v>9250</v>
      </c>
      <c r="D230" s="9">
        <v>0</v>
      </c>
      <c r="E230" s="9">
        <v>1724459.8235549927</v>
      </c>
      <c r="F230" s="257" t="s">
        <v>14014</v>
      </c>
      <c r="G230" s="9"/>
      <c r="H230" s="257" t="s">
        <v>18396</v>
      </c>
      <c r="I230" s="9">
        <v>1</v>
      </c>
    </row>
    <row r="231" spans="1:9">
      <c r="A231" s="257" t="s">
        <v>1329</v>
      </c>
      <c r="B231" s="9">
        <v>3</v>
      </c>
      <c r="C231" s="257" t="s">
        <v>9251</v>
      </c>
      <c r="D231" s="9">
        <v>0</v>
      </c>
      <c r="E231" s="9">
        <v>1724459.8235549927</v>
      </c>
      <c r="F231" s="257" t="s">
        <v>14014</v>
      </c>
      <c r="G231" s="9"/>
      <c r="H231" s="257" t="s">
        <v>18397</v>
      </c>
      <c r="I231" s="9">
        <v>1</v>
      </c>
    </row>
    <row r="232" spans="1:9">
      <c r="A232" s="257" t="s">
        <v>1330</v>
      </c>
      <c r="B232" s="9">
        <v>3</v>
      </c>
      <c r="C232" s="257" t="s">
        <v>9252</v>
      </c>
      <c r="D232" s="9">
        <v>0</v>
      </c>
      <c r="E232" s="9">
        <v>1724459.8235549927</v>
      </c>
      <c r="F232" s="257" t="s">
        <v>14014</v>
      </c>
      <c r="G232" s="9"/>
      <c r="H232" s="257" t="s">
        <v>18398</v>
      </c>
      <c r="I232" s="9">
        <v>1</v>
      </c>
    </row>
    <row r="233" spans="1:9">
      <c r="A233" s="257" t="s">
        <v>1331</v>
      </c>
      <c r="B233" s="9">
        <v>3</v>
      </c>
      <c r="C233" s="257" t="s">
        <v>9253</v>
      </c>
      <c r="D233" s="9">
        <v>0</v>
      </c>
      <c r="E233" s="9">
        <v>1724459.8235549927</v>
      </c>
      <c r="F233" s="257" t="s">
        <v>14014</v>
      </c>
      <c r="G233" s="9"/>
      <c r="H233" s="257" t="s">
        <v>18399</v>
      </c>
      <c r="I233" s="9">
        <v>1</v>
      </c>
    </row>
    <row r="234" spans="1:9">
      <c r="A234" s="257" t="s">
        <v>1332</v>
      </c>
      <c r="B234" s="9">
        <v>3</v>
      </c>
      <c r="C234" s="257" t="s">
        <v>9254</v>
      </c>
      <c r="D234" s="9">
        <v>1724459.8235549927</v>
      </c>
      <c r="E234" s="9">
        <v>1724459.8235549927</v>
      </c>
      <c r="F234" s="257" t="s">
        <v>14015</v>
      </c>
      <c r="G234" s="9"/>
      <c r="H234" s="257" t="s">
        <v>18400</v>
      </c>
      <c r="I234" s="9">
        <v>1</v>
      </c>
    </row>
    <row r="235" spans="1:9">
      <c r="A235" s="257" t="s">
        <v>1333</v>
      </c>
      <c r="B235" s="9">
        <v>3</v>
      </c>
      <c r="C235" s="257" t="s">
        <v>9255</v>
      </c>
      <c r="D235" s="9">
        <v>6694238225.553441</v>
      </c>
      <c r="E235" s="9">
        <v>1724459.8235549927</v>
      </c>
      <c r="F235" s="257" t="s">
        <v>14015</v>
      </c>
      <c r="G235" s="9"/>
      <c r="H235" s="257" t="s">
        <v>18401</v>
      </c>
      <c r="I235" s="9">
        <v>1</v>
      </c>
    </row>
    <row r="236" spans="1:9">
      <c r="A236" s="257" t="s">
        <v>1334</v>
      </c>
      <c r="B236" s="9">
        <v>3</v>
      </c>
      <c r="C236" s="257" t="s">
        <v>9256</v>
      </c>
      <c r="D236" s="9">
        <v>1</v>
      </c>
      <c r="E236" s="9">
        <v>1724459.8235549927</v>
      </c>
      <c r="F236" s="257" t="s">
        <v>14015</v>
      </c>
      <c r="G236" s="9"/>
      <c r="H236" s="257" t="s">
        <v>18402</v>
      </c>
      <c r="I236" s="9">
        <v>1</v>
      </c>
    </row>
    <row r="237" spans="1:9">
      <c r="A237" s="257" t="s">
        <v>1335</v>
      </c>
      <c r="B237" s="9">
        <v>3</v>
      </c>
      <c r="C237" s="257" t="s">
        <v>9257</v>
      </c>
      <c r="D237" s="9">
        <v>3881.9334229273004</v>
      </c>
      <c r="E237" s="9">
        <v>1724459.8235549927</v>
      </c>
      <c r="F237" s="257" t="s">
        <v>14015</v>
      </c>
      <c r="G237" s="9"/>
      <c r="H237" s="257" t="s">
        <v>18403</v>
      </c>
      <c r="I237" s="9">
        <v>1</v>
      </c>
    </row>
    <row r="238" spans="1:9">
      <c r="A238" s="257" t="s">
        <v>1336</v>
      </c>
      <c r="B238" s="9">
        <v>3</v>
      </c>
      <c r="C238" s="257" t="s">
        <v>9258</v>
      </c>
      <c r="D238" s="9">
        <v>1724459.8235549927</v>
      </c>
      <c r="E238" s="9">
        <v>1724459.8235549927</v>
      </c>
      <c r="F238" s="257" t="s">
        <v>14016</v>
      </c>
      <c r="G238" s="9"/>
      <c r="H238" s="257" t="s">
        <v>18404</v>
      </c>
      <c r="I238" s="9">
        <v>1</v>
      </c>
    </row>
    <row r="239" spans="1:9">
      <c r="A239" s="257" t="s">
        <v>1337</v>
      </c>
      <c r="B239" s="9">
        <v>3</v>
      </c>
      <c r="C239" s="257" t="s">
        <v>9259</v>
      </c>
      <c r="D239" s="9">
        <v>6694238225.553441</v>
      </c>
      <c r="E239" s="9">
        <v>1724459.8235549927</v>
      </c>
      <c r="F239" s="257" t="s">
        <v>14016</v>
      </c>
      <c r="G239" s="9"/>
      <c r="H239" s="257" t="s">
        <v>18405</v>
      </c>
      <c r="I239" s="9">
        <v>1</v>
      </c>
    </row>
    <row r="240" spans="1:9">
      <c r="A240" s="257" t="s">
        <v>1338</v>
      </c>
      <c r="B240" s="9">
        <v>3</v>
      </c>
      <c r="C240" s="257" t="s">
        <v>9260</v>
      </c>
      <c r="D240" s="9">
        <v>1</v>
      </c>
      <c r="E240" s="9">
        <v>1724459.8235549927</v>
      </c>
      <c r="F240" s="257" t="s">
        <v>14016</v>
      </c>
      <c r="G240" s="9"/>
      <c r="H240" s="257" t="s">
        <v>18406</v>
      </c>
      <c r="I240" s="9">
        <v>1</v>
      </c>
    </row>
    <row r="241" spans="1:9">
      <c r="A241" s="257" t="s">
        <v>1339</v>
      </c>
      <c r="B241" s="9">
        <v>3</v>
      </c>
      <c r="C241" s="257" t="s">
        <v>9261</v>
      </c>
      <c r="D241" s="9">
        <v>3881.9334229273004</v>
      </c>
      <c r="E241" s="9">
        <v>1724459.8235549927</v>
      </c>
      <c r="F241" s="257" t="s">
        <v>14016</v>
      </c>
      <c r="G241" s="9"/>
      <c r="H241" s="257" t="s">
        <v>18407</v>
      </c>
      <c r="I241" s="9">
        <v>1</v>
      </c>
    </row>
    <row r="242" spans="1:9">
      <c r="A242" s="257" t="s">
        <v>1340</v>
      </c>
      <c r="B242" s="9">
        <v>3</v>
      </c>
      <c r="C242" s="257" t="s">
        <v>9262</v>
      </c>
      <c r="D242" s="9">
        <v>1724459.8235549927</v>
      </c>
      <c r="E242" s="9">
        <v>1724459.8235549927</v>
      </c>
      <c r="F242" s="257" t="s">
        <v>14017</v>
      </c>
      <c r="G242" s="9"/>
      <c r="H242" s="257" t="s">
        <v>18408</v>
      </c>
      <c r="I242" s="9">
        <v>1</v>
      </c>
    </row>
    <row r="243" spans="1:9">
      <c r="A243" s="257" t="s">
        <v>1341</v>
      </c>
      <c r="B243" s="9">
        <v>3</v>
      </c>
      <c r="C243" s="257" t="s">
        <v>9263</v>
      </c>
      <c r="D243" s="9">
        <v>6694238225.553441</v>
      </c>
      <c r="E243" s="9">
        <v>1724459.8235549927</v>
      </c>
      <c r="F243" s="257" t="s">
        <v>14017</v>
      </c>
      <c r="G243" s="9"/>
      <c r="H243" s="257" t="s">
        <v>18409</v>
      </c>
      <c r="I243" s="9">
        <v>1</v>
      </c>
    </row>
    <row r="244" spans="1:9">
      <c r="A244" s="257" t="s">
        <v>1342</v>
      </c>
      <c r="B244" s="9">
        <v>3</v>
      </c>
      <c r="C244" s="257" t="s">
        <v>9264</v>
      </c>
      <c r="D244" s="9">
        <v>1</v>
      </c>
      <c r="E244" s="9">
        <v>1724459.8235549927</v>
      </c>
      <c r="F244" s="257" t="s">
        <v>14017</v>
      </c>
      <c r="G244" s="9"/>
      <c r="H244" s="257" t="s">
        <v>18410</v>
      </c>
      <c r="I244" s="9">
        <v>1</v>
      </c>
    </row>
    <row r="245" spans="1:9">
      <c r="A245" s="257" t="s">
        <v>1343</v>
      </c>
      <c r="B245" s="9">
        <v>3</v>
      </c>
      <c r="C245" s="257" t="s">
        <v>9265</v>
      </c>
      <c r="D245" s="9">
        <v>3881.9334229273004</v>
      </c>
      <c r="E245" s="9">
        <v>1724459.8235549927</v>
      </c>
      <c r="F245" s="257" t="s">
        <v>14017</v>
      </c>
      <c r="G245" s="9"/>
      <c r="H245" s="257" t="s">
        <v>18411</v>
      </c>
      <c r="I245" s="9">
        <v>1</v>
      </c>
    </row>
    <row r="246" spans="1:9">
      <c r="A246" s="257" t="s">
        <v>1344</v>
      </c>
      <c r="B246" s="9">
        <v>3</v>
      </c>
      <c r="C246" s="257" t="s">
        <v>9266</v>
      </c>
      <c r="D246" s="9">
        <v>1724459.8235549927</v>
      </c>
      <c r="E246" s="9">
        <v>1724459.8235549927</v>
      </c>
      <c r="F246" s="257" t="s">
        <v>14018</v>
      </c>
      <c r="G246" s="9"/>
      <c r="H246" s="257" t="s">
        <v>18412</v>
      </c>
      <c r="I246" s="9">
        <v>1</v>
      </c>
    </row>
    <row r="247" spans="1:9">
      <c r="A247" s="257" t="s">
        <v>1345</v>
      </c>
      <c r="B247" s="9">
        <v>3</v>
      </c>
      <c r="C247" s="257" t="s">
        <v>9267</v>
      </c>
      <c r="D247" s="9">
        <v>1923898713.8365693</v>
      </c>
      <c r="E247" s="9">
        <v>1724459.8235549927</v>
      </c>
      <c r="F247" s="257" t="s">
        <v>14018</v>
      </c>
      <c r="G247" s="9"/>
      <c r="H247" s="257" t="s">
        <v>18413</v>
      </c>
      <c r="I247" s="9">
        <v>1</v>
      </c>
    </row>
    <row r="248" spans="1:9">
      <c r="A248" s="257" t="s">
        <v>1346</v>
      </c>
      <c r="B248" s="9">
        <v>3</v>
      </c>
      <c r="C248" s="257" t="s">
        <v>9268</v>
      </c>
      <c r="D248" s="9">
        <v>1</v>
      </c>
      <c r="E248" s="9">
        <v>1724459.8235549927</v>
      </c>
      <c r="F248" s="257" t="s">
        <v>14018</v>
      </c>
      <c r="G248" s="9"/>
      <c r="H248" s="257" t="s">
        <v>18414</v>
      </c>
      <c r="I248" s="9">
        <v>1</v>
      </c>
    </row>
    <row r="249" spans="1:9">
      <c r="A249" s="257" t="s">
        <v>1347</v>
      </c>
      <c r="B249" s="9">
        <v>3</v>
      </c>
      <c r="C249" s="257" t="s">
        <v>9269</v>
      </c>
      <c r="D249" s="9">
        <v>1115.6529642253022</v>
      </c>
      <c r="E249" s="9">
        <v>1724459.8235549927</v>
      </c>
      <c r="F249" s="257" t="s">
        <v>14018</v>
      </c>
      <c r="G249" s="9"/>
      <c r="H249" s="257" t="s">
        <v>18415</v>
      </c>
      <c r="I249" s="9">
        <v>1</v>
      </c>
    </row>
    <row r="250" spans="1:9">
      <c r="A250" s="257" t="s">
        <v>1348</v>
      </c>
      <c r="B250" s="9">
        <v>3</v>
      </c>
      <c r="C250" s="257" t="s">
        <v>9270</v>
      </c>
      <c r="D250" s="9">
        <v>594773.77226257324</v>
      </c>
      <c r="E250" s="9">
        <v>1724459.8235549927</v>
      </c>
      <c r="F250" s="257" t="s">
        <v>14019</v>
      </c>
      <c r="G250" s="9"/>
      <c r="H250" s="257" t="s">
        <v>18416</v>
      </c>
      <c r="I250" s="9">
        <v>1</v>
      </c>
    </row>
    <row r="251" spans="1:9">
      <c r="A251" s="257" t="s">
        <v>1349</v>
      </c>
      <c r="B251" s="9">
        <v>3</v>
      </c>
      <c r="C251" s="257" t="s">
        <v>9271</v>
      </c>
      <c r="D251" s="9">
        <v>889233081.63862383</v>
      </c>
      <c r="E251" s="9">
        <v>1724459.8235549927</v>
      </c>
      <c r="F251" s="257" t="s">
        <v>14019</v>
      </c>
      <c r="G251" s="9"/>
      <c r="H251" s="257" t="s">
        <v>18417</v>
      </c>
      <c r="I251" s="9">
        <v>1</v>
      </c>
    </row>
    <row r="252" spans="1:9">
      <c r="A252" s="257" t="s">
        <v>1350</v>
      </c>
      <c r="B252" s="9">
        <v>3</v>
      </c>
      <c r="C252" s="257" t="s">
        <v>9272</v>
      </c>
      <c r="D252" s="9">
        <v>0.34490439506815568</v>
      </c>
      <c r="E252" s="9">
        <v>1724459.8235549927</v>
      </c>
      <c r="F252" s="257" t="s">
        <v>14019</v>
      </c>
      <c r="G252" s="9"/>
      <c r="H252" s="257" t="s">
        <v>18418</v>
      </c>
      <c r="I252" s="9">
        <v>1</v>
      </c>
    </row>
    <row r="253" spans="1:9">
      <c r="A253" s="257" t="s">
        <v>1351</v>
      </c>
      <c r="B253" s="9">
        <v>3</v>
      </c>
      <c r="C253" s="257" t="s">
        <v>9273</v>
      </c>
      <c r="D253" s="9">
        <v>515.65891503662874</v>
      </c>
      <c r="E253" s="9">
        <v>1724459.8235549927</v>
      </c>
      <c r="F253" s="257" t="s">
        <v>14019</v>
      </c>
      <c r="G253" s="9"/>
      <c r="H253" s="257" t="s">
        <v>18419</v>
      </c>
      <c r="I253" s="9">
        <v>1</v>
      </c>
    </row>
    <row r="254" spans="1:9">
      <c r="A254" s="257" t="s">
        <v>1352</v>
      </c>
      <c r="B254" s="9">
        <v>3</v>
      </c>
      <c r="C254" s="257" t="s">
        <v>9274</v>
      </c>
      <c r="D254" s="9">
        <v>1724459.8235549927</v>
      </c>
      <c r="E254" s="9">
        <v>1724459.8235549927</v>
      </c>
      <c r="F254" s="257" t="s">
        <v>14020</v>
      </c>
      <c r="G254" s="9"/>
      <c r="H254" s="257" t="s">
        <v>18420</v>
      </c>
      <c r="I254" s="9">
        <v>1</v>
      </c>
    </row>
    <row r="255" spans="1:9">
      <c r="A255" s="257" t="s">
        <v>1353</v>
      </c>
      <c r="B255" s="9">
        <v>3</v>
      </c>
      <c r="C255" s="257" t="s">
        <v>9275</v>
      </c>
      <c r="D255" s="9">
        <v>7583471307.1920643</v>
      </c>
      <c r="E255" s="9">
        <v>1724459.8235549927</v>
      </c>
      <c r="F255" s="257" t="s">
        <v>14020</v>
      </c>
      <c r="G255" s="9"/>
      <c r="H255" s="257" t="s">
        <v>18421</v>
      </c>
      <c r="I255" s="9">
        <v>1</v>
      </c>
    </row>
    <row r="256" spans="1:9">
      <c r="A256" s="257" t="s">
        <v>1354</v>
      </c>
      <c r="B256" s="9">
        <v>3</v>
      </c>
      <c r="C256" s="257" t="s">
        <v>9276</v>
      </c>
      <c r="D256" s="9">
        <v>1</v>
      </c>
      <c r="E256" s="9">
        <v>1724459.8235549927</v>
      </c>
      <c r="F256" s="257" t="s">
        <v>14020</v>
      </c>
      <c r="G256" s="9"/>
      <c r="H256" s="257" t="s">
        <v>18422</v>
      </c>
      <c r="I256" s="9">
        <v>1</v>
      </c>
    </row>
    <row r="257" spans="1:9">
      <c r="A257" s="257" t="s">
        <v>1355</v>
      </c>
      <c r="B257" s="9">
        <v>3</v>
      </c>
      <c r="C257" s="257" t="s">
        <v>9277</v>
      </c>
      <c r="D257" s="9">
        <v>4397.5923379639289</v>
      </c>
      <c r="E257" s="9">
        <v>1724459.8235549927</v>
      </c>
      <c r="F257" s="257" t="s">
        <v>14020</v>
      </c>
      <c r="G257" s="9"/>
      <c r="H257" s="257" t="s">
        <v>18423</v>
      </c>
      <c r="I257" s="9">
        <v>1</v>
      </c>
    </row>
    <row r="258" spans="1:9">
      <c r="A258" s="257" t="s">
        <v>1356</v>
      </c>
      <c r="B258" s="9">
        <v>3</v>
      </c>
      <c r="C258" s="257" t="s">
        <v>9278</v>
      </c>
      <c r="D258" s="9">
        <v>1724459.8235549927</v>
      </c>
      <c r="E258" s="9">
        <v>1724459.8235549927</v>
      </c>
      <c r="F258" s="257" t="s">
        <v>14021</v>
      </c>
      <c r="G258" s="9"/>
      <c r="H258" s="257" t="s">
        <v>18424</v>
      </c>
      <c r="I258" s="9">
        <v>1</v>
      </c>
    </row>
    <row r="259" spans="1:9">
      <c r="A259" s="257" t="s">
        <v>1357</v>
      </c>
      <c r="B259" s="9">
        <v>3</v>
      </c>
      <c r="C259" s="257" t="s">
        <v>9279</v>
      </c>
      <c r="D259" s="9">
        <v>7583471307.1920643</v>
      </c>
      <c r="E259" s="9">
        <v>1724459.8235549927</v>
      </c>
      <c r="F259" s="257" t="s">
        <v>14021</v>
      </c>
      <c r="G259" s="9"/>
      <c r="H259" s="257" t="s">
        <v>18425</v>
      </c>
      <c r="I259" s="9">
        <v>1</v>
      </c>
    </row>
    <row r="260" spans="1:9">
      <c r="A260" s="257" t="s">
        <v>1358</v>
      </c>
      <c r="B260" s="9">
        <v>3</v>
      </c>
      <c r="C260" s="257" t="s">
        <v>9280</v>
      </c>
      <c r="D260" s="9">
        <v>1</v>
      </c>
      <c r="E260" s="9">
        <v>1724459.8235549927</v>
      </c>
      <c r="F260" s="257" t="s">
        <v>14021</v>
      </c>
      <c r="G260" s="9"/>
      <c r="H260" s="257" t="s">
        <v>18426</v>
      </c>
      <c r="I260" s="9">
        <v>1</v>
      </c>
    </row>
    <row r="261" spans="1:9">
      <c r="A261" s="257" t="s">
        <v>1359</v>
      </c>
      <c r="B261" s="9">
        <v>3</v>
      </c>
      <c r="C261" s="257" t="s">
        <v>9281</v>
      </c>
      <c r="D261" s="9">
        <v>4397.5923379639289</v>
      </c>
      <c r="E261" s="9">
        <v>1724459.8235549927</v>
      </c>
      <c r="F261" s="257" t="s">
        <v>14021</v>
      </c>
      <c r="G261" s="9"/>
      <c r="H261" s="257" t="s">
        <v>18427</v>
      </c>
      <c r="I261" s="9">
        <v>1</v>
      </c>
    </row>
    <row r="262" spans="1:9">
      <c r="A262" s="257" t="s">
        <v>1360</v>
      </c>
      <c r="B262" s="9">
        <v>3</v>
      </c>
      <c r="C262" s="257" t="s">
        <v>9282</v>
      </c>
      <c r="D262" s="9">
        <v>1724459.8235549927</v>
      </c>
      <c r="E262" s="9">
        <v>1724459.8235549927</v>
      </c>
      <c r="F262" s="257" t="s">
        <v>14022</v>
      </c>
      <c r="G262" s="9"/>
      <c r="H262" s="257" t="s">
        <v>18428</v>
      </c>
      <c r="I262" s="9">
        <v>1</v>
      </c>
    </row>
    <row r="263" spans="1:9">
      <c r="A263" s="257" t="s">
        <v>1361</v>
      </c>
      <c r="B263" s="9">
        <v>3</v>
      </c>
      <c r="C263" s="257" t="s">
        <v>9283</v>
      </c>
      <c r="D263" s="9">
        <v>3918477569.803761</v>
      </c>
      <c r="E263" s="9">
        <v>1724459.8235549927</v>
      </c>
      <c r="F263" s="257" t="s">
        <v>14022</v>
      </c>
      <c r="G263" s="9"/>
      <c r="H263" s="257" t="s">
        <v>18429</v>
      </c>
      <c r="I263" s="9">
        <v>1</v>
      </c>
    </row>
    <row r="264" spans="1:9">
      <c r="A264" s="257" t="s">
        <v>1362</v>
      </c>
      <c r="B264" s="9">
        <v>3</v>
      </c>
      <c r="C264" s="257" t="s">
        <v>9284</v>
      </c>
      <c r="D264" s="9">
        <v>1</v>
      </c>
      <c r="E264" s="9">
        <v>1724459.8235549927</v>
      </c>
      <c r="F264" s="257" t="s">
        <v>14022</v>
      </c>
      <c r="G264" s="9"/>
      <c r="H264" s="257" t="s">
        <v>18430</v>
      </c>
      <c r="I264" s="9">
        <v>1</v>
      </c>
    </row>
    <row r="265" spans="1:9">
      <c r="A265" s="257" t="s">
        <v>1363</v>
      </c>
      <c r="B265" s="9">
        <v>3</v>
      </c>
      <c r="C265" s="257" t="s">
        <v>9285</v>
      </c>
      <c r="D265" s="9">
        <v>2272.2927587409818</v>
      </c>
      <c r="E265" s="9">
        <v>1724459.8235549927</v>
      </c>
      <c r="F265" s="257" t="s">
        <v>14022</v>
      </c>
      <c r="G265" s="9"/>
      <c r="H265" s="257" t="s">
        <v>18431</v>
      </c>
      <c r="I265" s="9">
        <v>1</v>
      </c>
    </row>
    <row r="266" spans="1:9">
      <c r="A266" s="257" t="s">
        <v>1364</v>
      </c>
      <c r="B266" s="9">
        <v>3</v>
      </c>
      <c r="C266" s="257" t="s">
        <v>9286</v>
      </c>
      <c r="D266" s="9">
        <v>1724459.8235549927</v>
      </c>
      <c r="E266" s="9">
        <v>1724459.8235549927</v>
      </c>
      <c r="F266" s="257" t="s">
        <v>14023</v>
      </c>
      <c r="G266" s="9"/>
      <c r="H266" s="257" t="s">
        <v>18432</v>
      </c>
      <c r="I266" s="9">
        <v>1</v>
      </c>
    </row>
    <row r="267" spans="1:9">
      <c r="A267" s="257" t="s">
        <v>1365</v>
      </c>
      <c r="B267" s="9">
        <v>3</v>
      </c>
      <c r="C267" s="257" t="s">
        <v>9287</v>
      </c>
      <c r="D267" s="9">
        <v>3918477569.803761</v>
      </c>
      <c r="E267" s="9">
        <v>1724459.8235549927</v>
      </c>
      <c r="F267" s="257" t="s">
        <v>14023</v>
      </c>
      <c r="G267" s="9"/>
      <c r="H267" s="257" t="s">
        <v>18433</v>
      </c>
      <c r="I267" s="9">
        <v>1</v>
      </c>
    </row>
    <row r="268" spans="1:9">
      <c r="A268" s="257" t="s">
        <v>1366</v>
      </c>
      <c r="B268" s="9">
        <v>3</v>
      </c>
      <c r="C268" s="257" t="s">
        <v>9288</v>
      </c>
      <c r="D268" s="9">
        <v>1</v>
      </c>
      <c r="E268" s="9">
        <v>1724459.8235549927</v>
      </c>
      <c r="F268" s="257" t="s">
        <v>14023</v>
      </c>
      <c r="G268" s="9"/>
      <c r="H268" s="257" t="s">
        <v>18434</v>
      </c>
      <c r="I268" s="9">
        <v>1</v>
      </c>
    </row>
    <row r="269" spans="1:9">
      <c r="A269" s="257" t="s">
        <v>1367</v>
      </c>
      <c r="B269" s="9">
        <v>3</v>
      </c>
      <c r="C269" s="257" t="s">
        <v>9289</v>
      </c>
      <c r="D269" s="9">
        <v>2272.2927587409818</v>
      </c>
      <c r="E269" s="9">
        <v>1724459.8235549927</v>
      </c>
      <c r="F269" s="257" t="s">
        <v>14023</v>
      </c>
      <c r="G269" s="9"/>
      <c r="H269" s="257" t="s">
        <v>18435</v>
      </c>
      <c r="I269" s="9">
        <v>1</v>
      </c>
    </row>
    <row r="270" spans="1:9">
      <c r="A270" s="257" t="s">
        <v>1368</v>
      </c>
      <c r="B270" s="9">
        <v>3</v>
      </c>
      <c r="C270" s="257" t="s">
        <v>9290</v>
      </c>
      <c r="D270" s="9">
        <v>1724459.8235549927</v>
      </c>
      <c r="E270" s="9">
        <v>1724459.8235549927</v>
      </c>
      <c r="F270" s="257" t="s">
        <v>14024</v>
      </c>
      <c r="G270" s="9"/>
      <c r="H270" s="257" t="s">
        <v>18436</v>
      </c>
      <c r="I270" s="9">
        <v>1</v>
      </c>
    </row>
    <row r="271" spans="1:9">
      <c r="A271" s="257" t="s">
        <v>1369</v>
      </c>
      <c r="B271" s="9">
        <v>3</v>
      </c>
      <c r="C271" s="257" t="s">
        <v>9291</v>
      </c>
      <c r="D271" s="9">
        <v>2775760655.7496796</v>
      </c>
      <c r="E271" s="9">
        <v>1724459.8235549927</v>
      </c>
      <c r="F271" s="257" t="s">
        <v>14024</v>
      </c>
      <c r="G271" s="9"/>
      <c r="H271" s="257" t="s">
        <v>18437</v>
      </c>
      <c r="I271" s="9">
        <v>1</v>
      </c>
    </row>
    <row r="272" spans="1:9">
      <c r="A272" s="257" t="s">
        <v>1370</v>
      </c>
      <c r="B272" s="9">
        <v>3</v>
      </c>
      <c r="C272" s="257" t="s">
        <v>9292</v>
      </c>
      <c r="D272" s="9">
        <v>1</v>
      </c>
      <c r="E272" s="9">
        <v>1724459.8235549927</v>
      </c>
      <c r="F272" s="257" t="s">
        <v>14024</v>
      </c>
      <c r="G272" s="9"/>
      <c r="H272" s="257" t="s">
        <v>18438</v>
      </c>
      <c r="I272" s="9">
        <v>1</v>
      </c>
    </row>
    <row r="273" spans="1:9">
      <c r="A273" s="257" t="s">
        <v>1371</v>
      </c>
      <c r="B273" s="9">
        <v>3</v>
      </c>
      <c r="C273" s="257" t="s">
        <v>9293</v>
      </c>
      <c r="D273" s="9">
        <v>1609.6406641863182</v>
      </c>
      <c r="E273" s="9">
        <v>1724459.8235549927</v>
      </c>
      <c r="F273" s="257" t="s">
        <v>14024</v>
      </c>
      <c r="G273" s="9"/>
      <c r="H273" s="257" t="s">
        <v>18439</v>
      </c>
      <c r="I273" s="9">
        <v>1</v>
      </c>
    </row>
    <row r="274" spans="1:9">
      <c r="A274" s="257" t="s">
        <v>1372</v>
      </c>
      <c r="B274" s="9">
        <v>3</v>
      </c>
      <c r="C274" s="257" t="s">
        <v>9294</v>
      </c>
      <c r="D274" s="9">
        <v>1724459.8235549927</v>
      </c>
      <c r="E274" s="9">
        <v>1724459.8235549927</v>
      </c>
      <c r="F274" s="257" t="s">
        <v>14025</v>
      </c>
      <c r="G274" s="9"/>
      <c r="H274" s="257" t="s">
        <v>18440</v>
      </c>
      <c r="I274" s="9">
        <v>1</v>
      </c>
    </row>
    <row r="275" spans="1:9">
      <c r="A275" s="257" t="s">
        <v>1373</v>
      </c>
      <c r="B275" s="9">
        <v>3</v>
      </c>
      <c r="C275" s="257" t="s">
        <v>9295</v>
      </c>
      <c r="D275" s="9">
        <v>3578519887.2020931</v>
      </c>
      <c r="E275" s="9">
        <v>1724459.8235549927</v>
      </c>
      <c r="F275" s="257" t="s">
        <v>14025</v>
      </c>
      <c r="G275" s="9"/>
      <c r="H275" s="257" t="s">
        <v>18441</v>
      </c>
      <c r="I275" s="9">
        <v>1</v>
      </c>
    </row>
    <row r="276" spans="1:9">
      <c r="A276" s="257" t="s">
        <v>1374</v>
      </c>
      <c r="B276" s="9">
        <v>3</v>
      </c>
      <c r="C276" s="257" t="s">
        <v>9296</v>
      </c>
      <c r="D276" s="9">
        <v>1</v>
      </c>
      <c r="E276" s="9">
        <v>1724459.8235549927</v>
      </c>
      <c r="F276" s="257" t="s">
        <v>14025</v>
      </c>
      <c r="G276" s="9"/>
      <c r="H276" s="257" t="s">
        <v>18442</v>
      </c>
      <c r="I276" s="9">
        <v>1</v>
      </c>
    </row>
    <row r="277" spans="1:9">
      <c r="A277" s="257" t="s">
        <v>1375</v>
      </c>
      <c r="B277" s="9">
        <v>3</v>
      </c>
      <c r="C277" s="257" t="s">
        <v>9297</v>
      </c>
      <c r="D277" s="9">
        <v>2075.1541081571477</v>
      </c>
      <c r="E277" s="9">
        <v>1724459.8235549927</v>
      </c>
      <c r="F277" s="257" t="s">
        <v>14025</v>
      </c>
      <c r="G277" s="9"/>
      <c r="H277" s="257" t="s">
        <v>18443</v>
      </c>
      <c r="I277" s="9">
        <v>1</v>
      </c>
    </row>
    <row r="278" spans="1:9">
      <c r="A278" s="257" t="s">
        <v>1376</v>
      </c>
      <c r="B278" s="9">
        <v>3</v>
      </c>
      <c r="C278" s="257" t="s">
        <v>9298</v>
      </c>
      <c r="D278" s="9">
        <v>606140.43930053711</v>
      </c>
      <c r="E278" s="9">
        <v>1724459.8235549927</v>
      </c>
      <c r="F278" s="257" t="s">
        <v>14026</v>
      </c>
      <c r="G278" s="9"/>
      <c r="H278" s="257" t="s">
        <v>18444</v>
      </c>
      <c r="I278" s="9">
        <v>1</v>
      </c>
    </row>
    <row r="279" spans="1:9">
      <c r="A279" s="257" t="s">
        <v>1377</v>
      </c>
      <c r="B279" s="9">
        <v>3</v>
      </c>
      <c r="C279" s="257" t="s">
        <v>9299</v>
      </c>
      <c r="D279" s="9">
        <v>3100075665.7435989</v>
      </c>
      <c r="E279" s="9">
        <v>1724459.8235549927</v>
      </c>
      <c r="F279" s="257" t="s">
        <v>14026</v>
      </c>
      <c r="G279" s="9"/>
      <c r="H279" s="257" t="s">
        <v>18445</v>
      </c>
      <c r="I279" s="9">
        <v>1</v>
      </c>
    </row>
    <row r="280" spans="1:9">
      <c r="A280" s="257" t="s">
        <v>1378</v>
      </c>
      <c r="B280" s="9">
        <v>3</v>
      </c>
      <c r="C280" s="257" t="s">
        <v>9300</v>
      </c>
      <c r="D280" s="9">
        <v>0.35149583134443341</v>
      </c>
      <c r="E280" s="9">
        <v>1724459.8235549927</v>
      </c>
      <c r="F280" s="257" t="s">
        <v>14026</v>
      </c>
      <c r="G280" s="9"/>
      <c r="H280" s="257" t="s">
        <v>18446</v>
      </c>
      <c r="I280" s="9">
        <v>1</v>
      </c>
    </row>
    <row r="281" spans="1:9">
      <c r="A281" s="257" t="s">
        <v>1379</v>
      </c>
      <c r="B281" s="9">
        <v>3</v>
      </c>
      <c r="C281" s="257" t="s">
        <v>9301</v>
      </c>
      <c r="D281" s="9">
        <v>1797.7082582027103</v>
      </c>
      <c r="E281" s="9">
        <v>1724459.8235549927</v>
      </c>
      <c r="F281" s="257" t="s">
        <v>14026</v>
      </c>
      <c r="G281" s="9"/>
      <c r="H281" s="257" t="s">
        <v>18447</v>
      </c>
      <c r="I281" s="9">
        <v>1</v>
      </c>
    </row>
    <row r="282" spans="1:9">
      <c r="A282" s="257" t="s">
        <v>1380</v>
      </c>
      <c r="B282" s="9">
        <v>3</v>
      </c>
      <c r="C282" s="257" t="s">
        <v>9302</v>
      </c>
      <c r="D282" s="9">
        <v>1724459.8235549927</v>
      </c>
      <c r="E282" s="9">
        <v>1724459.8235549927</v>
      </c>
      <c r="F282" s="257" t="s">
        <v>14027</v>
      </c>
      <c r="G282" s="9"/>
      <c r="H282" s="257" t="s">
        <v>18448</v>
      </c>
      <c r="I282" s="9">
        <v>1</v>
      </c>
    </row>
    <row r="283" spans="1:9">
      <c r="A283" s="257" t="s">
        <v>1381</v>
      </c>
      <c r="B283" s="9">
        <v>3</v>
      </c>
      <c r="C283" s="257" t="s">
        <v>9303</v>
      </c>
      <c r="D283" s="9">
        <v>904875754.24637222</v>
      </c>
      <c r="E283" s="9">
        <v>1724459.8235549927</v>
      </c>
      <c r="F283" s="257" t="s">
        <v>14027</v>
      </c>
      <c r="G283" s="9"/>
      <c r="H283" s="257" t="s">
        <v>18449</v>
      </c>
      <c r="I283" s="9">
        <v>1</v>
      </c>
    </row>
    <row r="284" spans="1:9">
      <c r="A284" s="257" t="s">
        <v>1382</v>
      </c>
      <c r="B284" s="9">
        <v>3</v>
      </c>
      <c r="C284" s="257" t="s">
        <v>9304</v>
      </c>
      <c r="D284" s="9">
        <v>1</v>
      </c>
      <c r="E284" s="9">
        <v>1724459.8235549927</v>
      </c>
      <c r="F284" s="257" t="s">
        <v>14027</v>
      </c>
      <c r="G284" s="9"/>
      <c r="H284" s="257" t="s">
        <v>18450</v>
      </c>
      <c r="I284" s="9">
        <v>1</v>
      </c>
    </row>
    <row r="285" spans="1:9">
      <c r="A285" s="257" t="s">
        <v>1383</v>
      </c>
      <c r="B285" s="9">
        <v>3</v>
      </c>
      <c r="C285" s="257" t="s">
        <v>9305</v>
      </c>
      <c r="D285" s="9">
        <v>524.72997160407078</v>
      </c>
      <c r="E285" s="9">
        <v>1724459.8235549927</v>
      </c>
      <c r="F285" s="257" t="s">
        <v>14027</v>
      </c>
      <c r="G285" s="9"/>
      <c r="H285" s="257" t="s">
        <v>18451</v>
      </c>
      <c r="I285" s="9">
        <v>1</v>
      </c>
    </row>
    <row r="286" spans="1:9">
      <c r="A286" s="257" t="s">
        <v>1384</v>
      </c>
      <c r="B286" s="9">
        <v>3</v>
      </c>
      <c r="C286" s="257" t="s">
        <v>9306</v>
      </c>
      <c r="D286" s="9">
        <v>1724459.8235549927</v>
      </c>
      <c r="E286" s="9">
        <v>1724459.8235549927</v>
      </c>
      <c r="F286" s="257" t="s">
        <v>14028</v>
      </c>
      <c r="G286" s="9"/>
      <c r="H286" s="257" t="s">
        <v>18452</v>
      </c>
      <c r="I286" s="9">
        <v>1</v>
      </c>
    </row>
    <row r="287" spans="1:9">
      <c r="A287" s="257" t="s">
        <v>1385</v>
      </c>
      <c r="B287" s="9">
        <v>3</v>
      </c>
      <c r="C287" s="257" t="s">
        <v>9307</v>
      </c>
      <c r="D287" s="9">
        <v>4004951419.9899712</v>
      </c>
      <c r="E287" s="9">
        <v>1724459.8235549927</v>
      </c>
      <c r="F287" s="257" t="s">
        <v>14028</v>
      </c>
      <c r="G287" s="9"/>
      <c r="H287" s="257" t="s">
        <v>18453</v>
      </c>
      <c r="I287" s="9">
        <v>1</v>
      </c>
    </row>
    <row r="288" spans="1:9">
      <c r="A288" s="257" t="s">
        <v>1386</v>
      </c>
      <c r="B288" s="9">
        <v>3</v>
      </c>
      <c r="C288" s="257" t="s">
        <v>9308</v>
      </c>
      <c r="D288" s="9">
        <v>1</v>
      </c>
      <c r="E288" s="9">
        <v>1724459.8235549927</v>
      </c>
      <c r="F288" s="257" t="s">
        <v>14028</v>
      </c>
      <c r="G288" s="9"/>
      <c r="H288" s="257" t="s">
        <v>18454</v>
      </c>
      <c r="I288" s="9">
        <v>1</v>
      </c>
    </row>
    <row r="289" spans="1:9">
      <c r="A289" s="257" t="s">
        <v>1387</v>
      </c>
      <c r="B289" s="9">
        <v>3</v>
      </c>
      <c r="C289" s="257" t="s">
        <v>9309</v>
      </c>
      <c r="D289" s="9">
        <v>2322.4382298067812</v>
      </c>
      <c r="E289" s="9">
        <v>1724459.8235549927</v>
      </c>
      <c r="F289" s="257" t="s">
        <v>14028</v>
      </c>
      <c r="G289" s="9"/>
      <c r="H289" s="257" t="s">
        <v>18455</v>
      </c>
      <c r="I289" s="9">
        <v>1</v>
      </c>
    </row>
    <row r="290" spans="1:9">
      <c r="A290" s="257" t="s">
        <v>1388</v>
      </c>
      <c r="B290" s="9">
        <v>3</v>
      </c>
      <c r="C290" s="257" t="s">
        <v>9310</v>
      </c>
      <c r="D290" s="9">
        <v>78741.791076660156</v>
      </c>
      <c r="E290" s="9">
        <v>1724459.8235549927</v>
      </c>
      <c r="F290" s="257" t="s">
        <v>14029</v>
      </c>
      <c r="G290" s="9"/>
      <c r="H290" s="257" t="s">
        <v>18456</v>
      </c>
      <c r="I290" s="9">
        <v>1</v>
      </c>
    </row>
    <row r="291" spans="1:9">
      <c r="A291" s="257" t="s">
        <v>1389</v>
      </c>
      <c r="B291" s="9">
        <v>3</v>
      </c>
      <c r="C291" s="257" t="s">
        <v>9311</v>
      </c>
      <c r="D291" s="9">
        <v>86473850.186210319</v>
      </c>
      <c r="E291" s="9">
        <v>1724459.8235549927</v>
      </c>
      <c r="F291" s="257" t="s">
        <v>14029</v>
      </c>
      <c r="G291" s="9"/>
      <c r="H291" s="257" t="s">
        <v>18457</v>
      </c>
      <c r="I291" s="9">
        <v>1</v>
      </c>
    </row>
    <row r="292" spans="1:9">
      <c r="A292" s="257" t="s">
        <v>1390</v>
      </c>
      <c r="B292" s="9">
        <v>3</v>
      </c>
      <c r="C292" s="257" t="s">
        <v>9312</v>
      </c>
      <c r="D292" s="9">
        <v>4.5661713889241617E-2</v>
      </c>
      <c r="E292" s="9">
        <v>1724459.8235549927</v>
      </c>
      <c r="F292" s="257" t="s">
        <v>14029</v>
      </c>
      <c r="G292" s="9"/>
      <c r="H292" s="257" t="s">
        <v>18458</v>
      </c>
      <c r="I292" s="9">
        <v>1</v>
      </c>
    </row>
    <row r="293" spans="1:9">
      <c r="A293" s="257" t="s">
        <v>1391</v>
      </c>
      <c r="B293" s="9">
        <v>3</v>
      </c>
      <c r="C293" s="257" t="s">
        <v>9313</v>
      </c>
      <c r="D293" s="9">
        <v>50.145471065799342</v>
      </c>
      <c r="E293" s="9">
        <v>1724459.8235549927</v>
      </c>
      <c r="F293" s="257" t="s">
        <v>14029</v>
      </c>
      <c r="G293" s="9"/>
      <c r="H293" s="257" t="s">
        <v>18459</v>
      </c>
      <c r="I293" s="9">
        <v>1</v>
      </c>
    </row>
    <row r="294" spans="1:9">
      <c r="A294" s="257" t="s">
        <v>1392</v>
      </c>
      <c r="B294" s="9">
        <v>3</v>
      </c>
      <c r="C294" s="257" t="s">
        <v>9314</v>
      </c>
      <c r="D294" s="9">
        <v>558196.97508239746</v>
      </c>
      <c r="E294" s="9">
        <v>1724459.8235549927</v>
      </c>
      <c r="F294" s="257" t="s">
        <v>14030</v>
      </c>
      <c r="G294" s="9"/>
      <c r="H294" s="257" t="s">
        <v>18460</v>
      </c>
      <c r="I294" s="9">
        <v>1</v>
      </c>
    </row>
    <row r="295" spans="1:9">
      <c r="A295" s="257" t="s">
        <v>1393</v>
      </c>
      <c r="B295" s="9">
        <v>3</v>
      </c>
      <c r="C295" s="257" t="s">
        <v>9315</v>
      </c>
      <c r="D295" s="9">
        <v>802759231.45241344</v>
      </c>
      <c r="E295" s="9">
        <v>1724459.8235549927</v>
      </c>
      <c r="F295" s="257" t="s">
        <v>14030</v>
      </c>
      <c r="G295" s="9"/>
      <c r="H295" s="257" t="s">
        <v>18461</v>
      </c>
      <c r="I295" s="9">
        <v>1</v>
      </c>
    </row>
    <row r="296" spans="1:9">
      <c r="A296" s="257" t="s">
        <v>1394</v>
      </c>
      <c r="B296" s="9">
        <v>3</v>
      </c>
      <c r="C296" s="257" t="s">
        <v>9316</v>
      </c>
      <c r="D296" s="9">
        <v>0.32369381266979497</v>
      </c>
      <c r="E296" s="9">
        <v>1724459.8235549927</v>
      </c>
      <c r="F296" s="257" t="s">
        <v>14030</v>
      </c>
      <c r="G296" s="9"/>
      <c r="H296" s="257" t="s">
        <v>18462</v>
      </c>
      <c r="I296" s="9">
        <v>1</v>
      </c>
    </row>
    <row r="297" spans="1:9">
      <c r="A297" s="257" t="s">
        <v>1395</v>
      </c>
      <c r="B297" s="9">
        <v>3</v>
      </c>
      <c r="C297" s="257" t="s">
        <v>9317</v>
      </c>
      <c r="D297" s="9">
        <v>465.51344397082943</v>
      </c>
      <c r="E297" s="9">
        <v>1724459.8235549927</v>
      </c>
      <c r="F297" s="257" t="s">
        <v>14030</v>
      </c>
      <c r="G297" s="9"/>
      <c r="H297" s="257" t="s">
        <v>18463</v>
      </c>
      <c r="I297" s="9">
        <v>1</v>
      </c>
    </row>
    <row r="298" spans="1:9">
      <c r="A298" s="257" t="s">
        <v>1396</v>
      </c>
      <c r="B298" s="9">
        <v>3</v>
      </c>
      <c r="C298" s="257" t="s">
        <v>9318</v>
      </c>
      <c r="D298" s="9">
        <v>0</v>
      </c>
      <c r="E298" s="9">
        <v>1724459.8235549927</v>
      </c>
      <c r="F298" s="257" t="s">
        <v>14031</v>
      </c>
      <c r="G298" s="9"/>
      <c r="H298" s="257" t="s">
        <v>18464</v>
      </c>
      <c r="I298" s="9">
        <v>1</v>
      </c>
    </row>
    <row r="299" spans="1:9">
      <c r="A299" s="257" t="s">
        <v>1397</v>
      </c>
      <c r="B299" s="9">
        <v>3</v>
      </c>
      <c r="C299" s="257" t="s">
        <v>9319</v>
      </c>
      <c r="D299" s="9">
        <v>0</v>
      </c>
      <c r="E299" s="9">
        <v>1724459.8235549927</v>
      </c>
      <c r="F299" s="257" t="s">
        <v>14031</v>
      </c>
      <c r="G299" s="9"/>
      <c r="H299" s="257" t="s">
        <v>18465</v>
      </c>
      <c r="I299" s="9">
        <v>1</v>
      </c>
    </row>
    <row r="300" spans="1:9">
      <c r="A300" s="257" t="s">
        <v>1398</v>
      </c>
      <c r="B300" s="9">
        <v>3</v>
      </c>
      <c r="C300" s="257" t="s">
        <v>9320</v>
      </c>
      <c r="D300" s="9">
        <v>0</v>
      </c>
      <c r="E300" s="9">
        <v>1724459.8235549927</v>
      </c>
      <c r="F300" s="257" t="s">
        <v>14031</v>
      </c>
      <c r="G300" s="9"/>
      <c r="H300" s="257" t="s">
        <v>18466</v>
      </c>
      <c r="I300" s="9">
        <v>1</v>
      </c>
    </row>
    <row r="301" spans="1:9">
      <c r="A301" s="257" t="s">
        <v>1399</v>
      </c>
      <c r="B301" s="9">
        <v>3</v>
      </c>
      <c r="C301" s="257" t="s">
        <v>9321</v>
      </c>
      <c r="D301" s="9">
        <v>0</v>
      </c>
      <c r="E301" s="9">
        <v>1724459.8235549927</v>
      </c>
      <c r="F301" s="257" t="s">
        <v>14031</v>
      </c>
      <c r="G301" s="9"/>
      <c r="H301" s="257" t="s">
        <v>18467</v>
      </c>
      <c r="I301" s="9">
        <v>1</v>
      </c>
    </row>
    <row r="302" spans="1:9">
      <c r="A302" s="257" t="s">
        <v>1400</v>
      </c>
      <c r="B302" s="9">
        <v>4</v>
      </c>
      <c r="C302" s="257" t="s">
        <v>9322</v>
      </c>
      <c r="D302" s="9">
        <v>620191.47164916992</v>
      </c>
      <c r="E302" s="9">
        <v>1728561.5107574463</v>
      </c>
      <c r="F302" s="257" t="s">
        <v>14032</v>
      </c>
      <c r="G302" s="9"/>
      <c r="H302" s="257" t="s">
        <v>18468</v>
      </c>
      <c r="I302" s="9">
        <v>1</v>
      </c>
    </row>
    <row r="303" spans="1:9">
      <c r="A303" s="257" t="s">
        <v>1401</v>
      </c>
      <c r="B303" s="9">
        <v>4</v>
      </c>
      <c r="C303" s="257" t="s">
        <v>9323</v>
      </c>
      <c r="D303" s="9">
        <v>2212291091.2163606</v>
      </c>
      <c r="E303" s="9">
        <v>1728561.5107574463</v>
      </c>
      <c r="F303" s="257" t="s">
        <v>14032</v>
      </c>
      <c r="G303" s="9"/>
      <c r="H303" s="257" t="s">
        <v>18469</v>
      </c>
      <c r="I303" s="9">
        <v>1</v>
      </c>
    </row>
    <row r="304" spans="1:9">
      <c r="A304" s="257" t="s">
        <v>1402</v>
      </c>
      <c r="B304" s="9">
        <v>4</v>
      </c>
      <c r="C304" s="257" t="s">
        <v>9324</v>
      </c>
      <c r="D304" s="9">
        <v>0.35879051326174988</v>
      </c>
      <c r="E304" s="9">
        <v>1728561.5107574463</v>
      </c>
      <c r="F304" s="257" t="s">
        <v>14032</v>
      </c>
      <c r="G304" s="9"/>
      <c r="H304" s="257" t="s">
        <v>18470</v>
      </c>
      <c r="I304" s="9">
        <v>1</v>
      </c>
    </row>
    <row r="305" spans="1:9">
      <c r="A305" s="257" t="s">
        <v>1403</v>
      </c>
      <c r="B305" s="9">
        <v>4</v>
      </c>
      <c r="C305" s="257" t="s">
        <v>9325</v>
      </c>
      <c r="D305" s="9">
        <v>1279.8451645767275</v>
      </c>
      <c r="E305" s="9">
        <v>1728561.5107574463</v>
      </c>
      <c r="F305" s="257" t="s">
        <v>14032</v>
      </c>
      <c r="G305" s="9"/>
      <c r="H305" s="257" t="s">
        <v>18471</v>
      </c>
      <c r="I305" s="9">
        <v>1</v>
      </c>
    </row>
    <row r="306" spans="1:9">
      <c r="A306" s="257" t="s">
        <v>1404</v>
      </c>
      <c r="B306" s="9">
        <v>4</v>
      </c>
      <c r="C306" s="257" t="s">
        <v>9326</v>
      </c>
      <c r="D306" s="9">
        <v>0</v>
      </c>
      <c r="E306" s="9">
        <v>1728561.5107574463</v>
      </c>
      <c r="F306" s="257" t="s">
        <v>14033</v>
      </c>
      <c r="G306" s="9"/>
      <c r="H306" s="257" t="s">
        <v>18472</v>
      </c>
      <c r="I306" s="9">
        <v>1</v>
      </c>
    </row>
    <row r="307" spans="1:9">
      <c r="A307" s="257" t="s">
        <v>1405</v>
      </c>
      <c r="B307" s="9">
        <v>4</v>
      </c>
      <c r="C307" s="257" t="s">
        <v>9327</v>
      </c>
      <c r="D307" s="9">
        <v>0</v>
      </c>
      <c r="E307" s="9">
        <v>1728561.5107574463</v>
      </c>
      <c r="F307" s="257" t="s">
        <v>14033</v>
      </c>
      <c r="G307" s="9"/>
      <c r="H307" s="257" t="s">
        <v>18473</v>
      </c>
      <c r="I307" s="9">
        <v>1</v>
      </c>
    </row>
    <row r="308" spans="1:9">
      <c r="A308" s="257" t="s">
        <v>1406</v>
      </c>
      <c r="B308" s="9">
        <v>4</v>
      </c>
      <c r="C308" s="257" t="s">
        <v>9328</v>
      </c>
      <c r="D308" s="9">
        <v>0</v>
      </c>
      <c r="E308" s="9">
        <v>1728561.5107574463</v>
      </c>
      <c r="F308" s="257" t="s">
        <v>14033</v>
      </c>
      <c r="G308" s="9"/>
      <c r="H308" s="257" t="s">
        <v>18474</v>
      </c>
      <c r="I308" s="9">
        <v>1</v>
      </c>
    </row>
    <row r="309" spans="1:9">
      <c r="A309" s="257" t="s">
        <v>1407</v>
      </c>
      <c r="B309" s="9">
        <v>4</v>
      </c>
      <c r="C309" s="257" t="s">
        <v>9329</v>
      </c>
      <c r="D309" s="9">
        <v>0</v>
      </c>
      <c r="E309" s="9">
        <v>1728561.5107574463</v>
      </c>
      <c r="F309" s="257" t="s">
        <v>14033</v>
      </c>
      <c r="G309" s="9"/>
      <c r="H309" s="257" t="s">
        <v>18475</v>
      </c>
      <c r="I309" s="9">
        <v>1</v>
      </c>
    </row>
    <row r="310" spans="1:9">
      <c r="A310" s="257" t="s">
        <v>1408</v>
      </c>
      <c r="B310" s="9">
        <v>4</v>
      </c>
      <c r="C310" s="257" t="s">
        <v>9330</v>
      </c>
      <c r="D310" s="9">
        <v>0</v>
      </c>
      <c r="E310" s="9">
        <v>1728561.5107574463</v>
      </c>
      <c r="F310" s="257" t="s">
        <v>14034</v>
      </c>
      <c r="G310" s="9"/>
      <c r="H310" s="257" t="s">
        <v>18476</v>
      </c>
      <c r="I310" s="9">
        <v>1</v>
      </c>
    </row>
    <row r="311" spans="1:9">
      <c r="A311" s="257" t="s">
        <v>1409</v>
      </c>
      <c r="B311" s="9">
        <v>4</v>
      </c>
      <c r="C311" s="257" t="s">
        <v>9331</v>
      </c>
      <c r="D311" s="9">
        <v>0</v>
      </c>
      <c r="E311" s="9">
        <v>1728561.5107574463</v>
      </c>
      <c r="F311" s="257" t="s">
        <v>14034</v>
      </c>
      <c r="G311" s="9"/>
      <c r="H311" s="257" t="s">
        <v>18477</v>
      </c>
      <c r="I311" s="9">
        <v>1</v>
      </c>
    </row>
    <row r="312" spans="1:9">
      <c r="A312" s="257" t="s">
        <v>1410</v>
      </c>
      <c r="B312" s="9">
        <v>4</v>
      </c>
      <c r="C312" s="257" t="s">
        <v>9332</v>
      </c>
      <c r="D312" s="9">
        <v>0</v>
      </c>
      <c r="E312" s="9">
        <v>1728561.5107574463</v>
      </c>
      <c r="F312" s="257" t="s">
        <v>14034</v>
      </c>
      <c r="G312" s="9"/>
      <c r="H312" s="257" t="s">
        <v>18478</v>
      </c>
      <c r="I312" s="9">
        <v>1</v>
      </c>
    </row>
    <row r="313" spans="1:9">
      <c r="A313" s="257" t="s">
        <v>1411</v>
      </c>
      <c r="B313" s="9">
        <v>4</v>
      </c>
      <c r="C313" s="257" t="s">
        <v>9333</v>
      </c>
      <c r="D313" s="9">
        <v>0</v>
      </c>
      <c r="E313" s="9">
        <v>1728561.5107574463</v>
      </c>
      <c r="F313" s="257" t="s">
        <v>14034</v>
      </c>
      <c r="G313" s="9"/>
      <c r="H313" s="257" t="s">
        <v>18479</v>
      </c>
      <c r="I313" s="9">
        <v>1</v>
      </c>
    </row>
    <row r="314" spans="1:9">
      <c r="A314" s="257" t="s">
        <v>1412</v>
      </c>
      <c r="B314" s="9">
        <v>4</v>
      </c>
      <c r="C314" s="257" t="s">
        <v>9334</v>
      </c>
      <c r="D314" s="9">
        <v>0</v>
      </c>
      <c r="E314" s="9">
        <v>1728561.5107574463</v>
      </c>
      <c r="F314" s="257" t="s">
        <v>14035</v>
      </c>
      <c r="G314" s="9"/>
      <c r="H314" s="257" t="s">
        <v>18480</v>
      </c>
      <c r="I314" s="9">
        <v>1</v>
      </c>
    </row>
    <row r="315" spans="1:9">
      <c r="A315" s="257" t="s">
        <v>1413</v>
      </c>
      <c r="B315" s="9">
        <v>4</v>
      </c>
      <c r="C315" s="257" t="s">
        <v>9335</v>
      </c>
      <c r="D315" s="9">
        <v>0</v>
      </c>
      <c r="E315" s="9">
        <v>1728561.5107574463</v>
      </c>
      <c r="F315" s="257" t="s">
        <v>14035</v>
      </c>
      <c r="G315" s="9"/>
      <c r="H315" s="257" t="s">
        <v>18481</v>
      </c>
      <c r="I315" s="9">
        <v>1</v>
      </c>
    </row>
    <row r="316" spans="1:9">
      <c r="A316" s="257" t="s">
        <v>1414</v>
      </c>
      <c r="B316" s="9">
        <v>4</v>
      </c>
      <c r="C316" s="257" t="s">
        <v>9336</v>
      </c>
      <c r="D316" s="9">
        <v>0</v>
      </c>
      <c r="E316" s="9">
        <v>1728561.5107574463</v>
      </c>
      <c r="F316" s="257" t="s">
        <v>14035</v>
      </c>
      <c r="G316" s="9"/>
      <c r="H316" s="257" t="s">
        <v>18482</v>
      </c>
      <c r="I316" s="9">
        <v>1</v>
      </c>
    </row>
    <row r="317" spans="1:9">
      <c r="A317" s="257" t="s">
        <v>1415</v>
      </c>
      <c r="B317" s="9">
        <v>4</v>
      </c>
      <c r="C317" s="257" t="s">
        <v>9337</v>
      </c>
      <c r="D317" s="9">
        <v>0</v>
      </c>
      <c r="E317" s="9">
        <v>1728561.5107574463</v>
      </c>
      <c r="F317" s="257" t="s">
        <v>14035</v>
      </c>
      <c r="G317" s="9"/>
      <c r="H317" s="257" t="s">
        <v>18483</v>
      </c>
      <c r="I317" s="9">
        <v>1</v>
      </c>
    </row>
    <row r="318" spans="1:9">
      <c r="A318" s="257" t="s">
        <v>1416</v>
      </c>
      <c r="B318" s="9">
        <v>4</v>
      </c>
      <c r="C318" s="257" t="s">
        <v>9338</v>
      </c>
      <c r="D318" s="9">
        <v>0</v>
      </c>
      <c r="E318" s="9">
        <v>1728561.5107574463</v>
      </c>
      <c r="F318" s="257" t="s">
        <v>14036</v>
      </c>
      <c r="G318" s="9"/>
      <c r="H318" s="257" t="s">
        <v>18484</v>
      </c>
      <c r="I318" s="9">
        <v>1</v>
      </c>
    </row>
    <row r="319" spans="1:9">
      <c r="A319" s="257" t="s">
        <v>1417</v>
      </c>
      <c r="B319" s="9">
        <v>4</v>
      </c>
      <c r="C319" s="257" t="s">
        <v>9339</v>
      </c>
      <c r="D319" s="9">
        <v>0</v>
      </c>
      <c r="E319" s="9">
        <v>1728561.5107574463</v>
      </c>
      <c r="F319" s="257" t="s">
        <v>14036</v>
      </c>
      <c r="G319" s="9"/>
      <c r="H319" s="257" t="s">
        <v>18485</v>
      </c>
      <c r="I319" s="9">
        <v>1</v>
      </c>
    </row>
    <row r="320" spans="1:9">
      <c r="A320" s="257" t="s">
        <v>1418</v>
      </c>
      <c r="B320" s="9">
        <v>4</v>
      </c>
      <c r="C320" s="257" t="s">
        <v>9340</v>
      </c>
      <c r="D320" s="9">
        <v>0</v>
      </c>
      <c r="E320" s="9">
        <v>1728561.5107574463</v>
      </c>
      <c r="F320" s="257" t="s">
        <v>14036</v>
      </c>
      <c r="G320" s="9"/>
      <c r="H320" s="257" t="s">
        <v>18486</v>
      </c>
      <c r="I320" s="9">
        <v>1</v>
      </c>
    </row>
    <row r="321" spans="1:9">
      <c r="A321" s="257" t="s">
        <v>1419</v>
      </c>
      <c r="B321" s="9">
        <v>4</v>
      </c>
      <c r="C321" s="257" t="s">
        <v>9341</v>
      </c>
      <c r="D321" s="9">
        <v>0</v>
      </c>
      <c r="E321" s="9">
        <v>1728561.5107574463</v>
      </c>
      <c r="F321" s="257" t="s">
        <v>14036</v>
      </c>
      <c r="G321" s="9"/>
      <c r="H321" s="257" t="s">
        <v>18487</v>
      </c>
      <c r="I321" s="9">
        <v>1</v>
      </c>
    </row>
    <row r="322" spans="1:9">
      <c r="A322" s="257" t="s">
        <v>1420</v>
      </c>
      <c r="B322" s="9">
        <v>4</v>
      </c>
      <c r="C322" s="257" t="s">
        <v>9342</v>
      </c>
      <c r="D322" s="9">
        <v>0</v>
      </c>
      <c r="E322" s="9">
        <v>1728561.5107574463</v>
      </c>
      <c r="F322" s="257" t="s">
        <v>14037</v>
      </c>
      <c r="G322" s="9"/>
      <c r="H322" s="257" t="s">
        <v>18488</v>
      </c>
      <c r="I322" s="9">
        <v>1</v>
      </c>
    </row>
    <row r="323" spans="1:9">
      <c r="A323" s="257" t="s">
        <v>1421</v>
      </c>
      <c r="B323" s="9">
        <v>4</v>
      </c>
      <c r="C323" s="257" t="s">
        <v>9343</v>
      </c>
      <c r="D323" s="9">
        <v>0</v>
      </c>
      <c r="E323" s="9">
        <v>1728561.5107574463</v>
      </c>
      <c r="F323" s="257" t="s">
        <v>14037</v>
      </c>
      <c r="G323" s="9"/>
      <c r="H323" s="257" t="s">
        <v>18489</v>
      </c>
      <c r="I323" s="9">
        <v>1</v>
      </c>
    </row>
    <row r="324" spans="1:9">
      <c r="A324" s="257" t="s">
        <v>1422</v>
      </c>
      <c r="B324" s="9">
        <v>4</v>
      </c>
      <c r="C324" s="257" t="s">
        <v>9344</v>
      </c>
      <c r="D324" s="9">
        <v>0</v>
      </c>
      <c r="E324" s="9">
        <v>1728561.5107574463</v>
      </c>
      <c r="F324" s="257" t="s">
        <v>14037</v>
      </c>
      <c r="G324" s="9"/>
      <c r="H324" s="257" t="s">
        <v>18490</v>
      </c>
      <c r="I324" s="9">
        <v>1</v>
      </c>
    </row>
    <row r="325" spans="1:9">
      <c r="A325" s="257" t="s">
        <v>1423</v>
      </c>
      <c r="B325" s="9">
        <v>4</v>
      </c>
      <c r="C325" s="257" t="s">
        <v>9345</v>
      </c>
      <c r="D325" s="9">
        <v>0</v>
      </c>
      <c r="E325" s="9">
        <v>1728561.5107574463</v>
      </c>
      <c r="F325" s="257" t="s">
        <v>14037</v>
      </c>
      <c r="G325" s="9"/>
      <c r="H325" s="257" t="s">
        <v>18491</v>
      </c>
      <c r="I325" s="9">
        <v>1</v>
      </c>
    </row>
    <row r="326" spans="1:9">
      <c r="A326" s="257" t="s">
        <v>1424</v>
      </c>
      <c r="B326" s="9">
        <v>4</v>
      </c>
      <c r="C326" s="257" t="s">
        <v>9346</v>
      </c>
      <c r="D326" s="9">
        <v>0</v>
      </c>
      <c r="E326" s="9">
        <v>1728561.5107574463</v>
      </c>
      <c r="F326" s="257" t="s">
        <v>14038</v>
      </c>
      <c r="G326" s="9"/>
      <c r="H326" s="257" t="s">
        <v>18492</v>
      </c>
      <c r="I326" s="9">
        <v>1</v>
      </c>
    </row>
    <row r="327" spans="1:9">
      <c r="A327" s="257" t="s">
        <v>1425</v>
      </c>
      <c r="B327" s="9">
        <v>4</v>
      </c>
      <c r="C327" s="257" t="s">
        <v>9347</v>
      </c>
      <c r="D327" s="9">
        <v>0</v>
      </c>
      <c r="E327" s="9">
        <v>1728561.5107574463</v>
      </c>
      <c r="F327" s="257" t="s">
        <v>14038</v>
      </c>
      <c r="G327" s="9"/>
      <c r="H327" s="257" t="s">
        <v>18493</v>
      </c>
      <c r="I327" s="9">
        <v>1</v>
      </c>
    </row>
    <row r="328" spans="1:9">
      <c r="A328" s="257" t="s">
        <v>1426</v>
      </c>
      <c r="B328" s="9">
        <v>4</v>
      </c>
      <c r="C328" s="257" t="s">
        <v>9348</v>
      </c>
      <c r="D328" s="9">
        <v>0</v>
      </c>
      <c r="E328" s="9">
        <v>1728561.5107574463</v>
      </c>
      <c r="F328" s="257" t="s">
        <v>14038</v>
      </c>
      <c r="G328" s="9"/>
      <c r="H328" s="257" t="s">
        <v>18494</v>
      </c>
      <c r="I328" s="9">
        <v>1</v>
      </c>
    </row>
    <row r="329" spans="1:9">
      <c r="A329" s="257" t="s">
        <v>1427</v>
      </c>
      <c r="B329" s="9">
        <v>4</v>
      </c>
      <c r="C329" s="257" t="s">
        <v>9349</v>
      </c>
      <c r="D329" s="9">
        <v>0</v>
      </c>
      <c r="E329" s="9">
        <v>1728561.5107574463</v>
      </c>
      <c r="F329" s="257" t="s">
        <v>14038</v>
      </c>
      <c r="G329" s="9"/>
      <c r="H329" s="257" t="s">
        <v>18495</v>
      </c>
      <c r="I329" s="9">
        <v>1</v>
      </c>
    </row>
    <row r="330" spans="1:9">
      <c r="A330" s="257" t="s">
        <v>1428</v>
      </c>
      <c r="B330" s="9">
        <v>4</v>
      </c>
      <c r="C330" s="257" t="s">
        <v>9350</v>
      </c>
      <c r="D330" s="9">
        <v>0</v>
      </c>
      <c r="E330" s="9">
        <v>1728561.5107574463</v>
      </c>
      <c r="F330" s="257" t="s">
        <v>14039</v>
      </c>
      <c r="G330" s="9"/>
      <c r="H330" s="257" t="s">
        <v>18496</v>
      </c>
      <c r="I330" s="9">
        <v>1</v>
      </c>
    </row>
    <row r="331" spans="1:9">
      <c r="A331" s="257" t="s">
        <v>1429</v>
      </c>
      <c r="B331" s="9">
        <v>4</v>
      </c>
      <c r="C331" s="257" t="s">
        <v>9351</v>
      </c>
      <c r="D331" s="9">
        <v>0</v>
      </c>
      <c r="E331" s="9">
        <v>1728561.5107574463</v>
      </c>
      <c r="F331" s="257" t="s">
        <v>14039</v>
      </c>
      <c r="G331" s="9"/>
      <c r="H331" s="257" t="s">
        <v>18497</v>
      </c>
      <c r="I331" s="9">
        <v>1</v>
      </c>
    </row>
    <row r="332" spans="1:9">
      <c r="A332" s="257" t="s">
        <v>1430</v>
      </c>
      <c r="B332" s="9">
        <v>4</v>
      </c>
      <c r="C332" s="257" t="s">
        <v>9352</v>
      </c>
      <c r="D332" s="9">
        <v>0</v>
      </c>
      <c r="E332" s="9">
        <v>1728561.5107574463</v>
      </c>
      <c r="F332" s="257" t="s">
        <v>14039</v>
      </c>
      <c r="G332" s="9"/>
      <c r="H332" s="257" t="s">
        <v>18498</v>
      </c>
      <c r="I332" s="9">
        <v>1</v>
      </c>
    </row>
    <row r="333" spans="1:9">
      <c r="A333" s="257" t="s">
        <v>1431</v>
      </c>
      <c r="B333" s="9">
        <v>4</v>
      </c>
      <c r="C333" s="257" t="s">
        <v>9353</v>
      </c>
      <c r="D333" s="9">
        <v>0</v>
      </c>
      <c r="E333" s="9">
        <v>1728561.5107574463</v>
      </c>
      <c r="F333" s="257" t="s">
        <v>14039</v>
      </c>
      <c r="G333" s="9"/>
      <c r="H333" s="257" t="s">
        <v>18499</v>
      </c>
      <c r="I333" s="9">
        <v>1</v>
      </c>
    </row>
    <row r="334" spans="1:9">
      <c r="A334" s="257" t="s">
        <v>1432</v>
      </c>
      <c r="B334" s="9">
        <v>4</v>
      </c>
      <c r="C334" s="257" t="s">
        <v>9354</v>
      </c>
      <c r="D334" s="9">
        <v>1728561.5107574463</v>
      </c>
      <c r="E334" s="9">
        <v>1728561.5107574463</v>
      </c>
      <c r="F334" s="257" t="s">
        <v>14040</v>
      </c>
      <c r="G334" s="9"/>
      <c r="H334" s="257" t="s">
        <v>18500</v>
      </c>
      <c r="I334" s="9">
        <v>1</v>
      </c>
    </row>
    <row r="335" spans="1:9">
      <c r="A335" s="257" t="s">
        <v>1433</v>
      </c>
      <c r="B335" s="9">
        <v>4</v>
      </c>
      <c r="C335" s="257" t="s">
        <v>9355</v>
      </c>
      <c r="D335" s="9">
        <v>9224156406.5830536</v>
      </c>
      <c r="E335" s="9">
        <v>1728561.5107574463</v>
      </c>
      <c r="F335" s="257" t="s">
        <v>14040</v>
      </c>
      <c r="G335" s="9"/>
      <c r="H335" s="257" t="s">
        <v>18501</v>
      </c>
      <c r="I335" s="9">
        <v>1</v>
      </c>
    </row>
    <row r="336" spans="1:9">
      <c r="A336" s="257" t="s">
        <v>1434</v>
      </c>
      <c r="B336" s="9">
        <v>4</v>
      </c>
      <c r="C336" s="257" t="s">
        <v>9356</v>
      </c>
      <c r="D336" s="9">
        <v>1</v>
      </c>
      <c r="E336" s="9">
        <v>1728561.5107574463</v>
      </c>
      <c r="F336" s="257" t="s">
        <v>14040</v>
      </c>
      <c r="G336" s="9"/>
      <c r="H336" s="257" t="s">
        <v>18502</v>
      </c>
      <c r="I336" s="9">
        <v>1</v>
      </c>
    </row>
    <row r="337" spans="1:9">
      <c r="A337" s="257" t="s">
        <v>1435</v>
      </c>
      <c r="B337" s="9">
        <v>4</v>
      </c>
      <c r="C337" s="257" t="s">
        <v>9357</v>
      </c>
      <c r="D337" s="9">
        <v>5336.3194478055211</v>
      </c>
      <c r="E337" s="9">
        <v>1728561.5107574463</v>
      </c>
      <c r="F337" s="257" t="s">
        <v>14040</v>
      </c>
      <c r="G337" s="9"/>
      <c r="H337" s="257" t="s">
        <v>18503</v>
      </c>
      <c r="I337" s="9">
        <v>1</v>
      </c>
    </row>
    <row r="338" spans="1:9">
      <c r="A338" s="257" t="s">
        <v>1436</v>
      </c>
      <c r="B338" s="9">
        <v>4</v>
      </c>
      <c r="C338" s="257" t="s">
        <v>9358</v>
      </c>
      <c r="D338" s="9">
        <v>1728561.5107574463</v>
      </c>
      <c r="E338" s="9">
        <v>1728561.5107574463</v>
      </c>
      <c r="F338" s="257" t="s">
        <v>14041</v>
      </c>
      <c r="G338" s="9"/>
      <c r="H338" s="257" t="s">
        <v>18504</v>
      </c>
      <c r="I338" s="9">
        <v>1</v>
      </c>
    </row>
    <row r="339" spans="1:9">
      <c r="A339" s="257" t="s">
        <v>1437</v>
      </c>
      <c r="B339" s="9">
        <v>4</v>
      </c>
      <c r="C339" s="257" t="s">
        <v>9359</v>
      </c>
      <c r="D339" s="9">
        <v>9224156406.5830536</v>
      </c>
      <c r="E339" s="9">
        <v>1728561.5107574463</v>
      </c>
      <c r="F339" s="257" t="s">
        <v>14041</v>
      </c>
      <c r="G339" s="9"/>
      <c r="H339" s="257" t="s">
        <v>18505</v>
      </c>
      <c r="I339" s="9">
        <v>1</v>
      </c>
    </row>
    <row r="340" spans="1:9">
      <c r="A340" s="257" t="s">
        <v>1438</v>
      </c>
      <c r="B340" s="9">
        <v>4</v>
      </c>
      <c r="C340" s="257" t="s">
        <v>9360</v>
      </c>
      <c r="D340" s="9">
        <v>1</v>
      </c>
      <c r="E340" s="9">
        <v>1728561.5107574463</v>
      </c>
      <c r="F340" s="257" t="s">
        <v>14041</v>
      </c>
      <c r="G340" s="9"/>
      <c r="H340" s="257" t="s">
        <v>18506</v>
      </c>
      <c r="I340" s="9">
        <v>1</v>
      </c>
    </row>
    <row r="341" spans="1:9">
      <c r="A341" s="257" t="s">
        <v>1439</v>
      </c>
      <c r="B341" s="9">
        <v>4</v>
      </c>
      <c r="C341" s="257" t="s">
        <v>9361</v>
      </c>
      <c r="D341" s="9">
        <v>5336.3194478055211</v>
      </c>
      <c r="E341" s="9">
        <v>1728561.5107574463</v>
      </c>
      <c r="F341" s="257" t="s">
        <v>14041</v>
      </c>
      <c r="G341" s="9"/>
      <c r="H341" s="257" t="s">
        <v>18507</v>
      </c>
      <c r="I341" s="9">
        <v>1</v>
      </c>
    </row>
    <row r="342" spans="1:9">
      <c r="A342" s="257" t="s">
        <v>1440</v>
      </c>
      <c r="B342" s="9">
        <v>4</v>
      </c>
      <c r="C342" s="257" t="s">
        <v>9362</v>
      </c>
      <c r="D342" s="9">
        <v>1728561.5107574463</v>
      </c>
      <c r="E342" s="9">
        <v>1728561.5107574463</v>
      </c>
      <c r="F342" s="257" t="s">
        <v>14042</v>
      </c>
      <c r="G342" s="9"/>
      <c r="H342" s="257" t="s">
        <v>18508</v>
      </c>
      <c r="I342" s="9">
        <v>1</v>
      </c>
    </row>
    <row r="343" spans="1:9">
      <c r="A343" s="257" t="s">
        <v>1441</v>
      </c>
      <c r="B343" s="9">
        <v>4</v>
      </c>
      <c r="C343" s="257" t="s">
        <v>9363</v>
      </c>
      <c r="D343" s="9">
        <v>9224156406.5830536</v>
      </c>
      <c r="E343" s="9">
        <v>1728561.5107574463</v>
      </c>
      <c r="F343" s="257" t="s">
        <v>14042</v>
      </c>
      <c r="G343" s="9"/>
      <c r="H343" s="257" t="s">
        <v>18509</v>
      </c>
      <c r="I343" s="9">
        <v>1</v>
      </c>
    </row>
    <row r="344" spans="1:9">
      <c r="A344" s="257" t="s">
        <v>1442</v>
      </c>
      <c r="B344" s="9">
        <v>4</v>
      </c>
      <c r="C344" s="257" t="s">
        <v>9364</v>
      </c>
      <c r="D344" s="9">
        <v>1</v>
      </c>
      <c r="E344" s="9">
        <v>1728561.5107574463</v>
      </c>
      <c r="F344" s="257" t="s">
        <v>14042</v>
      </c>
      <c r="G344" s="9"/>
      <c r="H344" s="257" t="s">
        <v>18510</v>
      </c>
      <c r="I344" s="9">
        <v>1</v>
      </c>
    </row>
    <row r="345" spans="1:9">
      <c r="A345" s="257" t="s">
        <v>1443</v>
      </c>
      <c r="B345" s="9">
        <v>4</v>
      </c>
      <c r="C345" s="257" t="s">
        <v>9365</v>
      </c>
      <c r="D345" s="9">
        <v>5336.3194478055211</v>
      </c>
      <c r="E345" s="9">
        <v>1728561.5107574463</v>
      </c>
      <c r="F345" s="257" t="s">
        <v>14042</v>
      </c>
      <c r="G345" s="9"/>
      <c r="H345" s="257" t="s">
        <v>18511</v>
      </c>
      <c r="I345" s="9">
        <v>1</v>
      </c>
    </row>
    <row r="346" spans="1:9">
      <c r="A346" s="257" t="s">
        <v>1444</v>
      </c>
      <c r="B346" s="9">
        <v>4</v>
      </c>
      <c r="C346" s="257" t="s">
        <v>9366</v>
      </c>
      <c r="D346" s="9">
        <v>1728561.5107574463</v>
      </c>
      <c r="E346" s="9">
        <v>1728561.5107574463</v>
      </c>
      <c r="F346" s="257" t="s">
        <v>14043</v>
      </c>
      <c r="G346" s="9"/>
      <c r="H346" s="257" t="s">
        <v>18512</v>
      </c>
      <c r="I346" s="9">
        <v>1</v>
      </c>
    </row>
    <row r="347" spans="1:9">
      <c r="A347" s="257" t="s">
        <v>1445</v>
      </c>
      <c r="B347" s="9">
        <v>4</v>
      </c>
      <c r="C347" s="257" t="s">
        <v>9367</v>
      </c>
      <c r="D347" s="9">
        <v>2420280533.4230185</v>
      </c>
      <c r="E347" s="9">
        <v>1728561.5107574463</v>
      </c>
      <c r="F347" s="257" t="s">
        <v>14043</v>
      </c>
      <c r="G347" s="9"/>
      <c r="H347" s="257" t="s">
        <v>18513</v>
      </c>
      <c r="I347" s="9">
        <v>1</v>
      </c>
    </row>
    <row r="348" spans="1:9">
      <c r="A348" s="257" t="s">
        <v>1446</v>
      </c>
      <c r="B348" s="9">
        <v>4</v>
      </c>
      <c r="C348" s="257" t="s">
        <v>9368</v>
      </c>
      <c r="D348" s="9">
        <v>1</v>
      </c>
      <c r="E348" s="9">
        <v>1728561.5107574463</v>
      </c>
      <c r="F348" s="257" t="s">
        <v>14043</v>
      </c>
      <c r="G348" s="9"/>
      <c r="H348" s="257" t="s">
        <v>18514</v>
      </c>
      <c r="I348" s="9">
        <v>1</v>
      </c>
    </row>
    <row r="349" spans="1:9">
      <c r="A349" s="257" t="s">
        <v>1447</v>
      </c>
      <c r="B349" s="9">
        <v>4</v>
      </c>
      <c r="C349" s="257" t="s">
        <v>9369</v>
      </c>
      <c r="D349" s="9">
        <v>1400.1703256498315</v>
      </c>
      <c r="E349" s="9">
        <v>1728561.5107574463</v>
      </c>
      <c r="F349" s="257" t="s">
        <v>14043</v>
      </c>
      <c r="G349" s="9"/>
      <c r="H349" s="257" t="s">
        <v>18515</v>
      </c>
      <c r="I349" s="9">
        <v>1</v>
      </c>
    </row>
    <row r="350" spans="1:9">
      <c r="A350" s="257" t="s">
        <v>1448</v>
      </c>
      <c r="B350" s="9">
        <v>4</v>
      </c>
      <c r="C350" s="257" t="s">
        <v>9370</v>
      </c>
      <c r="D350" s="9">
        <v>663158.64059448242</v>
      </c>
      <c r="E350" s="9">
        <v>1728561.5107574463</v>
      </c>
      <c r="F350" s="257" t="s">
        <v>14044</v>
      </c>
      <c r="G350" s="9"/>
      <c r="H350" s="257" t="s">
        <v>18516</v>
      </c>
      <c r="I350" s="9">
        <v>1</v>
      </c>
    </row>
    <row r="351" spans="1:9">
      <c r="A351" s="257" t="s">
        <v>1449</v>
      </c>
      <c r="B351" s="9">
        <v>4</v>
      </c>
      <c r="C351" s="257" t="s">
        <v>9371</v>
      </c>
      <c r="D351" s="9">
        <v>1147957007.3327284</v>
      </c>
      <c r="E351" s="9">
        <v>1728561.5107574463</v>
      </c>
      <c r="F351" s="257" t="s">
        <v>14044</v>
      </c>
      <c r="G351" s="9"/>
      <c r="H351" s="257" t="s">
        <v>18517</v>
      </c>
      <c r="I351" s="9">
        <v>1</v>
      </c>
    </row>
    <row r="352" spans="1:9">
      <c r="A352" s="257" t="s">
        <v>1450</v>
      </c>
      <c r="B352" s="9">
        <v>4</v>
      </c>
      <c r="C352" s="257" t="s">
        <v>9372</v>
      </c>
      <c r="D352" s="9">
        <v>0.38364769576749969</v>
      </c>
      <c r="E352" s="9">
        <v>1728561.5107574463</v>
      </c>
      <c r="F352" s="257" t="s">
        <v>14044</v>
      </c>
      <c r="G352" s="9"/>
      <c r="H352" s="257" t="s">
        <v>18518</v>
      </c>
      <c r="I352" s="9">
        <v>1</v>
      </c>
    </row>
    <row r="353" spans="1:9">
      <c r="A353" s="257" t="s">
        <v>1451</v>
      </c>
      <c r="B353" s="9">
        <v>4</v>
      </c>
      <c r="C353" s="257" t="s">
        <v>9373</v>
      </c>
      <c r="D353" s="9">
        <v>664.1111700038374</v>
      </c>
      <c r="E353" s="9">
        <v>1728561.5107574463</v>
      </c>
      <c r="F353" s="257" t="s">
        <v>14044</v>
      </c>
      <c r="G353" s="9"/>
      <c r="H353" s="257" t="s">
        <v>18519</v>
      </c>
      <c r="I353" s="9">
        <v>1</v>
      </c>
    </row>
    <row r="354" spans="1:9">
      <c r="A354" s="257" t="s">
        <v>1452</v>
      </c>
      <c r="B354" s="9">
        <v>4</v>
      </c>
      <c r="C354" s="257" t="s">
        <v>9374</v>
      </c>
      <c r="D354" s="9">
        <v>1728561.5107574463</v>
      </c>
      <c r="E354" s="9">
        <v>1728561.5107574463</v>
      </c>
      <c r="F354" s="257" t="s">
        <v>14045</v>
      </c>
      <c r="G354" s="9"/>
      <c r="H354" s="257" t="s">
        <v>18520</v>
      </c>
      <c r="I354" s="9">
        <v>1</v>
      </c>
    </row>
    <row r="355" spans="1:9">
      <c r="A355" s="257" t="s">
        <v>1453</v>
      </c>
      <c r="B355" s="9">
        <v>4</v>
      </c>
      <c r="C355" s="257" t="s">
        <v>9375</v>
      </c>
      <c r="D355" s="9">
        <v>10372113413.915781</v>
      </c>
      <c r="E355" s="9">
        <v>1728561.5107574463</v>
      </c>
      <c r="F355" s="257" t="s">
        <v>14045</v>
      </c>
      <c r="G355" s="9"/>
      <c r="H355" s="257" t="s">
        <v>18521</v>
      </c>
      <c r="I355" s="9">
        <v>1</v>
      </c>
    </row>
    <row r="356" spans="1:9">
      <c r="A356" s="257" t="s">
        <v>1454</v>
      </c>
      <c r="B356" s="9">
        <v>4</v>
      </c>
      <c r="C356" s="257" t="s">
        <v>9376</v>
      </c>
      <c r="D356" s="9">
        <v>1</v>
      </c>
      <c r="E356" s="9">
        <v>1728561.5107574463</v>
      </c>
      <c r="F356" s="257" t="s">
        <v>14045</v>
      </c>
      <c r="G356" s="9"/>
      <c r="H356" s="257" t="s">
        <v>18522</v>
      </c>
      <c r="I356" s="9">
        <v>1</v>
      </c>
    </row>
    <row r="357" spans="1:9">
      <c r="A357" s="257" t="s">
        <v>1455</v>
      </c>
      <c r="B357" s="9">
        <v>4</v>
      </c>
      <c r="C357" s="257" t="s">
        <v>9377</v>
      </c>
      <c r="D357" s="9">
        <v>6000.4306178093584</v>
      </c>
      <c r="E357" s="9">
        <v>1728561.5107574463</v>
      </c>
      <c r="F357" s="257" t="s">
        <v>14045</v>
      </c>
      <c r="G357" s="9"/>
      <c r="H357" s="257" t="s">
        <v>18523</v>
      </c>
      <c r="I357" s="9">
        <v>1</v>
      </c>
    </row>
    <row r="358" spans="1:9">
      <c r="A358" s="257" t="s">
        <v>1456</v>
      </c>
      <c r="B358" s="9">
        <v>4</v>
      </c>
      <c r="C358" s="257" t="s">
        <v>9378</v>
      </c>
      <c r="D358" s="9">
        <v>1728561.5107574463</v>
      </c>
      <c r="E358" s="9">
        <v>1728561.5107574463</v>
      </c>
      <c r="F358" s="257" t="s">
        <v>14046</v>
      </c>
      <c r="G358" s="9"/>
      <c r="H358" s="257" t="s">
        <v>18524</v>
      </c>
      <c r="I358" s="9">
        <v>1</v>
      </c>
    </row>
    <row r="359" spans="1:9">
      <c r="A359" s="257" t="s">
        <v>1457</v>
      </c>
      <c r="B359" s="9">
        <v>4</v>
      </c>
      <c r="C359" s="257" t="s">
        <v>9379</v>
      </c>
      <c r="D359" s="9">
        <v>10372113413.915781</v>
      </c>
      <c r="E359" s="9">
        <v>1728561.5107574463</v>
      </c>
      <c r="F359" s="257" t="s">
        <v>14046</v>
      </c>
      <c r="G359" s="9"/>
      <c r="H359" s="257" t="s">
        <v>18525</v>
      </c>
      <c r="I359" s="9">
        <v>1</v>
      </c>
    </row>
    <row r="360" spans="1:9">
      <c r="A360" s="257" t="s">
        <v>1458</v>
      </c>
      <c r="B360" s="9">
        <v>4</v>
      </c>
      <c r="C360" s="257" t="s">
        <v>9380</v>
      </c>
      <c r="D360" s="9">
        <v>1</v>
      </c>
      <c r="E360" s="9">
        <v>1728561.5107574463</v>
      </c>
      <c r="F360" s="257" t="s">
        <v>14046</v>
      </c>
      <c r="G360" s="9"/>
      <c r="H360" s="257" t="s">
        <v>18526</v>
      </c>
      <c r="I360" s="9">
        <v>1</v>
      </c>
    </row>
    <row r="361" spans="1:9">
      <c r="A361" s="257" t="s">
        <v>1459</v>
      </c>
      <c r="B361" s="9">
        <v>4</v>
      </c>
      <c r="C361" s="257" t="s">
        <v>9381</v>
      </c>
      <c r="D361" s="9">
        <v>6000.4306178093584</v>
      </c>
      <c r="E361" s="9">
        <v>1728561.5107574463</v>
      </c>
      <c r="F361" s="257" t="s">
        <v>14046</v>
      </c>
      <c r="G361" s="9"/>
      <c r="H361" s="257" t="s">
        <v>18527</v>
      </c>
      <c r="I361" s="9">
        <v>1</v>
      </c>
    </row>
    <row r="362" spans="1:9">
      <c r="A362" s="257" t="s">
        <v>1460</v>
      </c>
      <c r="B362" s="9">
        <v>4</v>
      </c>
      <c r="C362" s="257" t="s">
        <v>9382</v>
      </c>
      <c r="D362" s="9">
        <v>1728561.5107574463</v>
      </c>
      <c r="E362" s="9">
        <v>1728561.5107574463</v>
      </c>
      <c r="F362" s="257" t="s">
        <v>14047</v>
      </c>
      <c r="G362" s="9"/>
      <c r="H362" s="257" t="s">
        <v>18528</v>
      </c>
      <c r="I362" s="9">
        <v>1</v>
      </c>
    </row>
    <row r="363" spans="1:9">
      <c r="A363" s="257" t="s">
        <v>1461</v>
      </c>
      <c r="B363" s="9">
        <v>4</v>
      </c>
      <c r="C363" s="257" t="s">
        <v>9383</v>
      </c>
      <c r="D363" s="9">
        <v>5670127012.3434095</v>
      </c>
      <c r="E363" s="9">
        <v>1728561.5107574463</v>
      </c>
      <c r="F363" s="257" t="s">
        <v>14047</v>
      </c>
      <c r="G363" s="9"/>
      <c r="H363" s="257" t="s">
        <v>18529</v>
      </c>
      <c r="I363" s="9">
        <v>1</v>
      </c>
    </row>
    <row r="364" spans="1:9">
      <c r="A364" s="257" t="s">
        <v>1462</v>
      </c>
      <c r="B364" s="9">
        <v>4</v>
      </c>
      <c r="C364" s="257" t="s">
        <v>9384</v>
      </c>
      <c r="D364" s="9">
        <v>1</v>
      </c>
      <c r="E364" s="9">
        <v>1728561.5107574463</v>
      </c>
      <c r="F364" s="257" t="s">
        <v>14047</v>
      </c>
      <c r="G364" s="9"/>
      <c r="H364" s="257" t="s">
        <v>18530</v>
      </c>
      <c r="I364" s="9">
        <v>1</v>
      </c>
    </row>
    <row r="365" spans="1:9">
      <c r="A365" s="257" t="s">
        <v>1463</v>
      </c>
      <c r="B365" s="9">
        <v>4</v>
      </c>
      <c r="C365" s="257" t="s">
        <v>9385</v>
      </c>
      <c r="D365" s="9">
        <v>3280.2575882062715</v>
      </c>
      <c r="E365" s="9">
        <v>1728561.5107574463</v>
      </c>
      <c r="F365" s="257" t="s">
        <v>14047</v>
      </c>
      <c r="G365" s="9"/>
      <c r="H365" s="257" t="s">
        <v>18531</v>
      </c>
      <c r="I365" s="9">
        <v>1</v>
      </c>
    </row>
    <row r="366" spans="1:9">
      <c r="A366" s="257" t="s">
        <v>1464</v>
      </c>
      <c r="B366" s="9">
        <v>4</v>
      </c>
      <c r="C366" s="257" t="s">
        <v>9386</v>
      </c>
      <c r="D366" s="9">
        <v>1728561.5107574463</v>
      </c>
      <c r="E366" s="9">
        <v>1728561.5107574463</v>
      </c>
      <c r="F366" s="257" t="s">
        <v>14048</v>
      </c>
      <c r="G366" s="9"/>
      <c r="H366" s="257" t="s">
        <v>18532</v>
      </c>
      <c r="I366" s="9">
        <v>1</v>
      </c>
    </row>
    <row r="367" spans="1:9">
      <c r="A367" s="257" t="s">
        <v>1465</v>
      </c>
      <c r="B367" s="9">
        <v>4</v>
      </c>
      <c r="C367" s="257" t="s">
        <v>9387</v>
      </c>
      <c r="D367" s="9">
        <v>5670127012.3434095</v>
      </c>
      <c r="E367" s="9">
        <v>1728561.5107574463</v>
      </c>
      <c r="F367" s="257" t="s">
        <v>14048</v>
      </c>
      <c r="G367" s="9"/>
      <c r="H367" s="257" t="s">
        <v>18533</v>
      </c>
      <c r="I367" s="9">
        <v>1</v>
      </c>
    </row>
    <row r="368" spans="1:9">
      <c r="A368" s="257" t="s">
        <v>1466</v>
      </c>
      <c r="B368" s="9">
        <v>4</v>
      </c>
      <c r="C368" s="257" t="s">
        <v>9388</v>
      </c>
      <c r="D368" s="9">
        <v>1</v>
      </c>
      <c r="E368" s="9">
        <v>1728561.5107574463</v>
      </c>
      <c r="F368" s="257" t="s">
        <v>14048</v>
      </c>
      <c r="G368" s="9"/>
      <c r="H368" s="257" t="s">
        <v>18534</v>
      </c>
      <c r="I368" s="9">
        <v>1</v>
      </c>
    </row>
    <row r="369" spans="1:9">
      <c r="A369" s="257" t="s">
        <v>1467</v>
      </c>
      <c r="B369" s="9">
        <v>4</v>
      </c>
      <c r="C369" s="257" t="s">
        <v>9389</v>
      </c>
      <c r="D369" s="9">
        <v>3280.2575882062715</v>
      </c>
      <c r="E369" s="9">
        <v>1728561.5107574463</v>
      </c>
      <c r="F369" s="257" t="s">
        <v>14048</v>
      </c>
      <c r="G369" s="9"/>
      <c r="H369" s="257" t="s">
        <v>18535</v>
      </c>
      <c r="I369" s="9">
        <v>1</v>
      </c>
    </row>
    <row r="370" spans="1:9">
      <c r="A370" s="257" t="s">
        <v>1468</v>
      </c>
      <c r="B370" s="9">
        <v>4</v>
      </c>
      <c r="C370" s="257" t="s">
        <v>9390</v>
      </c>
      <c r="D370" s="9">
        <v>1728561.5107574463</v>
      </c>
      <c r="E370" s="9">
        <v>1728561.5107574463</v>
      </c>
      <c r="F370" s="257" t="s">
        <v>14049</v>
      </c>
      <c r="G370" s="9"/>
      <c r="H370" s="257" t="s">
        <v>18536</v>
      </c>
      <c r="I370" s="9">
        <v>1</v>
      </c>
    </row>
    <row r="371" spans="1:9">
      <c r="A371" s="257" t="s">
        <v>1469</v>
      </c>
      <c r="B371" s="9">
        <v>4</v>
      </c>
      <c r="C371" s="257" t="s">
        <v>9391</v>
      </c>
      <c r="D371" s="9">
        <v>3554029394.2396441</v>
      </c>
      <c r="E371" s="9">
        <v>1728561.5107574463</v>
      </c>
      <c r="F371" s="257" t="s">
        <v>14049</v>
      </c>
      <c r="G371" s="9"/>
      <c r="H371" s="257" t="s">
        <v>18537</v>
      </c>
      <c r="I371" s="9">
        <v>1</v>
      </c>
    </row>
    <row r="372" spans="1:9">
      <c r="A372" s="257" t="s">
        <v>1470</v>
      </c>
      <c r="B372" s="9">
        <v>4</v>
      </c>
      <c r="C372" s="257" t="s">
        <v>9392</v>
      </c>
      <c r="D372" s="9">
        <v>1</v>
      </c>
      <c r="E372" s="9">
        <v>1728561.5107574463</v>
      </c>
      <c r="F372" s="257" t="s">
        <v>14049</v>
      </c>
      <c r="G372" s="9"/>
      <c r="H372" s="257" t="s">
        <v>18538</v>
      </c>
      <c r="I372" s="9">
        <v>1</v>
      </c>
    </row>
    <row r="373" spans="1:9">
      <c r="A373" s="257" t="s">
        <v>1471</v>
      </c>
      <c r="B373" s="9">
        <v>4</v>
      </c>
      <c r="C373" s="257" t="s">
        <v>9393</v>
      </c>
      <c r="D373" s="9">
        <v>2056.0618595992501</v>
      </c>
      <c r="E373" s="9">
        <v>1728561.5107574463</v>
      </c>
      <c r="F373" s="257" t="s">
        <v>14049</v>
      </c>
      <c r="G373" s="9"/>
      <c r="H373" s="257" t="s">
        <v>18539</v>
      </c>
      <c r="I373" s="9">
        <v>1</v>
      </c>
    </row>
    <row r="374" spans="1:9">
      <c r="A374" s="257" t="s">
        <v>1472</v>
      </c>
      <c r="B374" s="9">
        <v>4</v>
      </c>
      <c r="C374" s="257" t="s">
        <v>9394</v>
      </c>
      <c r="D374" s="9">
        <v>1728561.5107574463</v>
      </c>
      <c r="E374" s="9">
        <v>1728561.5107574463</v>
      </c>
      <c r="F374" s="257" t="s">
        <v>14050</v>
      </c>
      <c r="G374" s="9"/>
      <c r="H374" s="257" t="s">
        <v>18540</v>
      </c>
      <c r="I374" s="9">
        <v>1</v>
      </c>
    </row>
    <row r="375" spans="1:9">
      <c r="A375" s="257" t="s">
        <v>1473</v>
      </c>
      <c r="B375" s="9">
        <v>4</v>
      </c>
      <c r="C375" s="257" t="s">
        <v>9395</v>
      </c>
      <c r="D375" s="9">
        <v>4632571624.6393795</v>
      </c>
      <c r="E375" s="9">
        <v>1728561.5107574463</v>
      </c>
      <c r="F375" s="257" t="s">
        <v>14050</v>
      </c>
      <c r="G375" s="9"/>
      <c r="H375" s="257" t="s">
        <v>18541</v>
      </c>
      <c r="I375" s="9">
        <v>1</v>
      </c>
    </row>
    <row r="376" spans="1:9">
      <c r="A376" s="257" t="s">
        <v>1474</v>
      </c>
      <c r="B376" s="9">
        <v>4</v>
      </c>
      <c r="C376" s="257" t="s">
        <v>9396</v>
      </c>
      <c r="D376" s="9">
        <v>1</v>
      </c>
      <c r="E376" s="9">
        <v>1728561.5107574463</v>
      </c>
      <c r="F376" s="257" t="s">
        <v>14050</v>
      </c>
      <c r="G376" s="9"/>
      <c r="H376" s="257" t="s">
        <v>18542</v>
      </c>
      <c r="I376" s="9">
        <v>1</v>
      </c>
    </row>
    <row r="377" spans="1:9">
      <c r="A377" s="257" t="s">
        <v>1475</v>
      </c>
      <c r="B377" s="9">
        <v>4</v>
      </c>
      <c r="C377" s="257" t="s">
        <v>9397</v>
      </c>
      <c r="D377" s="9">
        <v>2680.0154902265595</v>
      </c>
      <c r="E377" s="9">
        <v>1728561.5107574463</v>
      </c>
      <c r="F377" s="257" t="s">
        <v>14050</v>
      </c>
      <c r="G377" s="9"/>
      <c r="H377" s="257" t="s">
        <v>18543</v>
      </c>
      <c r="I377" s="9">
        <v>1</v>
      </c>
    </row>
    <row r="378" spans="1:9">
      <c r="A378" s="257" t="s">
        <v>1476</v>
      </c>
      <c r="B378" s="9">
        <v>4</v>
      </c>
      <c r="C378" s="257" t="s">
        <v>9398</v>
      </c>
      <c r="D378" s="9">
        <v>829027.22212219238</v>
      </c>
      <c r="E378" s="9">
        <v>1728561.5107574463</v>
      </c>
      <c r="F378" s="257" t="s">
        <v>14051</v>
      </c>
      <c r="G378" s="9"/>
      <c r="H378" s="257" t="s">
        <v>18544</v>
      </c>
      <c r="I378" s="9">
        <v>1</v>
      </c>
    </row>
    <row r="379" spans="1:9">
      <c r="A379" s="257" t="s">
        <v>1477</v>
      </c>
      <c r="B379" s="9">
        <v>4</v>
      </c>
      <c r="C379" s="257" t="s">
        <v>9399</v>
      </c>
      <c r="D379" s="9">
        <v>4638436934.6012812</v>
      </c>
      <c r="E379" s="9">
        <v>1728561.5107574463</v>
      </c>
      <c r="F379" s="257" t="s">
        <v>14051</v>
      </c>
      <c r="G379" s="9"/>
      <c r="H379" s="257" t="s">
        <v>18545</v>
      </c>
      <c r="I379" s="9">
        <v>1</v>
      </c>
    </row>
    <row r="380" spans="1:9">
      <c r="A380" s="257" t="s">
        <v>1478</v>
      </c>
      <c r="B380" s="9">
        <v>4</v>
      </c>
      <c r="C380" s="257" t="s">
        <v>9400</v>
      </c>
      <c r="D380" s="9">
        <v>0.4796052769675041</v>
      </c>
      <c r="E380" s="9">
        <v>1728561.5107574463</v>
      </c>
      <c r="F380" s="257" t="s">
        <v>14051</v>
      </c>
      <c r="G380" s="9"/>
      <c r="H380" s="257" t="s">
        <v>18546</v>
      </c>
      <c r="I380" s="9">
        <v>1</v>
      </c>
    </row>
    <row r="381" spans="1:9">
      <c r="A381" s="257" t="s">
        <v>1479</v>
      </c>
      <c r="B381" s="9">
        <v>4</v>
      </c>
      <c r="C381" s="257" t="s">
        <v>9401</v>
      </c>
      <c r="D381" s="9">
        <v>2683.4086642185753</v>
      </c>
      <c r="E381" s="9">
        <v>1728561.5107574463</v>
      </c>
      <c r="F381" s="257" t="s">
        <v>14051</v>
      </c>
      <c r="G381" s="9"/>
      <c r="H381" s="257" t="s">
        <v>18547</v>
      </c>
      <c r="I381" s="9">
        <v>1</v>
      </c>
    </row>
    <row r="382" spans="1:9">
      <c r="A382" s="257" t="s">
        <v>1480</v>
      </c>
      <c r="B382" s="9">
        <v>4</v>
      </c>
      <c r="C382" s="257" t="s">
        <v>9402</v>
      </c>
      <c r="D382" s="9">
        <v>1728561.5107574463</v>
      </c>
      <c r="E382" s="9">
        <v>1728561.5107574463</v>
      </c>
      <c r="F382" s="257" t="s">
        <v>14052</v>
      </c>
      <c r="G382" s="9"/>
      <c r="H382" s="257" t="s">
        <v>18548</v>
      </c>
      <c r="I382" s="9">
        <v>1</v>
      </c>
    </row>
    <row r="383" spans="1:9">
      <c r="A383" s="257" t="s">
        <v>1481</v>
      </c>
      <c r="B383" s="9">
        <v>4</v>
      </c>
      <c r="C383" s="257" t="s">
        <v>9403</v>
      </c>
      <c r="D383" s="9">
        <v>1101104854.6751213</v>
      </c>
      <c r="E383" s="9">
        <v>1728561.5107574463</v>
      </c>
      <c r="F383" s="257" t="s">
        <v>14052</v>
      </c>
      <c r="G383" s="9"/>
      <c r="H383" s="257" t="s">
        <v>18549</v>
      </c>
      <c r="I383" s="9">
        <v>1</v>
      </c>
    </row>
    <row r="384" spans="1:9">
      <c r="A384" s="257" t="s">
        <v>1482</v>
      </c>
      <c r="B384" s="9">
        <v>4</v>
      </c>
      <c r="C384" s="257" t="s">
        <v>9404</v>
      </c>
      <c r="D384" s="9">
        <v>1</v>
      </c>
      <c r="E384" s="9">
        <v>1728561.5107574463</v>
      </c>
      <c r="F384" s="257" t="s">
        <v>14052</v>
      </c>
      <c r="G384" s="9"/>
      <c r="H384" s="257" t="s">
        <v>18550</v>
      </c>
      <c r="I384" s="9">
        <v>1</v>
      </c>
    </row>
    <row r="385" spans="1:9">
      <c r="A385" s="257" t="s">
        <v>1483</v>
      </c>
      <c r="B385" s="9">
        <v>4</v>
      </c>
      <c r="C385" s="257" t="s">
        <v>9405</v>
      </c>
      <c r="D385" s="9">
        <v>637.00646336422426</v>
      </c>
      <c r="E385" s="9">
        <v>1728561.5107574463</v>
      </c>
      <c r="F385" s="257" t="s">
        <v>14052</v>
      </c>
      <c r="G385" s="9"/>
      <c r="H385" s="257" t="s">
        <v>18551</v>
      </c>
      <c r="I385" s="9">
        <v>1</v>
      </c>
    </row>
    <row r="386" spans="1:9">
      <c r="A386" s="257" t="s">
        <v>1484</v>
      </c>
      <c r="B386" s="9">
        <v>4</v>
      </c>
      <c r="C386" s="257" t="s">
        <v>9406</v>
      </c>
      <c r="D386" s="9">
        <v>1728561.5107574463</v>
      </c>
      <c r="E386" s="9">
        <v>1728561.5107574463</v>
      </c>
      <c r="F386" s="257" t="s">
        <v>14053</v>
      </c>
      <c r="G386" s="9"/>
      <c r="H386" s="257" t="s">
        <v>18552</v>
      </c>
      <c r="I386" s="9">
        <v>1</v>
      </c>
    </row>
    <row r="387" spans="1:9">
      <c r="A387" s="257" t="s">
        <v>1485</v>
      </c>
      <c r="B387" s="9">
        <v>4</v>
      </c>
      <c r="C387" s="257" t="s">
        <v>9407</v>
      </c>
      <c r="D387" s="9">
        <v>5739541789.2764025</v>
      </c>
      <c r="E387" s="9">
        <v>1728561.5107574463</v>
      </c>
      <c r="F387" s="257" t="s">
        <v>14053</v>
      </c>
      <c r="G387" s="9"/>
      <c r="H387" s="257" t="s">
        <v>18553</v>
      </c>
      <c r="I387" s="9">
        <v>1</v>
      </c>
    </row>
    <row r="388" spans="1:9">
      <c r="A388" s="257" t="s">
        <v>1486</v>
      </c>
      <c r="B388" s="9">
        <v>4</v>
      </c>
      <c r="C388" s="257" t="s">
        <v>9408</v>
      </c>
      <c r="D388" s="9">
        <v>1</v>
      </c>
      <c r="E388" s="9">
        <v>1728561.5107574463</v>
      </c>
      <c r="F388" s="257" t="s">
        <v>14053</v>
      </c>
      <c r="G388" s="9"/>
      <c r="H388" s="257" t="s">
        <v>18554</v>
      </c>
      <c r="I388" s="9">
        <v>1</v>
      </c>
    </row>
    <row r="389" spans="1:9">
      <c r="A389" s="257" t="s">
        <v>1487</v>
      </c>
      <c r="B389" s="9">
        <v>4</v>
      </c>
      <c r="C389" s="257" t="s">
        <v>9409</v>
      </c>
      <c r="D389" s="9">
        <v>3320.4151275827994</v>
      </c>
      <c r="E389" s="9">
        <v>1728561.5107574463</v>
      </c>
      <c r="F389" s="257" t="s">
        <v>14053</v>
      </c>
      <c r="G389" s="9"/>
      <c r="H389" s="257" t="s">
        <v>18555</v>
      </c>
      <c r="I389" s="9">
        <v>1</v>
      </c>
    </row>
    <row r="390" spans="1:9">
      <c r="A390" s="257" t="s">
        <v>1488</v>
      </c>
      <c r="B390" s="9">
        <v>4</v>
      </c>
      <c r="C390" s="257" t="s">
        <v>9410</v>
      </c>
      <c r="D390" s="9">
        <v>127410.67199707031</v>
      </c>
      <c r="E390" s="9">
        <v>1728561.5107574463</v>
      </c>
      <c r="F390" s="257" t="s">
        <v>14054</v>
      </c>
      <c r="G390" s="9"/>
      <c r="H390" s="257" t="s">
        <v>18556</v>
      </c>
      <c r="I390" s="9">
        <v>1</v>
      </c>
    </row>
    <row r="391" spans="1:9">
      <c r="A391" s="257" t="s">
        <v>1489</v>
      </c>
      <c r="B391" s="9">
        <v>4</v>
      </c>
      <c r="C391" s="257" t="s">
        <v>9411</v>
      </c>
      <c r="D391" s="9">
        <v>69414776.932993546</v>
      </c>
      <c r="E391" s="9">
        <v>1728561.5107574463</v>
      </c>
      <c r="F391" s="257" t="s">
        <v>14054</v>
      </c>
      <c r="G391" s="9"/>
      <c r="H391" s="257" t="s">
        <v>18557</v>
      </c>
      <c r="I391" s="9">
        <v>1</v>
      </c>
    </row>
    <row r="392" spans="1:9">
      <c r="A392" s="257" t="s">
        <v>1490</v>
      </c>
      <c r="B392" s="9">
        <v>4</v>
      </c>
      <c r="C392" s="257" t="s">
        <v>9412</v>
      </c>
      <c r="D392" s="9">
        <v>7.3709076133044088E-2</v>
      </c>
      <c r="E392" s="9">
        <v>1728561.5107574463</v>
      </c>
      <c r="F392" s="257" t="s">
        <v>14054</v>
      </c>
      <c r="G392" s="9"/>
      <c r="H392" s="257" t="s">
        <v>18558</v>
      </c>
      <c r="I392" s="9">
        <v>1</v>
      </c>
    </row>
    <row r="393" spans="1:9">
      <c r="A393" s="257" t="s">
        <v>1491</v>
      </c>
      <c r="B393" s="9">
        <v>4</v>
      </c>
      <c r="C393" s="257" t="s">
        <v>9413</v>
      </c>
      <c r="D393" s="9">
        <v>40.157539376528383</v>
      </c>
      <c r="E393" s="9">
        <v>1728561.5107574463</v>
      </c>
      <c r="F393" s="257" t="s">
        <v>14054</v>
      </c>
      <c r="G393" s="9"/>
      <c r="H393" s="257" t="s">
        <v>18559</v>
      </c>
      <c r="I393" s="9">
        <v>1</v>
      </c>
    </row>
    <row r="394" spans="1:9">
      <c r="A394" s="257" t="s">
        <v>1492</v>
      </c>
      <c r="B394" s="9">
        <v>4</v>
      </c>
      <c r="C394" s="257" t="s">
        <v>9414</v>
      </c>
      <c r="D394" s="9">
        <v>620191.47164916992</v>
      </c>
      <c r="E394" s="9">
        <v>1728561.5107574463</v>
      </c>
      <c r="F394" s="257" t="s">
        <v>14055</v>
      </c>
      <c r="G394" s="9"/>
      <c r="H394" s="257" t="s">
        <v>18560</v>
      </c>
      <c r="I394" s="9">
        <v>1</v>
      </c>
    </row>
    <row r="395" spans="1:9">
      <c r="A395" s="257" t="s">
        <v>1493</v>
      </c>
      <c r="B395" s="9">
        <v>4</v>
      </c>
      <c r="C395" s="257" t="s">
        <v>9415</v>
      </c>
      <c r="D395" s="9">
        <v>1078542230.3997347</v>
      </c>
      <c r="E395" s="9">
        <v>1728561.5107574463</v>
      </c>
      <c r="F395" s="257" t="s">
        <v>14055</v>
      </c>
      <c r="G395" s="9"/>
      <c r="H395" s="257" t="s">
        <v>18561</v>
      </c>
      <c r="I395" s="9">
        <v>1</v>
      </c>
    </row>
    <row r="396" spans="1:9">
      <c r="A396" s="257" t="s">
        <v>1494</v>
      </c>
      <c r="B396" s="9">
        <v>4</v>
      </c>
      <c r="C396" s="257" t="s">
        <v>9416</v>
      </c>
      <c r="D396" s="9">
        <v>0.35879051326174988</v>
      </c>
      <c r="E396" s="9">
        <v>1728561.5107574463</v>
      </c>
      <c r="F396" s="257" t="s">
        <v>14055</v>
      </c>
      <c r="G396" s="9"/>
      <c r="H396" s="257" t="s">
        <v>18562</v>
      </c>
      <c r="I396" s="9">
        <v>1</v>
      </c>
    </row>
    <row r="397" spans="1:9">
      <c r="A397" s="257" t="s">
        <v>1495</v>
      </c>
      <c r="B397" s="9">
        <v>4</v>
      </c>
      <c r="C397" s="257" t="s">
        <v>9417</v>
      </c>
      <c r="D397" s="9">
        <v>623.95363062730894</v>
      </c>
      <c r="E397" s="9">
        <v>1728561.5107574463</v>
      </c>
      <c r="F397" s="257" t="s">
        <v>14055</v>
      </c>
      <c r="G397" s="9"/>
      <c r="H397" s="257" t="s">
        <v>18563</v>
      </c>
      <c r="I397" s="9">
        <v>1</v>
      </c>
    </row>
    <row r="398" spans="1:9">
      <c r="A398" s="257" t="s">
        <v>1496</v>
      </c>
      <c r="B398" s="9">
        <v>4</v>
      </c>
      <c r="C398" s="257" t="s">
        <v>9418</v>
      </c>
      <c r="D398" s="9">
        <v>0</v>
      </c>
      <c r="E398" s="9">
        <v>1728561.5107574463</v>
      </c>
      <c r="F398" s="257" t="s">
        <v>14056</v>
      </c>
      <c r="G398" s="9"/>
      <c r="H398" s="257" t="s">
        <v>18564</v>
      </c>
      <c r="I398" s="9">
        <v>1</v>
      </c>
    </row>
    <row r="399" spans="1:9">
      <c r="A399" s="257" t="s">
        <v>1497</v>
      </c>
      <c r="B399" s="9">
        <v>4</v>
      </c>
      <c r="C399" s="257" t="s">
        <v>9419</v>
      </c>
      <c r="D399" s="9">
        <v>0</v>
      </c>
      <c r="E399" s="9">
        <v>1728561.5107574463</v>
      </c>
      <c r="F399" s="257" t="s">
        <v>14056</v>
      </c>
      <c r="G399" s="9"/>
      <c r="H399" s="257" t="s">
        <v>18565</v>
      </c>
      <c r="I399" s="9">
        <v>1</v>
      </c>
    </row>
    <row r="400" spans="1:9">
      <c r="A400" s="257" t="s">
        <v>1498</v>
      </c>
      <c r="B400" s="9">
        <v>4</v>
      </c>
      <c r="C400" s="257" t="s">
        <v>9420</v>
      </c>
      <c r="D400" s="9">
        <v>0</v>
      </c>
      <c r="E400" s="9">
        <v>1728561.5107574463</v>
      </c>
      <c r="F400" s="257" t="s">
        <v>14056</v>
      </c>
      <c r="G400" s="9"/>
      <c r="H400" s="257" t="s">
        <v>18566</v>
      </c>
      <c r="I400" s="9">
        <v>1</v>
      </c>
    </row>
    <row r="401" spans="1:9">
      <c r="A401" s="257" t="s">
        <v>1499</v>
      </c>
      <c r="B401" s="9">
        <v>4</v>
      </c>
      <c r="C401" s="257" t="s">
        <v>9421</v>
      </c>
      <c r="D401" s="9">
        <v>0</v>
      </c>
      <c r="E401" s="9">
        <v>1728561.5107574463</v>
      </c>
      <c r="F401" s="257" t="s">
        <v>14056</v>
      </c>
      <c r="G401" s="9"/>
      <c r="H401" s="257" t="s">
        <v>18567</v>
      </c>
      <c r="I401" s="9">
        <v>1</v>
      </c>
    </row>
    <row r="402" spans="1:9">
      <c r="A402" s="257" t="s">
        <v>1500</v>
      </c>
      <c r="B402" s="9">
        <v>5</v>
      </c>
      <c r="C402" s="257" t="s">
        <v>9422</v>
      </c>
      <c r="D402" s="9">
        <v>860979.083984375</v>
      </c>
      <c r="E402" s="9">
        <v>1724465.2324523926</v>
      </c>
      <c r="F402" s="257" t="s">
        <v>14057</v>
      </c>
      <c r="G402" s="9"/>
      <c r="H402" s="257" t="s">
        <v>18568</v>
      </c>
      <c r="I402" s="9">
        <v>1</v>
      </c>
    </row>
    <row r="403" spans="1:9">
      <c r="A403" s="257" t="s">
        <v>1501</v>
      </c>
      <c r="B403" s="9">
        <v>5</v>
      </c>
      <c r="C403" s="257" t="s">
        <v>9423</v>
      </c>
      <c r="D403" s="9">
        <v>3187694787.180634</v>
      </c>
      <c r="E403" s="9">
        <v>1724465.2324523926</v>
      </c>
      <c r="F403" s="257" t="s">
        <v>14057</v>
      </c>
      <c r="G403" s="9"/>
      <c r="H403" s="257" t="s">
        <v>18569</v>
      </c>
      <c r="I403" s="9">
        <v>1</v>
      </c>
    </row>
    <row r="404" spans="1:9">
      <c r="A404" s="257" t="s">
        <v>1502</v>
      </c>
      <c r="B404" s="9">
        <v>5</v>
      </c>
      <c r="C404" s="257" t="s">
        <v>9424</v>
      </c>
      <c r="D404" s="9">
        <v>0.49927308929270864</v>
      </c>
      <c r="E404" s="9">
        <v>1724465.2324523926</v>
      </c>
      <c r="F404" s="257" t="s">
        <v>14057</v>
      </c>
      <c r="G404" s="9"/>
      <c r="H404" s="257" t="s">
        <v>18570</v>
      </c>
      <c r="I404" s="9">
        <v>1</v>
      </c>
    </row>
    <row r="405" spans="1:9">
      <c r="A405" s="257" t="s">
        <v>1503</v>
      </c>
      <c r="B405" s="9">
        <v>5</v>
      </c>
      <c r="C405" s="257" t="s">
        <v>9425</v>
      </c>
      <c r="D405" s="9">
        <v>1848.5120646053019</v>
      </c>
      <c r="E405" s="9">
        <v>1724465.2324523926</v>
      </c>
      <c r="F405" s="257" t="s">
        <v>14057</v>
      </c>
      <c r="G405" s="9"/>
      <c r="H405" s="257" t="s">
        <v>18571</v>
      </c>
      <c r="I405" s="9">
        <v>1</v>
      </c>
    </row>
    <row r="406" spans="1:9">
      <c r="A406" s="257" t="s">
        <v>1504</v>
      </c>
      <c r="B406" s="9">
        <v>5</v>
      </c>
      <c r="C406" s="257" t="s">
        <v>9426</v>
      </c>
      <c r="D406" s="9">
        <v>0</v>
      </c>
      <c r="E406" s="9">
        <v>1724465.2324523926</v>
      </c>
      <c r="F406" s="257" t="s">
        <v>14058</v>
      </c>
      <c r="G406" s="9"/>
      <c r="H406" s="257" t="s">
        <v>18572</v>
      </c>
      <c r="I406" s="9">
        <v>1</v>
      </c>
    </row>
    <row r="407" spans="1:9">
      <c r="A407" s="257" t="s">
        <v>1505</v>
      </c>
      <c r="B407" s="9">
        <v>5</v>
      </c>
      <c r="C407" s="257" t="s">
        <v>9427</v>
      </c>
      <c r="D407" s="9">
        <v>0</v>
      </c>
      <c r="E407" s="9">
        <v>1724465.2324523926</v>
      </c>
      <c r="F407" s="257" t="s">
        <v>14058</v>
      </c>
      <c r="G407" s="9"/>
      <c r="H407" s="257" t="s">
        <v>18573</v>
      </c>
      <c r="I407" s="9">
        <v>1</v>
      </c>
    </row>
    <row r="408" spans="1:9">
      <c r="A408" s="257" t="s">
        <v>1506</v>
      </c>
      <c r="B408" s="9">
        <v>5</v>
      </c>
      <c r="C408" s="257" t="s">
        <v>9428</v>
      </c>
      <c r="D408" s="9">
        <v>0</v>
      </c>
      <c r="E408" s="9">
        <v>1724465.2324523926</v>
      </c>
      <c r="F408" s="257" t="s">
        <v>14058</v>
      </c>
      <c r="G408" s="9"/>
      <c r="H408" s="257" t="s">
        <v>18574</v>
      </c>
      <c r="I408" s="9">
        <v>1</v>
      </c>
    </row>
    <row r="409" spans="1:9">
      <c r="A409" s="257" t="s">
        <v>1507</v>
      </c>
      <c r="B409" s="9">
        <v>5</v>
      </c>
      <c r="C409" s="257" t="s">
        <v>9429</v>
      </c>
      <c r="D409" s="9">
        <v>0</v>
      </c>
      <c r="E409" s="9">
        <v>1724465.2324523926</v>
      </c>
      <c r="F409" s="257" t="s">
        <v>14058</v>
      </c>
      <c r="G409" s="9"/>
      <c r="H409" s="257" t="s">
        <v>18575</v>
      </c>
      <c r="I409" s="9">
        <v>1</v>
      </c>
    </row>
    <row r="410" spans="1:9">
      <c r="A410" s="257" t="s">
        <v>1508</v>
      </c>
      <c r="B410" s="9">
        <v>5</v>
      </c>
      <c r="C410" s="257" t="s">
        <v>9430</v>
      </c>
      <c r="D410" s="9">
        <v>0</v>
      </c>
      <c r="E410" s="9">
        <v>1724465.2324523926</v>
      </c>
      <c r="F410" s="257" t="s">
        <v>14059</v>
      </c>
      <c r="G410" s="9"/>
      <c r="H410" s="257" t="s">
        <v>18576</v>
      </c>
      <c r="I410" s="9">
        <v>1</v>
      </c>
    </row>
    <row r="411" spans="1:9">
      <c r="A411" s="257" t="s">
        <v>1509</v>
      </c>
      <c r="B411" s="9">
        <v>5</v>
      </c>
      <c r="C411" s="257" t="s">
        <v>9431</v>
      </c>
      <c r="D411" s="9">
        <v>0</v>
      </c>
      <c r="E411" s="9">
        <v>1724465.2324523926</v>
      </c>
      <c r="F411" s="257" t="s">
        <v>14059</v>
      </c>
      <c r="G411" s="9"/>
      <c r="H411" s="257" t="s">
        <v>18577</v>
      </c>
      <c r="I411" s="9">
        <v>1</v>
      </c>
    </row>
    <row r="412" spans="1:9">
      <c r="A412" s="257" t="s">
        <v>1510</v>
      </c>
      <c r="B412" s="9">
        <v>5</v>
      </c>
      <c r="C412" s="257" t="s">
        <v>9432</v>
      </c>
      <c r="D412" s="9">
        <v>0</v>
      </c>
      <c r="E412" s="9">
        <v>1724465.2324523926</v>
      </c>
      <c r="F412" s="257" t="s">
        <v>14059</v>
      </c>
      <c r="G412" s="9"/>
      <c r="H412" s="257" t="s">
        <v>18578</v>
      </c>
      <c r="I412" s="9">
        <v>1</v>
      </c>
    </row>
    <row r="413" spans="1:9">
      <c r="A413" s="257" t="s">
        <v>1511</v>
      </c>
      <c r="B413" s="9">
        <v>5</v>
      </c>
      <c r="C413" s="257" t="s">
        <v>9433</v>
      </c>
      <c r="D413" s="9">
        <v>0</v>
      </c>
      <c r="E413" s="9">
        <v>1724465.2324523926</v>
      </c>
      <c r="F413" s="257" t="s">
        <v>14059</v>
      </c>
      <c r="G413" s="9"/>
      <c r="H413" s="257" t="s">
        <v>18579</v>
      </c>
      <c r="I413" s="9">
        <v>1</v>
      </c>
    </row>
    <row r="414" spans="1:9">
      <c r="A414" s="257" t="s">
        <v>1512</v>
      </c>
      <c r="B414" s="9">
        <v>5</v>
      </c>
      <c r="C414" s="257" t="s">
        <v>9434</v>
      </c>
      <c r="D414" s="9">
        <v>0</v>
      </c>
      <c r="E414" s="9">
        <v>1724465.2324523926</v>
      </c>
      <c r="F414" s="257" t="s">
        <v>14060</v>
      </c>
      <c r="G414" s="9"/>
      <c r="H414" s="257" t="s">
        <v>18580</v>
      </c>
      <c r="I414" s="9">
        <v>1</v>
      </c>
    </row>
    <row r="415" spans="1:9">
      <c r="A415" s="257" t="s">
        <v>1513</v>
      </c>
      <c r="B415" s="9">
        <v>5</v>
      </c>
      <c r="C415" s="257" t="s">
        <v>9435</v>
      </c>
      <c r="D415" s="9">
        <v>0</v>
      </c>
      <c r="E415" s="9">
        <v>1724465.2324523926</v>
      </c>
      <c r="F415" s="257" t="s">
        <v>14060</v>
      </c>
      <c r="G415" s="9"/>
      <c r="H415" s="257" t="s">
        <v>18581</v>
      </c>
      <c r="I415" s="9">
        <v>1</v>
      </c>
    </row>
    <row r="416" spans="1:9">
      <c r="A416" s="257" t="s">
        <v>1514</v>
      </c>
      <c r="B416" s="9">
        <v>5</v>
      </c>
      <c r="C416" s="257" t="s">
        <v>9436</v>
      </c>
      <c r="D416" s="9">
        <v>0</v>
      </c>
      <c r="E416" s="9">
        <v>1724465.2324523926</v>
      </c>
      <c r="F416" s="257" t="s">
        <v>14060</v>
      </c>
      <c r="G416" s="9"/>
      <c r="H416" s="257" t="s">
        <v>18582</v>
      </c>
      <c r="I416" s="9">
        <v>1</v>
      </c>
    </row>
    <row r="417" spans="1:9">
      <c r="A417" s="257" t="s">
        <v>1515</v>
      </c>
      <c r="B417" s="9">
        <v>5</v>
      </c>
      <c r="C417" s="257" t="s">
        <v>9437</v>
      </c>
      <c r="D417" s="9">
        <v>0</v>
      </c>
      <c r="E417" s="9">
        <v>1724465.2324523926</v>
      </c>
      <c r="F417" s="257" t="s">
        <v>14060</v>
      </c>
      <c r="G417" s="9"/>
      <c r="H417" s="257" t="s">
        <v>18583</v>
      </c>
      <c r="I417" s="9">
        <v>1</v>
      </c>
    </row>
    <row r="418" spans="1:9">
      <c r="A418" s="257" t="s">
        <v>1516</v>
      </c>
      <c r="B418" s="9">
        <v>5</v>
      </c>
      <c r="C418" s="257" t="s">
        <v>9438</v>
      </c>
      <c r="D418" s="9">
        <v>0</v>
      </c>
      <c r="E418" s="9">
        <v>1724465.2324523926</v>
      </c>
      <c r="F418" s="257" t="s">
        <v>14061</v>
      </c>
      <c r="G418" s="9"/>
      <c r="H418" s="257" t="s">
        <v>18584</v>
      </c>
      <c r="I418" s="9">
        <v>1</v>
      </c>
    </row>
    <row r="419" spans="1:9">
      <c r="A419" s="257" t="s">
        <v>1517</v>
      </c>
      <c r="B419" s="9">
        <v>5</v>
      </c>
      <c r="C419" s="257" t="s">
        <v>9439</v>
      </c>
      <c r="D419" s="9">
        <v>0</v>
      </c>
      <c r="E419" s="9">
        <v>1724465.2324523926</v>
      </c>
      <c r="F419" s="257" t="s">
        <v>14061</v>
      </c>
      <c r="G419" s="9"/>
      <c r="H419" s="257" t="s">
        <v>18585</v>
      </c>
      <c r="I419" s="9">
        <v>1</v>
      </c>
    </row>
    <row r="420" spans="1:9">
      <c r="A420" s="257" t="s">
        <v>1518</v>
      </c>
      <c r="B420" s="9">
        <v>5</v>
      </c>
      <c r="C420" s="257" t="s">
        <v>9440</v>
      </c>
      <c r="D420" s="9">
        <v>0</v>
      </c>
      <c r="E420" s="9">
        <v>1724465.2324523926</v>
      </c>
      <c r="F420" s="257" t="s">
        <v>14061</v>
      </c>
      <c r="G420" s="9"/>
      <c r="H420" s="257" t="s">
        <v>18586</v>
      </c>
      <c r="I420" s="9">
        <v>1</v>
      </c>
    </row>
    <row r="421" spans="1:9">
      <c r="A421" s="257" t="s">
        <v>1519</v>
      </c>
      <c r="B421" s="9">
        <v>5</v>
      </c>
      <c r="C421" s="257" t="s">
        <v>9441</v>
      </c>
      <c r="D421" s="9">
        <v>0</v>
      </c>
      <c r="E421" s="9">
        <v>1724465.2324523926</v>
      </c>
      <c r="F421" s="257" t="s">
        <v>14061</v>
      </c>
      <c r="G421" s="9"/>
      <c r="H421" s="257" t="s">
        <v>18587</v>
      </c>
      <c r="I421" s="9">
        <v>1</v>
      </c>
    </row>
    <row r="422" spans="1:9">
      <c r="A422" s="257" t="s">
        <v>1520</v>
      </c>
      <c r="B422" s="9">
        <v>5</v>
      </c>
      <c r="C422" s="257" t="s">
        <v>9442</v>
      </c>
      <c r="D422" s="9">
        <v>0</v>
      </c>
      <c r="E422" s="9">
        <v>1724465.2324523926</v>
      </c>
      <c r="F422" s="257" t="s">
        <v>14062</v>
      </c>
      <c r="G422" s="9"/>
      <c r="H422" s="257" t="s">
        <v>18588</v>
      </c>
      <c r="I422" s="9">
        <v>1</v>
      </c>
    </row>
    <row r="423" spans="1:9">
      <c r="A423" s="257" t="s">
        <v>1521</v>
      </c>
      <c r="B423" s="9">
        <v>5</v>
      </c>
      <c r="C423" s="257" t="s">
        <v>9443</v>
      </c>
      <c r="D423" s="9">
        <v>0</v>
      </c>
      <c r="E423" s="9">
        <v>1724465.2324523926</v>
      </c>
      <c r="F423" s="257" t="s">
        <v>14062</v>
      </c>
      <c r="G423" s="9"/>
      <c r="H423" s="257" t="s">
        <v>18589</v>
      </c>
      <c r="I423" s="9">
        <v>1</v>
      </c>
    </row>
    <row r="424" spans="1:9">
      <c r="A424" s="257" t="s">
        <v>1522</v>
      </c>
      <c r="B424" s="9">
        <v>5</v>
      </c>
      <c r="C424" s="257" t="s">
        <v>9444</v>
      </c>
      <c r="D424" s="9">
        <v>0</v>
      </c>
      <c r="E424" s="9">
        <v>1724465.2324523926</v>
      </c>
      <c r="F424" s="257" t="s">
        <v>14062</v>
      </c>
      <c r="G424" s="9"/>
      <c r="H424" s="257" t="s">
        <v>18590</v>
      </c>
      <c r="I424" s="9">
        <v>1</v>
      </c>
    </row>
    <row r="425" spans="1:9">
      <c r="A425" s="257" t="s">
        <v>1523</v>
      </c>
      <c r="B425" s="9">
        <v>5</v>
      </c>
      <c r="C425" s="257" t="s">
        <v>9445</v>
      </c>
      <c r="D425" s="9">
        <v>0</v>
      </c>
      <c r="E425" s="9">
        <v>1724465.2324523926</v>
      </c>
      <c r="F425" s="257" t="s">
        <v>14062</v>
      </c>
      <c r="G425" s="9"/>
      <c r="H425" s="257" t="s">
        <v>18591</v>
      </c>
      <c r="I425" s="9">
        <v>1</v>
      </c>
    </row>
    <row r="426" spans="1:9">
      <c r="A426" s="257" t="s">
        <v>1524</v>
      </c>
      <c r="B426" s="9">
        <v>5</v>
      </c>
      <c r="C426" s="257" t="s">
        <v>9446</v>
      </c>
      <c r="D426" s="9">
        <v>0</v>
      </c>
      <c r="E426" s="9">
        <v>1724465.2324523926</v>
      </c>
      <c r="F426" s="257" t="s">
        <v>14063</v>
      </c>
      <c r="G426" s="9"/>
      <c r="H426" s="257" t="s">
        <v>18592</v>
      </c>
      <c r="I426" s="9">
        <v>1</v>
      </c>
    </row>
    <row r="427" spans="1:9">
      <c r="A427" s="257" t="s">
        <v>1525</v>
      </c>
      <c r="B427" s="9">
        <v>5</v>
      </c>
      <c r="C427" s="257" t="s">
        <v>9447</v>
      </c>
      <c r="D427" s="9">
        <v>0</v>
      </c>
      <c r="E427" s="9">
        <v>1724465.2324523926</v>
      </c>
      <c r="F427" s="257" t="s">
        <v>14063</v>
      </c>
      <c r="G427" s="9"/>
      <c r="H427" s="257" t="s">
        <v>18593</v>
      </c>
      <c r="I427" s="9">
        <v>1</v>
      </c>
    </row>
    <row r="428" spans="1:9">
      <c r="A428" s="257" t="s">
        <v>1526</v>
      </c>
      <c r="B428" s="9">
        <v>5</v>
      </c>
      <c r="C428" s="257" t="s">
        <v>9448</v>
      </c>
      <c r="D428" s="9">
        <v>0</v>
      </c>
      <c r="E428" s="9">
        <v>1724465.2324523926</v>
      </c>
      <c r="F428" s="257" t="s">
        <v>14063</v>
      </c>
      <c r="G428" s="9"/>
      <c r="H428" s="257" t="s">
        <v>18594</v>
      </c>
      <c r="I428" s="9">
        <v>1</v>
      </c>
    </row>
    <row r="429" spans="1:9">
      <c r="A429" s="257" t="s">
        <v>1527</v>
      </c>
      <c r="B429" s="9">
        <v>5</v>
      </c>
      <c r="C429" s="257" t="s">
        <v>9449</v>
      </c>
      <c r="D429" s="9">
        <v>0</v>
      </c>
      <c r="E429" s="9">
        <v>1724465.2324523926</v>
      </c>
      <c r="F429" s="257" t="s">
        <v>14063</v>
      </c>
      <c r="G429" s="9"/>
      <c r="H429" s="257" t="s">
        <v>18595</v>
      </c>
      <c r="I429" s="9">
        <v>1</v>
      </c>
    </row>
    <row r="430" spans="1:9">
      <c r="A430" s="257" t="s">
        <v>1528</v>
      </c>
      <c r="B430" s="9">
        <v>5</v>
      </c>
      <c r="C430" s="257" t="s">
        <v>9450</v>
      </c>
      <c r="D430" s="9">
        <v>0</v>
      </c>
      <c r="E430" s="9">
        <v>1724465.2324523926</v>
      </c>
      <c r="F430" s="257" t="s">
        <v>14064</v>
      </c>
      <c r="G430" s="9"/>
      <c r="H430" s="257" t="s">
        <v>18596</v>
      </c>
      <c r="I430" s="9">
        <v>1</v>
      </c>
    </row>
    <row r="431" spans="1:9">
      <c r="A431" s="257" t="s">
        <v>1529</v>
      </c>
      <c r="B431" s="9">
        <v>5</v>
      </c>
      <c r="C431" s="257" t="s">
        <v>9451</v>
      </c>
      <c r="D431" s="9">
        <v>0</v>
      </c>
      <c r="E431" s="9">
        <v>1724465.2324523926</v>
      </c>
      <c r="F431" s="257" t="s">
        <v>14064</v>
      </c>
      <c r="G431" s="9"/>
      <c r="H431" s="257" t="s">
        <v>18597</v>
      </c>
      <c r="I431" s="9">
        <v>1</v>
      </c>
    </row>
    <row r="432" spans="1:9">
      <c r="A432" s="257" t="s">
        <v>1530</v>
      </c>
      <c r="B432" s="9">
        <v>5</v>
      </c>
      <c r="C432" s="257" t="s">
        <v>9452</v>
      </c>
      <c r="D432" s="9">
        <v>0</v>
      </c>
      <c r="E432" s="9">
        <v>1724465.2324523926</v>
      </c>
      <c r="F432" s="257" t="s">
        <v>14064</v>
      </c>
      <c r="G432" s="9"/>
      <c r="H432" s="257" t="s">
        <v>18598</v>
      </c>
      <c r="I432" s="9">
        <v>1</v>
      </c>
    </row>
    <row r="433" spans="1:9">
      <c r="A433" s="257" t="s">
        <v>1531</v>
      </c>
      <c r="B433" s="9">
        <v>5</v>
      </c>
      <c r="C433" s="257" t="s">
        <v>9453</v>
      </c>
      <c r="D433" s="9">
        <v>0</v>
      </c>
      <c r="E433" s="9">
        <v>1724465.2324523926</v>
      </c>
      <c r="F433" s="257" t="s">
        <v>14064</v>
      </c>
      <c r="G433" s="9"/>
      <c r="H433" s="257" t="s">
        <v>18599</v>
      </c>
      <c r="I433" s="9">
        <v>1</v>
      </c>
    </row>
    <row r="434" spans="1:9">
      <c r="A434" s="257" t="s">
        <v>1532</v>
      </c>
      <c r="B434" s="9">
        <v>5</v>
      </c>
      <c r="C434" s="257" t="s">
        <v>9454</v>
      </c>
      <c r="D434" s="9">
        <v>1724465.2324523926</v>
      </c>
      <c r="E434" s="9">
        <v>1724465.2324523926</v>
      </c>
      <c r="F434" s="257" t="s">
        <v>14065</v>
      </c>
      <c r="G434" s="9"/>
      <c r="H434" s="257" t="s">
        <v>18600</v>
      </c>
      <c r="I434" s="9">
        <v>1</v>
      </c>
    </row>
    <row r="435" spans="1:9">
      <c r="A435" s="257" t="s">
        <v>1533</v>
      </c>
      <c r="B435" s="9">
        <v>5</v>
      </c>
      <c r="C435" s="257" t="s">
        <v>9455</v>
      </c>
      <c r="D435" s="9">
        <v>11499617548.531021</v>
      </c>
      <c r="E435" s="9">
        <v>1724465.2324523926</v>
      </c>
      <c r="F435" s="257" t="s">
        <v>14065</v>
      </c>
      <c r="G435" s="9"/>
      <c r="H435" s="257" t="s">
        <v>18601</v>
      </c>
      <c r="I435" s="9">
        <v>1</v>
      </c>
    </row>
    <row r="436" spans="1:9">
      <c r="A436" s="257" t="s">
        <v>1534</v>
      </c>
      <c r="B436" s="9">
        <v>5</v>
      </c>
      <c r="C436" s="257" t="s">
        <v>9456</v>
      </c>
      <c r="D436" s="9">
        <v>1</v>
      </c>
      <c r="E436" s="9">
        <v>1724465.2324523926</v>
      </c>
      <c r="F436" s="257" t="s">
        <v>14065</v>
      </c>
      <c r="G436" s="9"/>
      <c r="H436" s="257" t="s">
        <v>18602</v>
      </c>
      <c r="I436" s="9">
        <v>1</v>
      </c>
    </row>
    <row r="437" spans="1:9">
      <c r="A437" s="257" t="s">
        <v>1535</v>
      </c>
      <c r="B437" s="9">
        <v>5</v>
      </c>
      <c r="C437" s="257" t="s">
        <v>9457</v>
      </c>
      <c r="D437" s="9">
        <v>6668.5122623070874</v>
      </c>
      <c r="E437" s="9">
        <v>1724465.2324523926</v>
      </c>
      <c r="F437" s="257" t="s">
        <v>14065</v>
      </c>
      <c r="G437" s="9"/>
      <c r="H437" s="257" t="s">
        <v>18603</v>
      </c>
      <c r="I437" s="9">
        <v>1</v>
      </c>
    </row>
    <row r="438" spans="1:9">
      <c r="A438" s="257" t="s">
        <v>1536</v>
      </c>
      <c r="B438" s="9">
        <v>5</v>
      </c>
      <c r="C438" s="257" t="s">
        <v>9458</v>
      </c>
      <c r="D438" s="9">
        <v>1724465.2324523926</v>
      </c>
      <c r="E438" s="9">
        <v>1724465.2324523926</v>
      </c>
      <c r="F438" s="257" t="s">
        <v>14066</v>
      </c>
      <c r="G438" s="9"/>
      <c r="H438" s="257" t="s">
        <v>18604</v>
      </c>
      <c r="I438" s="9">
        <v>1</v>
      </c>
    </row>
    <row r="439" spans="1:9">
      <c r="A439" s="257" t="s">
        <v>1537</v>
      </c>
      <c r="B439" s="9">
        <v>5</v>
      </c>
      <c r="C439" s="257" t="s">
        <v>9459</v>
      </c>
      <c r="D439" s="9">
        <v>11499617548.531021</v>
      </c>
      <c r="E439" s="9">
        <v>1724465.2324523926</v>
      </c>
      <c r="F439" s="257" t="s">
        <v>14066</v>
      </c>
      <c r="G439" s="9"/>
      <c r="H439" s="257" t="s">
        <v>18605</v>
      </c>
      <c r="I439" s="9">
        <v>1</v>
      </c>
    </row>
    <row r="440" spans="1:9">
      <c r="A440" s="257" t="s">
        <v>1538</v>
      </c>
      <c r="B440" s="9">
        <v>5</v>
      </c>
      <c r="C440" s="257" t="s">
        <v>9460</v>
      </c>
      <c r="D440" s="9">
        <v>1</v>
      </c>
      <c r="E440" s="9">
        <v>1724465.2324523926</v>
      </c>
      <c r="F440" s="257" t="s">
        <v>14066</v>
      </c>
      <c r="G440" s="9"/>
      <c r="H440" s="257" t="s">
        <v>18606</v>
      </c>
      <c r="I440" s="9">
        <v>1</v>
      </c>
    </row>
    <row r="441" spans="1:9">
      <c r="A441" s="257" t="s">
        <v>1539</v>
      </c>
      <c r="B441" s="9">
        <v>5</v>
      </c>
      <c r="C441" s="257" t="s">
        <v>9461</v>
      </c>
      <c r="D441" s="9">
        <v>6668.5122623070874</v>
      </c>
      <c r="E441" s="9">
        <v>1724465.2324523926</v>
      </c>
      <c r="F441" s="257" t="s">
        <v>14066</v>
      </c>
      <c r="G441" s="9"/>
      <c r="H441" s="257" t="s">
        <v>18607</v>
      </c>
      <c r="I441" s="9">
        <v>1</v>
      </c>
    </row>
    <row r="442" spans="1:9">
      <c r="A442" s="257" t="s">
        <v>1540</v>
      </c>
      <c r="B442" s="9">
        <v>5</v>
      </c>
      <c r="C442" s="257" t="s">
        <v>9462</v>
      </c>
      <c r="D442" s="9">
        <v>1724465.2324523926</v>
      </c>
      <c r="E442" s="9">
        <v>1724465.2324523926</v>
      </c>
      <c r="F442" s="257" t="s">
        <v>14067</v>
      </c>
      <c r="G442" s="9"/>
      <c r="H442" s="257" t="s">
        <v>18608</v>
      </c>
      <c r="I442" s="9">
        <v>1</v>
      </c>
    </row>
    <row r="443" spans="1:9">
      <c r="A443" s="257" t="s">
        <v>1541</v>
      </c>
      <c r="B443" s="9">
        <v>5</v>
      </c>
      <c r="C443" s="257" t="s">
        <v>9463</v>
      </c>
      <c r="D443" s="9">
        <v>11499617548.531021</v>
      </c>
      <c r="E443" s="9">
        <v>1724465.2324523926</v>
      </c>
      <c r="F443" s="257" t="s">
        <v>14067</v>
      </c>
      <c r="G443" s="9"/>
      <c r="H443" s="257" t="s">
        <v>18609</v>
      </c>
      <c r="I443" s="9">
        <v>1</v>
      </c>
    </row>
    <row r="444" spans="1:9">
      <c r="A444" s="257" t="s">
        <v>1542</v>
      </c>
      <c r="B444" s="9">
        <v>5</v>
      </c>
      <c r="C444" s="257" t="s">
        <v>9464</v>
      </c>
      <c r="D444" s="9">
        <v>1</v>
      </c>
      <c r="E444" s="9">
        <v>1724465.2324523926</v>
      </c>
      <c r="F444" s="257" t="s">
        <v>14067</v>
      </c>
      <c r="G444" s="9"/>
      <c r="H444" s="257" t="s">
        <v>18610</v>
      </c>
      <c r="I444" s="9">
        <v>1</v>
      </c>
    </row>
    <row r="445" spans="1:9">
      <c r="A445" s="257" t="s">
        <v>1543</v>
      </c>
      <c r="B445" s="9">
        <v>5</v>
      </c>
      <c r="C445" s="257" t="s">
        <v>9465</v>
      </c>
      <c r="D445" s="9">
        <v>6668.5122623070874</v>
      </c>
      <c r="E445" s="9">
        <v>1724465.2324523926</v>
      </c>
      <c r="F445" s="257" t="s">
        <v>14067</v>
      </c>
      <c r="G445" s="9"/>
      <c r="H445" s="257" t="s">
        <v>18611</v>
      </c>
      <c r="I445" s="9">
        <v>1</v>
      </c>
    </row>
    <row r="446" spans="1:9">
      <c r="A446" s="257" t="s">
        <v>1544</v>
      </c>
      <c r="B446" s="9">
        <v>5</v>
      </c>
      <c r="C446" s="257" t="s">
        <v>9466</v>
      </c>
      <c r="D446" s="9">
        <v>1724465.2324523926</v>
      </c>
      <c r="E446" s="9">
        <v>1724465.2324523926</v>
      </c>
      <c r="F446" s="257" t="s">
        <v>14068</v>
      </c>
      <c r="G446" s="9"/>
      <c r="H446" s="257" t="s">
        <v>18612</v>
      </c>
      <c r="I446" s="9">
        <v>1</v>
      </c>
    </row>
    <row r="447" spans="1:9">
      <c r="A447" s="257" t="s">
        <v>1545</v>
      </c>
      <c r="B447" s="9">
        <v>5</v>
      </c>
      <c r="C447" s="257" t="s">
        <v>9467</v>
      </c>
      <c r="D447" s="9">
        <v>2872705742.9079151</v>
      </c>
      <c r="E447" s="9">
        <v>1724465.2324523926</v>
      </c>
      <c r="F447" s="257" t="s">
        <v>14068</v>
      </c>
      <c r="G447" s="9"/>
      <c r="H447" s="257" t="s">
        <v>18613</v>
      </c>
      <c r="I447" s="9">
        <v>1</v>
      </c>
    </row>
    <row r="448" spans="1:9">
      <c r="A448" s="257" t="s">
        <v>1546</v>
      </c>
      <c r="B448" s="9">
        <v>5</v>
      </c>
      <c r="C448" s="257" t="s">
        <v>9468</v>
      </c>
      <c r="D448" s="9">
        <v>1</v>
      </c>
      <c r="E448" s="9">
        <v>1724465.2324523926</v>
      </c>
      <c r="F448" s="257" t="s">
        <v>14068</v>
      </c>
      <c r="G448" s="9"/>
      <c r="H448" s="257" t="s">
        <v>18614</v>
      </c>
      <c r="I448" s="9">
        <v>1</v>
      </c>
    </row>
    <row r="449" spans="1:9">
      <c r="A449" s="257" t="s">
        <v>1547</v>
      </c>
      <c r="B449" s="9">
        <v>5</v>
      </c>
      <c r="C449" s="257" t="s">
        <v>9469</v>
      </c>
      <c r="D449" s="9">
        <v>1665.8530939603747</v>
      </c>
      <c r="E449" s="9">
        <v>1724465.2324523926</v>
      </c>
      <c r="F449" s="257" t="s">
        <v>14068</v>
      </c>
      <c r="G449" s="9"/>
      <c r="H449" s="257" t="s">
        <v>18615</v>
      </c>
      <c r="I449" s="9">
        <v>1</v>
      </c>
    </row>
    <row r="450" spans="1:9">
      <c r="A450" s="257" t="s">
        <v>1548</v>
      </c>
      <c r="B450" s="9">
        <v>5</v>
      </c>
      <c r="C450" s="257" t="s">
        <v>9470</v>
      </c>
      <c r="D450" s="9">
        <v>901129.99133300781</v>
      </c>
      <c r="E450" s="9">
        <v>1724465.2324523926</v>
      </c>
      <c r="F450" s="257" t="s">
        <v>14069</v>
      </c>
      <c r="G450" s="9"/>
      <c r="H450" s="257" t="s">
        <v>18616</v>
      </c>
      <c r="I450" s="9">
        <v>1</v>
      </c>
    </row>
    <row r="451" spans="1:9">
      <c r="A451" s="257" t="s">
        <v>1549</v>
      </c>
      <c r="B451" s="9">
        <v>5</v>
      </c>
      <c r="C451" s="257" t="s">
        <v>9471</v>
      </c>
      <c r="D451" s="9">
        <v>1616125715.6693556</v>
      </c>
      <c r="E451" s="9">
        <v>1724465.2324523926</v>
      </c>
      <c r="F451" s="257" t="s">
        <v>14069</v>
      </c>
      <c r="G451" s="9"/>
      <c r="H451" s="257" t="s">
        <v>18617</v>
      </c>
      <c r="I451" s="9">
        <v>1</v>
      </c>
    </row>
    <row r="452" spans="1:9">
      <c r="A452" s="257" t="s">
        <v>1550</v>
      </c>
      <c r="B452" s="9">
        <v>5</v>
      </c>
      <c r="C452" s="257" t="s">
        <v>9472</v>
      </c>
      <c r="D452" s="9">
        <v>0.52255619561056321</v>
      </c>
      <c r="E452" s="9">
        <v>1724465.2324523926</v>
      </c>
      <c r="F452" s="257" t="s">
        <v>14069</v>
      </c>
      <c r="G452" s="9"/>
      <c r="H452" s="257" t="s">
        <v>18618</v>
      </c>
      <c r="I452" s="9">
        <v>1</v>
      </c>
    </row>
    <row r="453" spans="1:9">
      <c r="A453" s="257" t="s">
        <v>1551</v>
      </c>
      <c r="B453" s="9">
        <v>5</v>
      </c>
      <c r="C453" s="257" t="s">
        <v>9473</v>
      </c>
      <c r="D453" s="9">
        <v>937.17500663729504</v>
      </c>
      <c r="E453" s="9">
        <v>1724465.2324523926</v>
      </c>
      <c r="F453" s="257" t="s">
        <v>14069</v>
      </c>
      <c r="G453" s="9"/>
      <c r="H453" s="257" t="s">
        <v>18619</v>
      </c>
      <c r="I453" s="9">
        <v>1</v>
      </c>
    </row>
    <row r="454" spans="1:9">
      <c r="A454" s="257" t="s">
        <v>1552</v>
      </c>
      <c r="B454" s="9">
        <v>5</v>
      </c>
      <c r="C454" s="257" t="s">
        <v>9474</v>
      </c>
      <c r="D454" s="9">
        <v>1724465.2324523926</v>
      </c>
      <c r="E454" s="9">
        <v>1724465.2324523926</v>
      </c>
      <c r="F454" s="257" t="s">
        <v>14070</v>
      </c>
      <c r="G454" s="9"/>
      <c r="H454" s="257" t="s">
        <v>18620</v>
      </c>
      <c r="I454" s="9">
        <v>1</v>
      </c>
    </row>
    <row r="455" spans="1:9">
      <c r="A455" s="257" t="s">
        <v>1553</v>
      </c>
      <c r="B455" s="9">
        <v>5</v>
      </c>
      <c r="C455" s="257" t="s">
        <v>9475</v>
      </c>
      <c r="D455" s="9">
        <v>13115743264.200377</v>
      </c>
      <c r="E455" s="9">
        <v>1724465.2324523926</v>
      </c>
      <c r="F455" s="257" t="s">
        <v>14070</v>
      </c>
      <c r="G455" s="9"/>
      <c r="H455" s="257" t="s">
        <v>18621</v>
      </c>
      <c r="I455" s="9">
        <v>1</v>
      </c>
    </row>
    <row r="456" spans="1:9">
      <c r="A456" s="257" t="s">
        <v>1554</v>
      </c>
      <c r="B456" s="9">
        <v>5</v>
      </c>
      <c r="C456" s="257" t="s">
        <v>9476</v>
      </c>
      <c r="D456" s="9">
        <v>1</v>
      </c>
      <c r="E456" s="9">
        <v>1724465.2324523926</v>
      </c>
      <c r="F456" s="257" t="s">
        <v>14070</v>
      </c>
      <c r="G456" s="9"/>
      <c r="H456" s="257" t="s">
        <v>18622</v>
      </c>
      <c r="I456" s="9">
        <v>1</v>
      </c>
    </row>
    <row r="457" spans="1:9">
      <c r="A457" s="257" t="s">
        <v>1555</v>
      </c>
      <c r="B457" s="9">
        <v>5</v>
      </c>
      <c r="C457" s="257" t="s">
        <v>9477</v>
      </c>
      <c r="D457" s="9">
        <v>7605.6872689443817</v>
      </c>
      <c r="E457" s="9">
        <v>1724465.2324523926</v>
      </c>
      <c r="F457" s="257" t="s">
        <v>14070</v>
      </c>
      <c r="G457" s="9"/>
      <c r="H457" s="257" t="s">
        <v>18623</v>
      </c>
      <c r="I457" s="9">
        <v>1</v>
      </c>
    </row>
    <row r="458" spans="1:9">
      <c r="A458" s="257" t="s">
        <v>1556</v>
      </c>
      <c r="B458" s="9">
        <v>5</v>
      </c>
      <c r="C458" s="257" t="s">
        <v>9478</v>
      </c>
      <c r="D458" s="9">
        <v>1724465.2324523926</v>
      </c>
      <c r="E458" s="9">
        <v>1724465.2324523926</v>
      </c>
      <c r="F458" s="257" t="s">
        <v>14071</v>
      </c>
      <c r="G458" s="9"/>
      <c r="H458" s="257" t="s">
        <v>18624</v>
      </c>
      <c r="I458" s="9">
        <v>1</v>
      </c>
    </row>
    <row r="459" spans="1:9">
      <c r="A459" s="257" t="s">
        <v>1557</v>
      </c>
      <c r="B459" s="9">
        <v>5</v>
      </c>
      <c r="C459" s="257" t="s">
        <v>9479</v>
      </c>
      <c r="D459" s="9">
        <v>13115743264.200377</v>
      </c>
      <c r="E459" s="9">
        <v>1724465.2324523926</v>
      </c>
      <c r="F459" s="257" t="s">
        <v>14071</v>
      </c>
      <c r="G459" s="9"/>
      <c r="H459" s="257" t="s">
        <v>18625</v>
      </c>
      <c r="I459" s="9">
        <v>1</v>
      </c>
    </row>
    <row r="460" spans="1:9">
      <c r="A460" s="257" t="s">
        <v>1558</v>
      </c>
      <c r="B460" s="9">
        <v>5</v>
      </c>
      <c r="C460" s="257" t="s">
        <v>9480</v>
      </c>
      <c r="D460" s="9">
        <v>1</v>
      </c>
      <c r="E460" s="9">
        <v>1724465.2324523926</v>
      </c>
      <c r="F460" s="257" t="s">
        <v>14071</v>
      </c>
      <c r="G460" s="9"/>
      <c r="H460" s="257" t="s">
        <v>18626</v>
      </c>
      <c r="I460" s="9">
        <v>1</v>
      </c>
    </row>
    <row r="461" spans="1:9">
      <c r="A461" s="257" t="s">
        <v>1559</v>
      </c>
      <c r="B461" s="9">
        <v>5</v>
      </c>
      <c r="C461" s="257" t="s">
        <v>9481</v>
      </c>
      <c r="D461" s="9">
        <v>7605.6872689443817</v>
      </c>
      <c r="E461" s="9">
        <v>1724465.2324523926</v>
      </c>
      <c r="F461" s="257" t="s">
        <v>14071</v>
      </c>
      <c r="G461" s="9"/>
      <c r="H461" s="257" t="s">
        <v>18627</v>
      </c>
      <c r="I461" s="9">
        <v>1</v>
      </c>
    </row>
    <row r="462" spans="1:9">
      <c r="A462" s="257" t="s">
        <v>1560</v>
      </c>
      <c r="B462" s="9">
        <v>5</v>
      </c>
      <c r="C462" s="257" t="s">
        <v>9482</v>
      </c>
      <c r="D462" s="9">
        <v>1724465.2324523926</v>
      </c>
      <c r="E462" s="9">
        <v>1724465.2324523926</v>
      </c>
      <c r="F462" s="257" t="s">
        <v>14072</v>
      </c>
      <c r="G462" s="9"/>
      <c r="H462" s="257" t="s">
        <v>18628</v>
      </c>
      <c r="I462" s="9">
        <v>1</v>
      </c>
    </row>
    <row r="463" spans="1:9">
      <c r="A463" s="257" t="s">
        <v>1561</v>
      </c>
      <c r="B463" s="9">
        <v>5</v>
      </c>
      <c r="C463" s="257" t="s">
        <v>9483</v>
      </c>
      <c r="D463" s="9">
        <v>6997029485.2460194</v>
      </c>
      <c r="E463" s="9">
        <v>1724465.2324523926</v>
      </c>
      <c r="F463" s="257" t="s">
        <v>14072</v>
      </c>
      <c r="G463" s="9"/>
      <c r="H463" s="257" t="s">
        <v>18629</v>
      </c>
      <c r="I463" s="9">
        <v>1</v>
      </c>
    </row>
    <row r="464" spans="1:9">
      <c r="A464" s="257" t="s">
        <v>1562</v>
      </c>
      <c r="B464" s="9">
        <v>5</v>
      </c>
      <c r="C464" s="257" t="s">
        <v>9484</v>
      </c>
      <c r="D464" s="9">
        <v>1</v>
      </c>
      <c r="E464" s="9">
        <v>1724465.2324523926</v>
      </c>
      <c r="F464" s="257" t="s">
        <v>14072</v>
      </c>
      <c r="G464" s="9"/>
      <c r="H464" s="257" t="s">
        <v>18630</v>
      </c>
      <c r="I464" s="9">
        <v>1</v>
      </c>
    </row>
    <row r="465" spans="1:9">
      <c r="A465" s="257" t="s">
        <v>1563</v>
      </c>
      <c r="B465" s="9">
        <v>5</v>
      </c>
      <c r="C465" s="257" t="s">
        <v>9485</v>
      </c>
      <c r="D465" s="9">
        <v>4057.5068453513672</v>
      </c>
      <c r="E465" s="9">
        <v>1724465.2324523926</v>
      </c>
      <c r="F465" s="257" t="s">
        <v>14072</v>
      </c>
      <c r="G465" s="9"/>
      <c r="H465" s="257" t="s">
        <v>18631</v>
      </c>
      <c r="I465" s="9">
        <v>1</v>
      </c>
    </row>
    <row r="466" spans="1:9">
      <c r="A466" s="257" t="s">
        <v>1564</v>
      </c>
      <c r="B466" s="9">
        <v>5</v>
      </c>
      <c r="C466" s="257" t="s">
        <v>9486</v>
      </c>
      <c r="D466" s="9">
        <v>1724465.2324523926</v>
      </c>
      <c r="E466" s="9">
        <v>1724465.2324523926</v>
      </c>
      <c r="F466" s="257" t="s">
        <v>14073</v>
      </c>
      <c r="G466" s="9"/>
      <c r="H466" s="257" t="s">
        <v>18632</v>
      </c>
      <c r="I466" s="9">
        <v>1</v>
      </c>
    </row>
    <row r="467" spans="1:9">
      <c r="A467" s="257" t="s">
        <v>1565</v>
      </c>
      <c r="B467" s="9">
        <v>5</v>
      </c>
      <c r="C467" s="257" t="s">
        <v>9487</v>
      </c>
      <c r="D467" s="9">
        <v>6997029485.2460194</v>
      </c>
      <c r="E467" s="9">
        <v>1724465.2324523926</v>
      </c>
      <c r="F467" s="257" t="s">
        <v>14073</v>
      </c>
      <c r="G467" s="9"/>
      <c r="H467" s="257" t="s">
        <v>18633</v>
      </c>
      <c r="I467" s="9">
        <v>1</v>
      </c>
    </row>
    <row r="468" spans="1:9">
      <c r="A468" s="257" t="s">
        <v>1566</v>
      </c>
      <c r="B468" s="9">
        <v>5</v>
      </c>
      <c r="C468" s="257" t="s">
        <v>9488</v>
      </c>
      <c r="D468" s="9">
        <v>1</v>
      </c>
      <c r="E468" s="9">
        <v>1724465.2324523926</v>
      </c>
      <c r="F468" s="257" t="s">
        <v>14073</v>
      </c>
      <c r="G468" s="9"/>
      <c r="H468" s="257" t="s">
        <v>18634</v>
      </c>
      <c r="I468" s="9">
        <v>1</v>
      </c>
    </row>
    <row r="469" spans="1:9">
      <c r="A469" s="257" t="s">
        <v>1567</v>
      </c>
      <c r="B469" s="9">
        <v>5</v>
      </c>
      <c r="C469" s="257" t="s">
        <v>9489</v>
      </c>
      <c r="D469" s="9">
        <v>4057.5068453513672</v>
      </c>
      <c r="E469" s="9">
        <v>1724465.2324523926</v>
      </c>
      <c r="F469" s="257" t="s">
        <v>14073</v>
      </c>
      <c r="G469" s="9"/>
      <c r="H469" s="257" t="s">
        <v>18635</v>
      </c>
      <c r="I469" s="9">
        <v>1</v>
      </c>
    </row>
    <row r="470" spans="1:9">
      <c r="A470" s="257" t="s">
        <v>1568</v>
      </c>
      <c r="B470" s="9">
        <v>5</v>
      </c>
      <c r="C470" s="257" t="s">
        <v>9490</v>
      </c>
      <c r="D470" s="9">
        <v>1724465.2324523926</v>
      </c>
      <c r="E470" s="9">
        <v>1724465.2324523926</v>
      </c>
      <c r="F470" s="257" t="s">
        <v>14074</v>
      </c>
      <c r="G470" s="9"/>
      <c r="H470" s="257" t="s">
        <v>18636</v>
      </c>
      <c r="I470" s="9">
        <v>1</v>
      </c>
    </row>
    <row r="471" spans="1:9">
      <c r="A471" s="257" t="s">
        <v>1569</v>
      </c>
      <c r="B471" s="9">
        <v>5</v>
      </c>
      <c r="C471" s="257" t="s">
        <v>9491</v>
      </c>
      <c r="D471" s="9">
        <v>4502588063.2850018</v>
      </c>
      <c r="E471" s="9">
        <v>1724465.2324523926</v>
      </c>
      <c r="F471" s="257" t="s">
        <v>14074</v>
      </c>
      <c r="G471" s="9"/>
      <c r="H471" s="257" t="s">
        <v>18637</v>
      </c>
      <c r="I471" s="9">
        <v>1</v>
      </c>
    </row>
    <row r="472" spans="1:9">
      <c r="A472" s="257" t="s">
        <v>1570</v>
      </c>
      <c r="B472" s="9">
        <v>5</v>
      </c>
      <c r="C472" s="257" t="s">
        <v>9492</v>
      </c>
      <c r="D472" s="9">
        <v>1</v>
      </c>
      <c r="E472" s="9">
        <v>1724465.2324523926</v>
      </c>
      <c r="F472" s="257" t="s">
        <v>14074</v>
      </c>
      <c r="G472" s="9"/>
      <c r="H472" s="257" t="s">
        <v>18638</v>
      </c>
      <c r="I472" s="9">
        <v>1</v>
      </c>
    </row>
    <row r="473" spans="1:9">
      <c r="A473" s="257" t="s">
        <v>1571</v>
      </c>
      <c r="B473" s="9">
        <v>5</v>
      </c>
      <c r="C473" s="257" t="s">
        <v>9493</v>
      </c>
      <c r="D473" s="9">
        <v>2611.0054169557197</v>
      </c>
      <c r="E473" s="9">
        <v>1724465.2324523926</v>
      </c>
      <c r="F473" s="257" t="s">
        <v>14074</v>
      </c>
      <c r="G473" s="9"/>
      <c r="H473" s="257" t="s">
        <v>18639</v>
      </c>
      <c r="I473" s="9">
        <v>1</v>
      </c>
    </row>
    <row r="474" spans="1:9">
      <c r="A474" s="257" t="s">
        <v>1572</v>
      </c>
      <c r="B474" s="9">
        <v>5</v>
      </c>
      <c r="C474" s="257" t="s">
        <v>9494</v>
      </c>
      <c r="D474" s="9">
        <v>1724465.2324523926</v>
      </c>
      <c r="E474" s="9">
        <v>1724465.2324523926</v>
      </c>
      <c r="F474" s="257" t="s">
        <v>14075</v>
      </c>
      <c r="G474" s="9"/>
      <c r="H474" s="257" t="s">
        <v>18640</v>
      </c>
      <c r="I474" s="9">
        <v>1</v>
      </c>
    </row>
    <row r="475" spans="1:9">
      <c r="A475" s="257" t="s">
        <v>1573</v>
      </c>
      <c r="B475" s="9">
        <v>5</v>
      </c>
      <c r="C475" s="257" t="s">
        <v>9495</v>
      </c>
      <c r="D475" s="9">
        <v>6060400530.0885487</v>
      </c>
      <c r="E475" s="9">
        <v>1724465.2324523926</v>
      </c>
      <c r="F475" s="257" t="s">
        <v>14075</v>
      </c>
      <c r="G475" s="9"/>
      <c r="H475" s="257" t="s">
        <v>18641</v>
      </c>
      <c r="I475" s="9">
        <v>1</v>
      </c>
    </row>
    <row r="476" spans="1:9">
      <c r="A476" s="257" t="s">
        <v>1574</v>
      </c>
      <c r="B476" s="9">
        <v>5</v>
      </c>
      <c r="C476" s="257" t="s">
        <v>9496</v>
      </c>
      <c r="D476" s="9">
        <v>1</v>
      </c>
      <c r="E476" s="9">
        <v>1724465.2324523926</v>
      </c>
      <c r="F476" s="257" t="s">
        <v>14075</v>
      </c>
      <c r="G476" s="9"/>
      <c r="H476" s="257" t="s">
        <v>18642</v>
      </c>
      <c r="I476" s="9">
        <v>1</v>
      </c>
    </row>
    <row r="477" spans="1:9">
      <c r="A477" s="257" t="s">
        <v>1575</v>
      </c>
      <c r="B477" s="9">
        <v>5</v>
      </c>
      <c r="C477" s="257" t="s">
        <v>9497</v>
      </c>
      <c r="D477" s="9">
        <v>3514.3651585656762</v>
      </c>
      <c r="E477" s="9">
        <v>1724465.2324523926</v>
      </c>
      <c r="F477" s="257" t="s">
        <v>14075</v>
      </c>
      <c r="G477" s="9"/>
      <c r="H477" s="257" t="s">
        <v>18643</v>
      </c>
      <c r="I477" s="9">
        <v>1</v>
      </c>
    </row>
    <row r="478" spans="1:9">
      <c r="A478" s="257" t="s">
        <v>1576</v>
      </c>
      <c r="B478" s="9">
        <v>5</v>
      </c>
      <c r="C478" s="257" t="s">
        <v>9498</v>
      </c>
      <c r="D478" s="9">
        <v>943306.87666320801</v>
      </c>
      <c r="E478" s="9">
        <v>1724465.2324523926</v>
      </c>
      <c r="F478" s="257" t="s">
        <v>14076</v>
      </c>
      <c r="G478" s="9"/>
      <c r="H478" s="257" t="s">
        <v>18644</v>
      </c>
      <c r="I478" s="9">
        <v>1</v>
      </c>
    </row>
    <row r="479" spans="1:9">
      <c r="A479" s="257" t="s">
        <v>1577</v>
      </c>
      <c r="B479" s="9">
        <v>5</v>
      </c>
      <c r="C479" s="257" t="s">
        <v>9499</v>
      </c>
      <c r="D479" s="9">
        <v>5711554523.1281919</v>
      </c>
      <c r="E479" s="9">
        <v>1724465.2324523926</v>
      </c>
      <c r="F479" s="257" t="s">
        <v>14076</v>
      </c>
      <c r="G479" s="9"/>
      <c r="H479" s="257" t="s">
        <v>18645</v>
      </c>
      <c r="I479" s="9">
        <v>1</v>
      </c>
    </row>
    <row r="480" spans="1:9">
      <c r="A480" s="257" t="s">
        <v>1578</v>
      </c>
      <c r="B480" s="9">
        <v>5</v>
      </c>
      <c r="C480" s="257" t="s">
        <v>9500</v>
      </c>
      <c r="D480" s="9">
        <v>0.54701414613138621</v>
      </c>
      <c r="E480" s="9">
        <v>1724465.2324523926</v>
      </c>
      <c r="F480" s="257" t="s">
        <v>14076</v>
      </c>
      <c r="G480" s="9"/>
      <c r="H480" s="257" t="s">
        <v>18646</v>
      </c>
      <c r="I480" s="9">
        <v>1</v>
      </c>
    </row>
    <row r="481" spans="1:9">
      <c r="A481" s="257" t="s">
        <v>1579</v>
      </c>
      <c r="B481" s="9">
        <v>5</v>
      </c>
      <c r="C481" s="257" t="s">
        <v>9501</v>
      </c>
      <c r="D481" s="9">
        <v>3312.0728766480779</v>
      </c>
      <c r="E481" s="9">
        <v>1724465.2324523926</v>
      </c>
      <c r="F481" s="257" t="s">
        <v>14076</v>
      </c>
      <c r="G481" s="9"/>
      <c r="H481" s="257" t="s">
        <v>18647</v>
      </c>
      <c r="I481" s="9">
        <v>1</v>
      </c>
    </row>
    <row r="482" spans="1:9">
      <c r="A482" s="257" t="s">
        <v>1580</v>
      </c>
      <c r="B482" s="9">
        <v>5</v>
      </c>
      <c r="C482" s="257" t="s">
        <v>9502</v>
      </c>
      <c r="D482" s="9">
        <v>1724465.2324523926</v>
      </c>
      <c r="E482" s="9">
        <v>1724465.2324523926</v>
      </c>
      <c r="F482" s="257" t="s">
        <v>14077</v>
      </c>
      <c r="G482" s="9"/>
      <c r="H482" s="257" t="s">
        <v>18648</v>
      </c>
      <c r="I482" s="9">
        <v>1</v>
      </c>
    </row>
    <row r="483" spans="1:9">
      <c r="A483" s="257" t="s">
        <v>1581</v>
      </c>
      <c r="B483" s="9">
        <v>5</v>
      </c>
      <c r="C483" s="257" t="s">
        <v>9503</v>
      </c>
      <c r="D483" s="9">
        <v>1343788210.9836352</v>
      </c>
      <c r="E483" s="9">
        <v>1724465.2324523926</v>
      </c>
      <c r="F483" s="257" t="s">
        <v>14077</v>
      </c>
      <c r="G483" s="9"/>
      <c r="H483" s="257" t="s">
        <v>18649</v>
      </c>
      <c r="I483" s="9">
        <v>1</v>
      </c>
    </row>
    <row r="484" spans="1:9">
      <c r="A484" s="257" t="s">
        <v>1582</v>
      </c>
      <c r="B484" s="9">
        <v>5</v>
      </c>
      <c r="C484" s="257" t="s">
        <v>9504</v>
      </c>
      <c r="D484" s="9">
        <v>1</v>
      </c>
      <c r="E484" s="9">
        <v>1724465.2324523926</v>
      </c>
      <c r="F484" s="257" t="s">
        <v>14077</v>
      </c>
      <c r="G484" s="9"/>
      <c r="H484" s="257" t="s">
        <v>18650</v>
      </c>
      <c r="I484" s="9">
        <v>1</v>
      </c>
    </row>
    <row r="485" spans="1:9">
      <c r="A485" s="257" t="s">
        <v>1583</v>
      </c>
      <c r="B485" s="9">
        <v>5</v>
      </c>
      <c r="C485" s="257" t="s">
        <v>9505</v>
      </c>
      <c r="D485" s="9">
        <v>779.24923373062745</v>
      </c>
      <c r="E485" s="9">
        <v>1724465.2324523926</v>
      </c>
      <c r="F485" s="257" t="s">
        <v>14077</v>
      </c>
      <c r="G485" s="9"/>
      <c r="H485" s="257" t="s">
        <v>18651</v>
      </c>
      <c r="I485" s="9">
        <v>1</v>
      </c>
    </row>
    <row r="486" spans="1:9">
      <c r="A486" s="257" t="s">
        <v>1584</v>
      </c>
      <c r="B486" s="9">
        <v>5</v>
      </c>
      <c r="C486" s="257" t="s">
        <v>9506</v>
      </c>
      <c r="D486" s="9">
        <v>1724465.2324523926</v>
      </c>
      <c r="E486" s="9">
        <v>1724465.2324523926</v>
      </c>
      <c r="F486" s="257" t="s">
        <v>14078</v>
      </c>
      <c r="G486" s="9"/>
      <c r="H486" s="257" t="s">
        <v>18652</v>
      </c>
      <c r="I486" s="9">
        <v>1</v>
      </c>
    </row>
    <row r="487" spans="1:9">
      <c r="A487" s="257" t="s">
        <v>1585</v>
      </c>
      <c r="B487" s="9">
        <v>5</v>
      </c>
      <c r="C487" s="257" t="s">
        <v>9507</v>
      </c>
      <c r="D487" s="9">
        <v>7055342734.1118279</v>
      </c>
      <c r="E487" s="9">
        <v>1724465.2324523926</v>
      </c>
      <c r="F487" s="257" t="s">
        <v>14078</v>
      </c>
      <c r="G487" s="9"/>
      <c r="H487" s="257" t="s">
        <v>18653</v>
      </c>
      <c r="I487" s="9">
        <v>1</v>
      </c>
    </row>
    <row r="488" spans="1:9">
      <c r="A488" s="257" t="s">
        <v>1586</v>
      </c>
      <c r="B488" s="9">
        <v>5</v>
      </c>
      <c r="C488" s="257" t="s">
        <v>9508</v>
      </c>
      <c r="D488" s="9">
        <v>1</v>
      </c>
      <c r="E488" s="9">
        <v>1724465.2324523926</v>
      </c>
      <c r="F488" s="257" t="s">
        <v>14078</v>
      </c>
      <c r="G488" s="9"/>
      <c r="H488" s="257" t="s">
        <v>18654</v>
      </c>
      <c r="I488" s="9">
        <v>1</v>
      </c>
    </row>
    <row r="489" spans="1:9">
      <c r="A489" s="257" t="s">
        <v>1587</v>
      </c>
      <c r="B489" s="9">
        <v>5</v>
      </c>
      <c r="C489" s="257" t="s">
        <v>9509</v>
      </c>
      <c r="D489" s="9">
        <v>4091.3221103787055</v>
      </c>
      <c r="E489" s="9">
        <v>1724465.2324523926</v>
      </c>
      <c r="F489" s="257" t="s">
        <v>14078</v>
      </c>
      <c r="G489" s="9"/>
      <c r="H489" s="257" t="s">
        <v>18655</v>
      </c>
      <c r="I489" s="9">
        <v>1</v>
      </c>
    </row>
    <row r="490" spans="1:9">
      <c r="A490" s="257" t="s">
        <v>1588</v>
      </c>
      <c r="B490" s="9">
        <v>5</v>
      </c>
      <c r="C490" s="257" t="s">
        <v>9510</v>
      </c>
      <c r="D490" s="9">
        <v>103478.39990234375</v>
      </c>
      <c r="E490" s="9">
        <v>1724465.2324523926</v>
      </c>
      <c r="F490" s="257" t="s">
        <v>14079</v>
      </c>
      <c r="G490" s="9"/>
      <c r="H490" s="257" t="s">
        <v>18656</v>
      </c>
      <c r="I490" s="9">
        <v>1</v>
      </c>
    </row>
    <row r="491" spans="1:9">
      <c r="A491" s="257" t="s">
        <v>1589</v>
      </c>
      <c r="B491" s="9">
        <v>5</v>
      </c>
      <c r="C491" s="257" t="s">
        <v>9511</v>
      </c>
      <c r="D491" s="9">
        <v>58313248.865807965</v>
      </c>
      <c r="E491" s="9">
        <v>1724465.2324523926</v>
      </c>
      <c r="F491" s="257" t="s">
        <v>14079</v>
      </c>
      <c r="G491" s="9"/>
      <c r="H491" s="257" t="s">
        <v>18657</v>
      </c>
      <c r="I491" s="9">
        <v>1</v>
      </c>
    </row>
    <row r="492" spans="1:9">
      <c r="A492" s="257" t="s">
        <v>1590</v>
      </c>
      <c r="B492" s="9">
        <v>5</v>
      </c>
      <c r="C492" s="257" t="s">
        <v>9512</v>
      </c>
      <c r="D492" s="9">
        <v>6.0006080699687568E-2</v>
      </c>
      <c r="E492" s="9">
        <v>1724465.2324523926</v>
      </c>
      <c r="F492" s="257" t="s">
        <v>14079</v>
      </c>
      <c r="G492" s="9"/>
      <c r="H492" s="257" t="s">
        <v>18658</v>
      </c>
      <c r="I492" s="9">
        <v>1</v>
      </c>
    </row>
    <row r="493" spans="1:9">
      <c r="A493" s="257" t="s">
        <v>1591</v>
      </c>
      <c r="B493" s="9">
        <v>5</v>
      </c>
      <c r="C493" s="257" t="s">
        <v>9513</v>
      </c>
      <c r="D493" s="9">
        <v>33.815265027338164</v>
      </c>
      <c r="E493" s="9">
        <v>1724465.2324523926</v>
      </c>
      <c r="F493" s="257" t="s">
        <v>14079</v>
      </c>
      <c r="G493" s="9"/>
      <c r="H493" s="257" t="s">
        <v>18659</v>
      </c>
      <c r="I493" s="9">
        <v>1</v>
      </c>
    </row>
    <row r="494" spans="1:9">
      <c r="A494" s="257" t="s">
        <v>1592</v>
      </c>
      <c r="B494" s="9">
        <v>5</v>
      </c>
      <c r="C494" s="257" t="s">
        <v>9514</v>
      </c>
      <c r="D494" s="9">
        <v>860979.083984375</v>
      </c>
      <c r="E494" s="9">
        <v>1724465.2324523926</v>
      </c>
      <c r="F494" s="257" t="s">
        <v>14080</v>
      </c>
      <c r="G494" s="9"/>
      <c r="H494" s="257" t="s">
        <v>18660</v>
      </c>
      <c r="I494" s="9">
        <v>1</v>
      </c>
    </row>
    <row r="495" spans="1:9">
      <c r="A495" s="257" t="s">
        <v>1593</v>
      </c>
      <c r="B495" s="9">
        <v>5</v>
      </c>
      <c r="C495" s="257" t="s">
        <v>9515</v>
      </c>
      <c r="D495" s="9">
        <v>1557812466.8035476</v>
      </c>
      <c r="E495" s="9">
        <v>1724465.2324523926</v>
      </c>
      <c r="F495" s="257" t="s">
        <v>14080</v>
      </c>
      <c r="G495" s="9"/>
      <c r="H495" s="257" t="s">
        <v>18661</v>
      </c>
      <c r="I495" s="9">
        <v>1</v>
      </c>
    </row>
    <row r="496" spans="1:9">
      <c r="A496" s="257" t="s">
        <v>1594</v>
      </c>
      <c r="B496" s="9">
        <v>5</v>
      </c>
      <c r="C496" s="257" t="s">
        <v>9516</v>
      </c>
      <c r="D496" s="9">
        <v>0.49927308929270864</v>
      </c>
      <c r="E496" s="9">
        <v>1724465.2324523926</v>
      </c>
      <c r="F496" s="257" t="s">
        <v>14080</v>
      </c>
      <c r="G496" s="9"/>
      <c r="H496" s="257" t="s">
        <v>18662</v>
      </c>
      <c r="I496" s="9">
        <v>1</v>
      </c>
    </row>
    <row r="497" spans="1:9">
      <c r="A497" s="257" t="s">
        <v>1595</v>
      </c>
      <c r="B497" s="9">
        <v>5</v>
      </c>
      <c r="C497" s="257" t="s">
        <v>9517</v>
      </c>
      <c r="D497" s="9">
        <v>903.35974160995693</v>
      </c>
      <c r="E497" s="9">
        <v>1724465.2324523926</v>
      </c>
      <c r="F497" s="257" t="s">
        <v>14080</v>
      </c>
      <c r="G497" s="9"/>
      <c r="H497" s="257" t="s">
        <v>18663</v>
      </c>
      <c r="I497" s="9">
        <v>1</v>
      </c>
    </row>
    <row r="498" spans="1:9">
      <c r="A498" s="257" t="s">
        <v>1596</v>
      </c>
      <c r="B498" s="9">
        <v>5</v>
      </c>
      <c r="C498" s="257" t="s">
        <v>9518</v>
      </c>
      <c r="D498" s="9">
        <v>0</v>
      </c>
      <c r="E498" s="9">
        <v>1724465.2324523926</v>
      </c>
      <c r="F498" s="257" t="s">
        <v>14081</v>
      </c>
      <c r="G498" s="9"/>
      <c r="H498" s="257" t="s">
        <v>18664</v>
      </c>
      <c r="I498" s="9">
        <v>1</v>
      </c>
    </row>
    <row r="499" spans="1:9">
      <c r="A499" s="257" t="s">
        <v>1597</v>
      </c>
      <c r="B499" s="9">
        <v>5</v>
      </c>
      <c r="C499" s="257" t="s">
        <v>9519</v>
      </c>
      <c r="D499" s="9">
        <v>0</v>
      </c>
      <c r="E499" s="9">
        <v>1724465.2324523926</v>
      </c>
      <c r="F499" s="257" t="s">
        <v>14081</v>
      </c>
      <c r="G499" s="9"/>
      <c r="H499" s="257" t="s">
        <v>18665</v>
      </c>
      <c r="I499" s="9">
        <v>1</v>
      </c>
    </row>
    <row r="500" spans="1:9">
      <c r="A500" s="257" t="s">
        <v>1598</v>
      </c>
      <c r="B500" s="9">
        <v>5</v>
      </c>
      <c r="C500" s="257" t="s">
        <v>9520</v>
      </c>
      <c r="D500" s="9">
        <v>0</v>
      </c>
      <c r="E500" s="9">
        <v>1724465.2324523926</v>
      </c>
      <c r="F500" s="257" t="s">
        <v>14081</v>
      </c>
      <c r="G500" s="9"/>
      <c r="H500" s="257" t="s">
        <v>18666</v>
      </c>
      <c r="I500" s="9">
        <v>1</v>
      </c>
    </row>
    <row r="501" spans="1:9">
      <c r="A501" s="257" t="s">
        <v>1599</v>
      </c>
      <c r="B501" s="9">
        <v>5</v>
      </c>
      <c r="C501" s="257" t="s">
        <v>9521</v>
      </c>
      <c r="D501" s="9">
        <v>0</v>
      </c>
      <c r="E501" s="9">
        <v>1724465.2324523926</v>
      </c>
      <c r="F501" s="257" t="s">
        <v>14081</v>
      </c>
      <c r="G501" s="9"/>
      <c r="H501" s="257" t="s">
        <v>18667</v>
      </c>
      <c r="I501" s="9">
        <v>1</v>
      </c>
    </row>
    <row r="502" spans="1:9">
      <c r="A502" s="257" t="s">
        <v>1600</v>
      </c>
      <c r="B502" s="9">
        <v>6</v>
      </c>
      <c r="C502" s="257" t="s">
        <v>9522</v>
      </c>
      <c r="D502" s="9">
        <v>1075620.3254089355</v>
      </c>
      <c r="E502" s="9">
        <v>1727309.5965805054</v>
      </c>
      <c r="F502" s="257" t="s">
        <v>14082</v>
      </c>
      <c r="G502" s="9"/>
      <c r="H502" s="257" t="s">
        <v>18668</v>
      </c>
      <c r="I502" s="9">
        <v>1</v>
      </c>
    </row>
    <row r="503" spans="1:9">
      <c r="A503" s="257" t="s">
        <v>1601</v>
      </c>
      <c r="B503" s="9">
        <v>6</v>
      </c>
      <c r="C503" s="257" t="s">
        <v>9523</v>
      </c>
      <c r="D503" s="9">
        <v>4347256885.6261406</v>
      </c>
      <c r="E503" s="9">
        <v>1727309.5965805054</v>
      </c>
      <c r="F503" s="257" t="s">
        <v>14082</v>
      </c>
      <c r="G503" s="9"/>
      <c r="H503" s="257" t="s">
        <v>18669</v>
      </c>
      <c r="I503" s="9">
        <v>1</v>
      </c>
    </row>
    <row r="504" spans="1:9">
      <c r="A504" s="257" t="s">
        <v>1602</v>
      </c>
      <c r="B504" s="9">
        <v>6</v>
      </c>
      <c r="C504" s="257" t="s">
        <v>9524</v>
      </c>
      <c r="D504" s="9">
        <v>0.62271426473766123</v>
      </c>
      <c r="E504" s="9">
        <v>1727309.5965805054</v>
      </c>
      <c r="F504" s="257" t="s">
        <v>14082</v>
      </c>
      <c r="G504" s="9"/>
      <c r="H504" s="257" t="s">
        <v>18670</v>
      </c>
      <c r="I504" s="9">
        <v>1</v>
      </c>
    </row>
    <row r="505" spans="1:9">
      <c r="A505" s="257" t="s">
        <v>1603</v>
      </c>
      <c r="B505" s="9">
        <v>6</v>
      </c>
      <c r="C505" s="257" t="s">
        <v>9525</v>
      </c>
      <c r="D505" s="9">
        <v>2516.7792121529651</v>
      </c>
      <c r="E505" s="9">
        <v>1727309.5965805054</v>
      </c>
      <c r="F505" s="257" t="s">
        <v>14082</v>
      </c>
      <c r="G505" s="9"/>
      <c r="H505" s="257" t="s">
        <v>18671</v>
      </c>
      <c r="I505" s="9">
        <v>1</v>
      </c>
    </row>
    <row r="506" spans="1:9">
      <c r="A506" s="257" t="s">
        <v>1604</v>
      </c>
      <c r="B506" s="9">
        <v>6</v>
      </c>
      <c r="C506" s="257" t="s">
        <v>9526</v>
      </c>
      <c r="D506" s="9">
        <v>0</v>
      </c>
      <c r="E506" s="9">
        <v>1727309.5965805054</v>
      </c>
      <c r="F506" s="257" t="s">
        <v>14083</v>
      </c>
      <c r="G506" s="9"/>
      <c r="H506" s="257" t="s">
        <v>18672</v>
      </c>
      <c r="I506" s="9">
        <v>1</v>
      </c>
    </row>
    <row r="507" spans="1:9">
      <c r="A507" s="257" t="s">
        <v>1605</v>
      </c>
      <c r="B507" s="9">
        <v>6</v>
      </c>
      <c r="C507" s="257" t="s">
        <v>9527</v>
      </c>
      <c r="D507" s="9">
        <v>0</v>
      </c>
      <c r="E507" s="9">
        <v>1727309.5965805054</v>
      </c>
      <c r="F507" s="257" t="s">
        <v>14083</v>
      </c>
      <c r="G507" s="9"/>
      <c r="H507" s="257" t="s">
        <v>18673</v>
      </c>
      <c r="I507" s="9">
        <v>1</v>
      </c>
    </row>
    <row r="508" spans="1:9">
      <c r="A508" s="257" t="s">
        <v>1606</v>
      </c>
      <c r="B508" s="9">
        <v>6</v>
      </c>
      <c r="C508" s="257" t="s">
        <v>9528</v>
      </c>
      <c r="D508" s="9">
        <v>0</v>
      </c>
      <c r="E508" s="9">
        <v>1727309.5965805054</v>
      </c>
      <c r="F508" s="257" t="s">
        <v>14083</v>
      </c>
      <c r="G508" s="9"/>
      <c r="H508" s="257" t="s">
        <v>18674</v>
      </c>
      <c r="I508" s="9">
        <v>1</v>
      </c>
    </row>
    <row r="509" spans="1:9">
      <c r="A509" s="257" t="s">
        <v>1607</v>
      </c>
      <c r="B509" s="9">
        <v>6</v>
      </c>
      <c r="C509" s="257" t="s">
        <v>9529</v>
      </c>
      <c r="D509" s="9">
        <v>0</v>
      </c>
      <c r="E509" s="9">
        <v>1727309.5965805054</v>
      </c>
      <c r="F509" s="257" t="s">
        <v>14083</v>
      </c>
      <c r="G509" s="9"/>
      <c r="H509" s="257" t="s">
        <v>18675</v>
      </c>
      <c r="I509" s="9">
        <v>1</v>
      </c>
    </row>
    <row r="510" spans="1:9">
      <c r="A510" s="257" t="s">
        <v>1608</v>
      </c>
      <c r="B510" s="9">
        <v>6</v>
      </c>
      <c r="C510" s="257" t="s">
        <v>9530</v>
      </c>
      <c r="D510" s="9">
        <v>0</v>
      </c>
      <c r="E510" s="9">
        <v>1727309.5965805054</v>
      </c>
      <c r="F510" s="257" t="s">
        <v>14084</v>
      </c>
      <c r="G510" s="9"/>
      <c r="H510" s="257" t="s">
        <v>18676</v>
      </c>
      <c r="I510" s="9">
        <v>1</v>
      </c>
    </row>
    <row r="511" spans="1:9">
      <c r="A511" s="257" t="s">
        <v>1609</v>
      </c>
      <c r="B511" s="9">
        <v>6</v>
      </c>
      <c r="C511" s="257" t="s">
        <v>9531</v>
      </c>
      <c r="D511" s="9">
        <v>0</v>
      </c>
      <c r="E511" s="9">
        <v>1727309.5965805054</v>
      </c>
      <c r="F511" s="257" t="s">
        <v>14084</v>
      </c>
      <c r="G511" s="9"/>
      <c r="H511" s="257" t="s">
        <v>18677</v>
      </c>
      <c r="I511" s="9">
        <v>1</v>
      </c>
    </row>
    <row r="512" spans="1:9">
      <c r="A512" s="257" t="s">
        <v>1610</v>
      </c>
      <c r="B512" s="9">
        <v>6</v>
      </c>
      <c r="C512" s="257" t="s">
        <v>9532</v>
      </c>
      <c r="D512" s="9">
        <v>0</v>
      </c>
      <c r="E512" s="9">
        <v>1727309.5965805054</v>
      </c>
      <c r="F512" s="257" t="s">
        <v>14084</v>
      </c>
      <c r="G512" s="9"/>
      <c r="H512" s="257" t="s">
        <v>18678</v>
      </c>
      <c r="I512" s="9">
        <v>1</v>
      </c>
    </row>
    <row r="513" spans="1:9">
      <c r="A513" s="257" t="s">
        <v>1611</v>
      </c>
      <c r="B513" s="9">
        <v>6</v>
      </c>
      <c r="C513" s="257" t="s">
        <v>9533</v>
      </c>
      <c r="D513" s="9">
        <v>0</v>
      </c>
      <c r="E513" s="9">
        <v>1727309.5965805054</v>
      </c>
      <c r="F513" s="257" t="s">
        <v>14084</v>
      </c>
      <c r="G513" s="9"/>
      <c r="H513" s="257" t="s">
        <v>18679</v>
      </c>
      <c r="I513" s="9">
        <v>1</v>
      </c>
    </row>
    <row r="514" spans="1:9">
      <c r="A514" s="257" t="s">
        <v>1612</v>
      </c>
      <c r="B514" s="9">
        <v>6</v>
      </c>
      <c r="C514" s="257" t="s">
        <v>9534</v>
      </c>
      <c r="D514" s="9">
        <v>0</v>
      </c>
      <c r="E514" s="9">
        <v>1727309.5965805054</v>
      </c>
      <c r="F514" s="257" t="s">
        <v>14085</v>
      </c>
      <c r="G514" s="9"/>
      <c r="H514" s="257" t="s">
        <v>18680</v>
      </c>
      <c r="I514" s="9">
        <v>1</v>
      </c>
    </row>
    <row r="515" spans="1:9">
      <c r="A515" s="257" t="s">
        <v>1613</v>
      </c>
      <c r="B515" s="9">
        <v>6</v>
      </c>
      <c r="C515" s="257" t="s">
        <v>9535</v>
      </c>
      <c r="D515" s="9">
        <v>0</v>
      </c>
      <c r="E515" s="9">
        <v>1727309.5965805054</v>
      </c>
      <c r="F515" s="257" t="s">
        <v>14085</v>
      </c>
      <c r="G515" s="9"/>
      <c r="H515" s="257" t="s">
        <v>18681</v>
      </c>
      <c r="I515" s="9">
        <v>1</v>
      </c>
    </row>
    <row r="516" spans="1:9">
      <c r="A516" s="257" t="s">
        <v>1614</v>
      </c>
      <c r="B516" s="9">
        <v>6</v>
      </c>
      <c r="C516" s="257" t="s">
        <v>9536</v>
      </c>
      <c r="D516" s="9">
        <v>0</v>
      </c>
      <c r="E516" s="9">
        <v>1727309.5965805054</v>
      </c>
      <c r="F516" s="257" t="s">
        <v>14085</v>
      </c>
      <c r="G516" s="9"/>
      <c r="H516" s="257" t="s">
        <v>18682</v>
      </c>
      <c r="I516" s="9">
        <v>1</v>
      </c>
    </row>
    <row r="517" spans="1:9">
      <c r="A517" s="257" t="s">
        <v>1615</v>
      </c>
      <c r="B517" s="9">
        <v>6</v>
      </c>
      <c r="C517" s="257" t="s">
        <v>9537</v>
      </c>
      <c r="D517" s="9">
        <v>0</v>
      </c>
      <c r="E517" s="9">
        <v>1727309.5965805054</v>
      </c>
      <c r="F517" s="257" t="s">
        <v>14085</v>
      </c>
      <c r="G517" s="9"/>
      <c r="H517" s="257" t="s">
        <v>18683</v>
      </c>
      <c r="I517" s="9">
        <v>1</v>
      </c>
    </row>
    <row r="518" spans="1:9">
      <c r="A518" s="257" t="s">
        <v>1616</v>
      </c>
      <c r="B518" s="9">
        <v>6</v>
      </c>
      <c r="C518" s="257" t="s">
        <v>9538</v>
      </c>
      <c r="D518" s="9">
        <v>0</v>
      </c>
      <c r="E518" s="9">
        <v>1727309.5965805054</v>
      </c>
      <c r="F518" s="257" t="s">
        <v>14086</v>
      </c>
      <c r="G518" s="9"/>
      <c r="H518" s="257" t="s">
        <v>18684</v>
      </c>
      <c r="I518" s="9">
        <v>1</v>
      </c>
    </row>
    <row r="519" spans="1:9">
      <c r="A519" s="257" t="s">
        <v>1617</v>
      </c>
      <c r="B519" s="9">
        <v>6</v>
      </c>
      <c r="C519" s="257" t="s">
        <v>9539</v>
      </c>
      <c r="D519" s="9">
        <v>0</v>
      </c>
      <c r="E519" s="9">
        <v>1727309.5965805054</v>
      </c>
      <c r="F519" s="257" t="s">
        <v>14086</v>
      </c>
      <c r="G519" s="9"/>
      <c r="H519" s="257" t="s">
        <v>18685</v>
      </c>
      <c r="I519" s="9">
        <v>1</v>
      </c>
    </row>
    <row r="520" spans="1:9">
      <c r="A520" s="257" t="s">
        <v>1618</v>
      </c>
      <c r="B520" s="9">
        <v>6</v>
      </c>
      <c r="C520" s="257" t="s">
        <v>9540</v>
      </c>
      <c r="D520" s="9">
        <v>0</v>
      </c>
      <c r="E520" s="9">
        <v>1727309.5965805054</v>
      </c>
      <c r="F520" s="257" t="s">
        <v>14086</v>
      </c>
      <c r="G520" s="9"/>
      <c r="H520" s="257" t="s">
        <v>18686</v>
      </c>
      <c r="I520" s="9">
        <v>1</v>
      </c>
    </row>
    <row r="521" spans="1:9">
      <c r="A521" s="257" t="s">
        <v>1619</v>
      </c>
      <c r="B521" s="9">
        <v>6</v>
      </c>
      <c r="C521" s="257" t="s">
        <v>9541</v>
      </c>
      <c r="D521" s="9">
        <v>0</v>
      </c>
      <c r="E521" s="9">
        <v>1727309.5965805054</v>
      </c>
      <c r="F521" s="257" t="s">
        <v>14086</v>
      </c>
      <c r="G521" s="9"/>
      <c r="H521" s="257" t="s">
        <v>18687</v>
      </c>
      <c r="I521" s="9">
        <v>1</v>
      </c>
    </row>
    <row r="522" spans="1:9">
      <c r="A522" s="257" t="s">
        <v>1620</v>
      </c>
      <c r="B522" s="9">
        <v>6</v>
      </c>
      <c r="C522" s="257" t="s">
        <v>9542</v>
      </c>
      <c r="D522" s="9">
        <v>0</v>
      </c>
      <c r="E522" s="9">
        <v>1727309.5965805054</v>
      </c>
      <c r="F522" s="257" t="s">
        <v>14087</v>
      </c>
      <c r="G522" s="9"/>
      <c r="H522" s="257" t="s">
        <v>18688</v>
      </c>
      <c r="I522" s="9">
        <v>1</v>
      </c>
    </row>
    <row r="523" spans="1:9">
      <c r="A523" s="257" t="s">
        <v>1621</v>
      </c>
      <c r="B523" s="9">
        <v>6</v>
      </c>
      <c r="C523" s="257" t="s">
        <v>9543</v>
      </c>
      <c r="D523" s="9">
        <v>0</v>
      </c>
      <c r="E523" s="9">
        <v>1727309.5965805054</v>
      </c>
      <c r="F523" s="257" t="s">
        <v>14087</v>
      </c>
      <c r="G523" s="9"/>
      <c r="H523" s="257" t="s">
        <v>18689</v>
      </c>
      <c r="I523" s="9">
        <v>1</v>
      </c>
    </row>
    <row r="524" spans="1:9">
      <c r="A524" s="257" t="s">
        <v>1622</v>
      </c>
      <c r="B524" s="9">
        <v>6</v>
      </c>
      <c r="C524" s="257" t="s">
        <v>9544</v>
      </c>
      <c r="D524" s="9">
        <v>0</v>
      </c>
      <c r="E524" s="9">
        <v>1727309.5965805054</v>
      </c>
      <c r="F524" s="257" t="s">
        <v>14087</v>
      </c>
      <c r="G524" s="9"/>
      <c r="H524" s="257" t="s">
        <v>18690</v>
      </c>
      <c r="I524" s="9">
        <v>1</v>
      </c>
    </row>
    <row r="525" spans="1:9">
      <c r="A525" s="257" t="s">
        <v>1623</v>
      </c>
      <c r="B525" s="9">
        <v>6</v>
      </c>
      <c r="C525" s="257" t="s">
        <v>9545</v>
      </c>
      <c r="D525" s="9">
        <v>0</v>
      </c>
      <c r="E525" s="9">
        <v>1727309.5965805054</v>
      </c>
      <c r="F525" s="257" t="s">
        <v>14087</v>
      </c>
      <c r="G525" s="9"/>
      <c r="H525" s="257" t="s">
        <v>18691</v>
      </c>
      <c r="I525" s="9">
        <v>1</v>
      </c>
    </row>
    <row r="526" spans="1:9">
      <c r="A526" s="257" t="s">
        <v>1624</v>
      </c>
      <c r="B526" s="9">
        <v>6</v>
      </c>
      <c r="C526" s="257" t="s">
        <v>9546</v>
      </c>
      <c r="D526" s="9">
        <v>0</v>
      </c>
      <c r="E526" s="9">
        <v>1727309.5965805054</v>
      </c>
      <c r="F526" s="257" t="s">
        <v>14088</v>
      </c>
      <c r="G526" s="9"/>
      <c r="H526" s="257" t="s">
        <v>18692</v>
      </c>
      <c r="I526" s="9">
        <v>1</v>
      </c>
    </row>
    <row r="527" spans="1:9">
      <c r="A527" s="257" t="s">
        <v>1625</v>
      </c>
      <c r="B527" s="9">
        <v>6</v>
      </c>
      <c r="C527" s="257" t="s">
        <v>9547</v>
      </c>
      <c r="D527" s="9">
        <v>0</v>
      </c>
      <c r="E527" s="9">
        <v>1727309.5965805054</v>
      </c>
      <c r="F527" s="257" t="s">
        <v>14088</v>
      </c>
      <c r="G527" s="9"/>
      <c r="H527" s="257" t="s">
        <v>18693</v>
      </c>
      <c r="I527" s="9">
        <v>1</v>
      </c>
    </row>
    <row r="528" spans="1:9">
      <c r="A528" s="257" t="s">
        <v>1626</v>
      </c>
      <c r="B528" s="9">
        <v>6</v>
      </c>
      <c r="C528" s="257" t="s">
        <v>9548</v>
      </c>
      <c r="D528" s="9">
        <v>0</v>
      </c>
      <c r="E528" s="9">
        <v>1727309.5965805054</v>
      </c>
      <c r="F528" s="257" t="s">
        <v>14088</v>
      </c>
      <c r="G528" s="9"/>
      <c r="H528" s="257" t="s">
        <v>18694</v>
      </c>
      <c r="I528" s="9">
        <v>1</v>
      </c>
    </row>
    <row r="529" spans="1:9">
      <c r="A529" s="257" t="s">
        <v>1627</v>
      </c>
      <c r="B529" s="9">
        <v>6</v>
      </c>
      <c r="C529" s="257" t="s">
        <v>9549</v>
      </c>
      <c r="D529" s="9">
        <v>0</v>
      </c>
      <c r="E529" s="9">
        <v>1727309.5965805054</v>
      </c>
      <c r="F529" s="257" t="s">
        <v>14088</v>
      </c>
      <c r="G529" s="9"/>
      <c r="H529" s="257" t="s">
        <v>18695</v>
      </c>
      <c r="I529" s="9">
        <v>1</v>
      </c>
    </row>
    <row r="530" spans="1:9">
      <c r="A530" s="257" t="s">
        <v>1628</v>
      </c>
      <c r="B530" s="9">
        <v>6</v>
      </c>
      <c r="C530" s="257" t="s">
        <v>9550</v>
      </c>
      <c r="D530" s="9">
        <v>0</v>
      </c>
      <c r="E530" s="9">
        <v>1727309.5965805054</v>
      </c>
      <c r="F530" s="257" t="s">
        <v>14089</v>
      </c>
      <c r="G530" s="9"/>
      <c r="H530" s="257" t="s">
        <v>18696</v>
      </c>
      <c r="I530" s="9">
        <v>1</v>
      </c>
    </row>
    <row r="531" spans="1:9">
      <c r="A531" s="257" t="s">
        <v>1629</v>
      </c>
      <c r="B531" s="9">
        <v>6</v>
      </c>
      <c r="C531" s="257" t="s">
        <v>9551</v>
      </c>
      <c r="D531" s="9">
        <v>0</v>
      </c>
      <c r="E531" s="9">
        <v>1727309.5965805054</v>
      </c>
      <c r="F531" s="257" t="s">
        <v>14089</v>
      </c>
      <c r="G531" s="9"/>
      <c r="H531" s="257" t="s">
        <v>18697</v>
      </c>
      <c r="I531" s="9">
        <v>1</v>
      </c>
    </row>
    <row r="532" spans="1:9">
      <c r="A532" s="257" t="s">
        <v>1630</v>
      </c>
      <c r="B532" s="9">
        <v>6</v>
      </c>
      <c r="C532" s="257" t="s">
        <v>9552</v>
      </c>
      <c r="D532" s="9">
        <v>0</v>
      </c>
      <c r="E532" s="9">
        <v>1727309.5965805054</v>
      </c>
      <c r="F532" s="257" t="s">
        <v>14089</v>
      </c>
      <c r="G532" s="9"/>
      <c r="H532" s="257" t="s">
        <v>18698</v>
      </c>
      <c r="I532" s="9">
        <v>1</v>
      </c>
    </row>
    <row r="533" spans="1:9">
      <c r="A533" s="257" t="s">
        <v>1631</v>
      </c>
      <c r="B533" s="9">
        <v>6</v>
      </c>
      <c r="C533" s="257" t="s">
        <v>9553</v>
      </c>
      <c r="D533" s="9">
        <v>0</v>
      </c>
      <c r="E533" s="9">
        <v>1727309.5965805054</v>
      </c>
      <c r="F533" s="257" t="s">
        <v>14089</v>
      </c>
      <c r="G533" s="9"/>
      <c r="H533" s="257" t="s">
        <v>18699</v>
      </c>
      <c r="I533" s="9">
        <v>1</v>
      </c>
    </row>
    <row r="534" spans="1:9">
      <c r="A534" s="257" t="s">
        <v>1632</v>
      </c>
      <c r="B534" s="9">
        <v>6</v>
      </c>
      <c r="C534" s="257" t="s">
        <v>9554</v>
      </c>
      <c r="D534" s="9">
        <v>1727309.5965805054</v>
      </c>
      <c r="E534" s="9">
        <v>1727309.5965805054</v>
      </c>
      <c r="F534" s="257" t="s">
        <v>14090</v>
      </c>
      <c r="G534" s="9"/>
      <c r="H534" s="257" t="s">
        <v>18700</v>
      </c>
      <c r="I534" s="9">
        <v>1</v>
      </c>
    </row>
    <row r="535" spans="1:9">
      <c r="A535" s="257" t="s">
        <v>1633</v>
      </c>
      <c r="B535" s="9">
        <v>6</v>
      </c>
      <c r="C535" s="257" t="s">
        <v>9555</v>
      </c>
      <c r="D535" s="9">
        <v>15546402228.972019</v>
      </c>
      <c r="E535" s="9">
        <v>1727309.5965805054</v>
      </c>
      <c r="F535" s="257" t="s">
        <v>14090</v>
      </c>
      <c r="G535" s="9"/>
      <c r="H535" s="257" t="s">
        <v>18701</v>
      </c>
      <c r="I535" s="9">
        <v>1</v>
      </c>
    </row>
    <row r="536" spans="1:9">
      <c r="A536" s="257" t="s">
        <v>1634</v>
      </c>
      <c r="B536" s="9">
        <v>6</v>
      </c>
      <c r="C536" s="257" t="s">
        <v>9556</v>
      </c>
      <c r="D536" s="9">
        <v>1</v>
      </c>
      <c r="E536" s="9">
        <v>1727309.5965805054</v>
      </c>
      <c r="F536" s="257" t="s">
        <v>14090</v>
      </c>
      <c r="G536" s="9"/>
      <c r="H536" s="257" t="s">
        <v>18702</v>
      </c>
      <c r="I536" s="9">
        <v>1</v>
      </c>
    </row>
    <row r="537" spans="1:9">
      <c r="A537" s="257" t="s">
        <v>1635</v>
      </c>
      <c r="B537" s="9">
        <v>6</v>
      </c>
      <c r="C537" s="257" t="s">
        <v>9557</v>
      </c>
      <c r="D537" s="9">
        <v>9000.3565427695703</v>
      </c>
      <c r="E537" s="9">
        <v>1727309.5965805054</v>
      </c>
      <c r="F537" s="257" t="s">
        <v>14090</v>
      </c>
      <c r="G537" s="9"/>
      <c r="H537" s="257" t="s">
        <v>18703</v>
      </c>
      <c r="I537" s="9">
        <v>1</v>
      </c>
    </row>
    <row r="538" spans="1:9">
      <c r="A538" s="257" t="s">
        <v>1636</v>
      </c>
      <c r="B538" s="9">
        <v>6</v>
      </c>
      <c r="C538" s="257" t="s">
        <v>9558</v>
      </c>
      <c r="D538" s="9">
        <v>1727309.5965805054</v>
      </c>
      <c r="E538" s="9">
        <v>1727309.5965805054</v>
      </c>
      <c r="F538" s="257" t="s">
        <v>14091</v>
      </c>
      <c r="G538" s="9"/>
      <c r="H538" s="257" t="s">
        <v>18704</v>
      </c>
      <c r="I538" s="9">
        <v>1</v>
      </c>
    </row>
    <row r="539" spans="1:9">
      <c r="A539" s="257" t="s">
        <v>1637</v>
      </c>
      <c r="B539" s="9">
        <v>6</v>
      </c>
      <c r="C539" s="257" t="s">
        <v>9559</v>
      </c>
      <c r="D539" s="9">
        <v>15546402228.972019</v>
      </c>
      <c r="E539" s="9">
        <v>1727309.5965805054</v>
      </c>
      <c r="F539" s="257" t="s">
        <v>14091</v>
      </c>
      <c r="G539" s="9"/>
      <c r="H539" s="257" t="s">
        <v>18705</v>
      </c>
      <c r="I539" s="9">
        <v>1</v>
      </c>
    </row>
    <row r="540" spans="1:9">
      <c r="A540" s="257" t="s">
        <v>1638</v>
      </c>
      <c r="B540" s="9">
        <v>6</v>
      </c>
      <c r="C540" s="257" t="s">
        <v>9560</v>
      </c>
      <c r="D540" s="9">
        <v>1</v>
      </c>
      <c r="E540" s="9">
        <v>1727309.5965805054</v>
      </c>
      <c r="F540" s="257" t="s">
        <v>14091</v>
      </c>
      <c r="G540" s="9"/>
      <c r="H540" s="257" t="s">
        <v>18706</v>
      </c>
      <c r="I540" s="9">
        <v>1</v>
      </c>
    </row>
    <row r="541" spans="1:9">
      <c r="A541" s="257" t="s">
        <v>1639</v>
      </c>
      <c r="B541" s="9">
        <v>6</v>
      </c>
      <c r="C541" s="257" t="s">
        <v>9561</v>
      </c>
      <c r="D541" s="9">
        <v>9000.3565427695703</v>
      </c>
      <c r="E541" s="9">
        <v>1727309.5965805054</v>
      </c>
      <c r="F541" s="257" t="s">
        <v>14091</v>
      </c>
      <c r="G541" s="9"/>
      <c r="H541" s="257" t="s">
        <v>18707</v>
      </c>
      <c r="I541" s="9">
        <v>1</v>
      </c>
    </row>
    <row r="542" spans="1:9">
      <c r="A542" s="257" t="s">
        <v>1640</v>
      </c>
      <c r="B542" s="9">
        <v>6</v>
      </c>
      <c r="C542" s="257" t="s">
        <v>9562</v>
      </c>
      <c r="D542" s="9">
        <v>1727309.5965805054</v>
      </c>
      <c r="E542" s="9">
        <v>1727309.5965805054</v>
      </c>
      <c r="F542" s="257" t="s">
        <v>14092</v>
      </c>
      <c r="G542" s="9"/>
      <c r="H542" s="257" t="s">
        <v>18708</v>
      </c>
      <c r="I542" s="9">
        <v>1</v>
      </c>
    </row>
    <row r="543" spans="1:9">
      <c r="A543" s="257" t="s">
        <v>1641</v>
      </c>
      <c r="B543" s="9">
        <v>6</v>
      </c>
      <c r="C543" s="257" t="s">
        <v>9563</v>
      </c>
      <c r="D543" s="9">
        <v>15546402228.972019</v>
      </c>
      <c r="E543" s="9">
        <v>1727309.5965805054</v>
      </c>
      <c r="F543" s="257" t="s">
        <v>14092</v>
      </c>
      <c r="G543" s="9"/>
      <c r="H543" s="257" t="s">
        <v>18709</v>
      </c>
      <c r="I543" s="9">
        <v>1</v>
      </c>
    </row>
    <row r="544" spans="1:9">
      <c r="A544" s="257" t="s">
        <v>1642</v>
      </c>
      <c r="B544" s="9">
        <v>6</v>
      </c>
      <c r="C544" s="257" t="s">
        <v>9564</v>
      </c>
      <c r="D544" s="9">
        <v>1</v>
      </c>
      <c r="E544" s="9">
        <v>1727309.5965805054</v>
      </c>
      <c r="F544" s="257" t="s">
        <v>14092</v>
      </c>
      <c r="G544" s="9"/>
      <c r="H544" s="257" t="s">
        <v>18710</v>
      </c>
      <c r="I544" s="9">
        <v>1</v>
      </c>
    </row>
    <row r="545" spans="1:9">
      <c r="A545" s="257" t="s">
        <v>1643</v>
      </c>
      <c r="B545" s="9">
        <v>6</v>
      </c>
      <c r="C545" s="257" t="s">
        <v>9565</v>
      </c>
      <c r="D545" s="9">
        <v>9000.3565427695703</v>
      </c>
      <c r="E545" s="9">
        <v>1727309.5965805054</v>
      </c>
      <c r="F545" s="257" t="s">
        <v>14092</v>
      </c>
      <c r="G545" s="9"/>
      <c r="H545" s="257" t="s">
        <v>18711</v>
      </c>
      <c r="I545" s="9">
        <v>1</v>
      </c>
    </row>
    <row r="546" spans="1:9">
      <c r="A546" s="257" t="s">
        <v>1644</v>
      </c>
      <c r="B546" s="9">
        <v>6</v>
      </c>
      <c r="C546" s="257" t="s">
        <v>9566</v>
      </c>
      <c r="D546" s="9">
        <v>1727309.5965805054</v>
      </c>
      <c r="E546" s="9">
        <v>1727309.5965805054</v>
      </c>
      <c r="F546" s="257" t="s">
        <v>14093</v>
      </c>
      <c r="G546" s="9"/>
      <c r="H546" s="257" t="s">
        <v>18712</v>
      </c>
      <c r="I546" s="9">
        <v>1</v>
      </c>
    </row>
    <row r="547" spans="1:9">
      <c r="A547" s="257" t="s">
        <v>1645</v>
      </c>
      <c r="B547" s="9">
        <v>6</v>
      </c>
      <c r="C547" s="257" t="s">
        <v>9567</v>
      </c>
      <c r="D547" s="9">
        <v>3374149213.7164307</v>
      </c>
      <c r="E547" s="9">
        <v>1727309.5965805054</v>
      </c>
      <c r="F547" s="257" t="s">
        <v>14093</v>
      </c>
      <c r="G547" s="9"/>
      <c r="H547" s="257" t="s">
        <v>18713</v>
      </c>
      <c r="I547" s="9">
        <v>1</v>
      </c>
    </row>
    <row r="548" spans="1:9">
      <c r="A548" s="257" t="s">
        <v>1646</v>
      </c>
      <c r="B548" s="9">
        <v>6</v>
      </c>
      <c r="C548" s="257" t="s">
        <v>9568</v>
      </c>
      <c r="D548" s="9">
        <v>1</v>
      </c>
      <c r="E548" s="9">
        <v>1727309.5965805054</v>
      </c>
      <c r="F548" s="257" t="s">
        <v>14093</v>
      </c>
      <c r="G548" s="9"/>
      <c r="H548" s="257" t="s">
        <v>18714</v>
      </c>
      <c r="I548" s="9">
        <v>1</v>
      </c>
    </row>
    <row r="549" spans="1:9">
      <c r="A549" s="257" t="s">
        <v>1647</v>
      </c>
      <c r="B549" s="9">
        <v>6</v>
      </c>
      <c r="C549" s="257" t="s">
        <v>9569</v>
      </c>
      <c r="D549" s="9">
        <v>1953.4131115789064</v>
      </c>
      <c r="E549" s="9">
        <v>1727309.5965805054</v>
      </c>
      <c r="F549" s="257" t="s">
        <v>14093</v>
      </c>
      <c r="G549" s="9"/>
      <c r="H549" s="257" t="s">
        <v>18715</v>
      </c>
      <c r="I549" s="9">
        <v>1</v>
      </c>
    </row>
    <row r="550" spans="1:9">
      <c r="A550" s="257" t="s">
        <v>1648</v>
      </c>
      <c r="B550" s="9">
        <v>6</v>
      </c>
      <c r="C550" s="257" t="s">
        <v>9570</v>
      </c>
      <c r="D550" s="9">
        <v>1105652.1534729004</v>
      </c>
      <c r="E550" s="9">
        <v>1727309.5965805054</v>
      </c>
      <c r="F550" s="257" t="s">
        <v>14094</v>
      </c>
      <c r="G550" s="9"/>
      <c r="H550" s="257" t="s">
        <v>18716</v>
      </c>
      <c r="I550" s="9">
        <v>1</v>
      </c>
    </row>
    <row r="551" spans="1:9">
      <c r="A551" s="257" t="s">
        <v>1649</v>
      </c>
      <c r="B551" s="9">
        <v>6</v>
      </c>
      <c r="C551" s="257" t="s">
        <v>9571</v>
      </c>
      <c r="D551" s="9">
        <v>2366167639.8738794</v>
      </c>
      <c r="E551" s="9">
        <v>1727309.5965805054</v>
      </c>
      <c r="F551" s="257" t="s">
        <v>14094</v>
      </c>
      <c r="G551" s="9"/>
      <c r="H551" s="257" t="s">
        <v>18717</v>
      </c>
      <c r="I551" s="9">
        <v>1</v>
      </c>
    </row>
    <row r="552" spans="1:9">
      <c r="A552" s="257" t="s">
        <v>1650</v>
      </c>
      <c r="B552" s="9">
        <v>6</v>
      </c>
      <c r="C552" s="257" t="s">
        <v>9572</v>
      </c>
      <c r="D552" s="9">
        <v>0.6401007414430635</v>
      </c>
      <c r="E552" s="9">
        <v>1727309.5965805054</v>
      </c>
      <c r="F552" s="257" t="s">
        <v>14094</v>
      </c>
      <c r="G552" s="9"/>
      <c r="H552" s="257" t="s">
        <v>18718</v>
      </c>
      <c r="I552" s="9">
        <v>1</v>
      </c>
    </row>
    <row r="553" spans="1:9">
      <c r="A553" s="257" t="s">
        <v>1651</v>
      </c>
      <c r="B553" s="9">
        <v>6</v>
      </c>
      <c r="C553" s="257" t="s">
        <v>9573</v>
      </c>
      <c r="D553" s="9">
        <v>1369.8572882117364</v>
      </c>
      <c r="E553" s="9">
        <v>1727309.5965805054</v>
      </c>
      <c r="F553" s="257" t="s">
        <v>14094</v>
      </c>
      <c r="G553" s="9"/>
      <c r="H553" s="257" t="s">
        <v>18719</v>
      </c>
      <c r="I553" s="9">
        <v>1</v>
      </c>
    </row>
    <row r="554" spans="1:9">
      <c r="A554" s="257" t="s">
        <v>1652</v>
      </c>
      <c r="B554" s="9">
        <v>6</v>
      </c>
      <c r="C554" s="257" t="s">
        <v>9574</v>
      </c>
      <c r="D554" s="9">
        <v>1727309.5965805054</v>
      </c>
      <c r="E554" s="9">
        <v>1727309.5965805054</v>
      </c>
      <c r="F554" s="257" t="s">
        <v>14095</v>
      </c>
      <c r="G554" s="9"/>
      <c r="H554" s="257" t="s">
        <v>18720</v>
      </c>
      <c r="I554" s="9">
        <v>1</v>
      </c>
    </row>
    <row r="555" spans="1:9">
      <c r="A555" s="257" t="s">
        <v>1653</v>
      </c>
      <c r="B555" s="9">
        <v>6</v>
      </c>
      <c r="C555" s="257" t="s">
        <v>9575</v>
      </c>
      <c r="D555" s="9">
        <v>17912569868.845898</v>
      </c>
      <c r="E555" s="9">
        <v>1727309.5965805054</v>
      </c>
      <c r="F555" s="257" t="s">
        <v>14095</v>
      </c>
      <c r="G555" s="9"/>
      <c r="H555" s="257" t="s">
        <v>18721</v>
      </c>
      <c r="I555" s="9">
        <v>1</v>
      </c>
    </row>
    <row r="556" spans="1:9">
      <c r="A556" s="257" t="s">
        <v>1654</v>
      </c>
      <c r="B556" s="9">
        <v>6</v>
      </c>
      <c r="C556" s="257" t="s">
        <v>9576</v>
      </c>
      <c r="D556" s="9">
        <v>1</v>
      </c>
      <c r="E556" s="9">
        <v>1727309.5965805054</v>
      </c>
      <c r="F556" s="257" t="s">
        <v>14095</v>
      </c>
      <c r="G556" s="9"/>
      <c r="H556" s="257" t="s">
        <v>18722</v>
      </c>
      <c r="I556" s="9">
        <v>1</v>
      </c>
    </row>
    <row r="557" spans="1:9">
      <c r="A557" s="257" t="s">
        <v>1655</v>
      </c>
      <c r="B557" s="9">
        <v>6</v>
      </c>
      <c r="C557" s="257" t="s">
        <v>9577</v>
      </c>
      <c r="D557" s="9">
        <v>10370.213830981307</v>
      </c>
      <c r="E557" s="9">
        <v>1727309.5965805054</v>
      </c>
      <c r="F557" s="257" t="s">
        <v>14095</v>
      </c>
      <c r="G557" s="9"/>
      <c r="H557" s="257" t="s">
        <v>18723</v>
      </c>
      <c r="I557" s="9">
        <v>1</v>
      </c>
    </row>
    <row r="558" spans="1:9">
      <c r="A558" s="257" t="s">
        <v>1656</v>
      </c>
      <c r="B558" s="9">
        <v>6</v>
      </c>
      <c r="C558" s="257" t="s">
        <v>9578</v>
      </c>
      <c r="D558" s="9">
        <v>1727309.5965805054</v>
      </c>
      <c r="E558" s="9">
        <v>1727309.5965805054</v>
      </c>
      <c r="F558" s="257" t="s">
        <v>14096</v>
      </c>
      <c r="G558" s="9"/>
      <c r="H558" s="257" t="s">
        <v>18724</v>
      </c>
      <c r="I558" s="9">
        <v>1</v>
      </c>
    </row>
    <row r="559" spans="1:9">
      <c r="A559" s="257" t="s">
        <v>1657</v>
      </c>
      <c r="B559" s="9">
        <v>6</v>
      </c>
      <c r="C559" s="257" t="s">
        <v>9579</v>
      </c>
      <c r="D559" s="9">
        <v>17912569868.845898</v>
      </c>
      <c r="E559" s="9">
        <v>1727309.5965805054</v>
      </c>
      <c r="F559" s="257" t="s">
        <v>14096</v>
      </c>
      <c r="G559" s="9"/>
      <c r="H559" s="257" t="s">
        <v>18725</v>
      </c>
      <c r="I559" s="9">
        <v>1</v>
      </c>
    </row>
    <row r="560" spans="1:9">
      <c r="A560" s="257" t="s">
        <v>1658</v>
      </c>
      <c r="B560" s="9">
        <v>6</v>
      </c>
      <c r="C560" s="257" t="s">
        <v>9580</v>
      </c>
      <c r="D560" s="9">
        <v>1</v>
      </c>
      <c r="E560" s="9">
        <v>1727309.5965805054</v>
      </c>
      <c r="F560" s="257" t="s">
        <v>14096</v>
      </c>
      <c r="G560" s="9"/>
      <c r="H560" s="257" t="s">
        <v>18726</v>
      </c>
      <c r="I560" s="9">
        <v>1</v>
      </c>
    </row>
    <row r="561" spans="1:9">
      <c r="A561" s="257" t="s">
        <v>1659</v>
      </c>
      <c r="B561" s="9">
        <v>6</v>
      </c>
      <c r="C561" s="257" t="s">
        <v>9581</v>
      </c>
      <c r="D561" s="9">
        <v>10370.213830981307</v>
      </c>
      <c r="E561" s="9">
        <v>1727309.5965805054</v>
      </c>
      <c r="F561" s="257" t="s">
        <v>14096</v>
      </c>
      <c r="G561" s="9"/>
      <c r="H561" s="257" t="s">
        <v>18727</v>
      </c>
      <c r="I561" s="9">
        <v>1</v>
      </c>
    </row>
    <row r="562" spans="1:9">
      <c r="A562" s="257" t="s">
        <v>1660</v>
      </c>
      <c r="B562" s="9">
        <v>6</v>
      </c>
      <c r="C562" s="257" t="s">
        <v>9582</v>
      </c>
      <c r="D562" s="9">
        <v>1727309.5965805054</v>
      </c>
      <c r="E562" s="9">
        <v>1727309.5965805054</v>
      </c>
      <c r="F562" s="257" t="s">
        <v>14097</v>
      </c>
      <c r="G562" s="9"/>
      <c r="H562" s="257" t="s">
        <v>18728</v>
      </c>
      <c r="I562" s="9">
        <v>1</v>
      </c>
    </row>
    <row r="563" spans="1:9">
      <c r="A563" s="257" t="s">
        <v>1661</v>
      </c>
      <c r="B563" s="9">
        <v>6</v>
      </c>
      <c r="C563" s="257" t="s">
        <v>9583</v>
      </c>
      <c r="D563" s="9">
        <v>9953471631.569437</v>
      </c>
      <c r="E563" s="9">
        <v>1727309.5965805054</v>
      </c>
      <c r="F563" s="257" t="s">
        <v>14097</v>
      </c>
      <c r="G563" s="9"/>
      <c r="H563" s="257" t="s">
        <v>18729</v>
      </c>
      <c r="I563" s="9">
        <v>1</v>
      </c>
    </row>
    <row r="564" spans="1:9">
      <c r="A564" s="257" t="s">
        <v>1662</v>
      </c>
      <c r="B564" s="9">
        <v>6</v>
      </c>
      <c r="C564" s="257" t="s">
        <v>9584</v>
      </c>
      <c r="D564" s="9">
        <v>1</v>
      </c>
      <c r="E564" s="9">
        <v>1727309.5965805054</v>
      </c>
      <c r="F564" s="257" t="s">
        <v>14097</v>
      </c>
      <c r="G564" s="9"/>
      <c r="H564" s="257" t="s">
        <v>18730</v>
      </c>
      <c r="I564" s="9">
        <v>1</v>
      </c>
    </row>
    <row r="565" spans="1:9">
      <c r="A565" s="257" t="s">
        <v>1663</v>
      </c>
      <c r="B565" s="9">
        <v>6</v>
      </c>
      <c r="C565" s="257" t="s">
        <v>9585</v>
      </c>
      <c r="D565" s="9">
        <v>5762.4132068008994</v>
      </c>
      <c r="E565" s="9">
        <v>1727309.5965805054</v>
      </c>
      <c r="F565" s="257" t="s">
        <v>14097</v>
      </c>
      <c r="G565" s="9"/>
      <c r="H565" s="257" t="s">
        <v>18731</v>
      </c>
      <c r="I565" s="9">
        <v>1</v>
      </c>
    </row>
    <row r="566" spans="1:9">
      <c r="A566" s="257" t="s">
        <v>1664</v>
      </c>
      <c r="B566" s="9">
        <v>6</v>
      </c>
      <c r="C566" s="257" t="s">
        <v>9586</v>
      </c>
      <c r="D566" s="9">
        <v>1727309.5965805054</v>
      </c>
      <c r="E566" s="9">
        <v>1727309.5965805054</v>
      </c>
      <c r="F566" s="257" t="s">
        <v>14098</v>
      </c>
      <c r="G566" s="9"/>
      <c r="H566" s="257" t="s">
        <v>18732</v>
      </c>
      <c r="I566" s="9">
        <v>1</v>
      </c>
    </row>
    <row r="567" spans="1:9">
      <c r="A567" s="257" t="s">
        <v>1665</v>
      </c>
      <c r="B567" s="9">
        <v>6</v>
      </c>
      <c r="C567" s="257" t="s">
        <v>9587</v>
      </c>
      <c r="D567" s="9">
        <v>9953471631.569437</v>
      </c>
      <c r="E567" s="9">
        <v>1727309.5965805054</v>
      </c>
      <c r="F567" s="257" t="s">
        <v>14098</v>
      </c>
      <c r="G567" s="9"/>
      <c r="H567" s="257" t="s">
        <v>18733</v>
      </c>
      <c r="I567" s="9">
        <v>1</v>
      </c>
    </row>
    <row r="568" spans="1:9">
      <c r="A568" s="257" t="s">
        <v>1666</v>
      </c>
      <c r="B568" s="9">
        <v>6</v>
      </c>
      <c r="C568" s="257" t="s">
        <v>9588</v>
      </c>
      <c r="D568" s="9">
        <v>1</v>
      </c>
      <c r="E568" s="9">
        <v>1727309.5965805054</v>
      </c>
      <c r="F568" s="257" t="s">
        <v>14098</v>
      </c>
      <c r="G568" s="9"/>
      <c r="H568" s="257" t="s">
        <v>18734</v>
      </c>
      <c r="I568" s="9">
        <v>1</v>
      </c>
    </row>
    <row r="569" spans="1:9">
      <c r="A569" s="257" t="s">
        <v>1667</v>
      </c>
      <c r="B569" s="9">
        <v>6</v>
      </c>
      <c r="C569" s="257" t="s">
        <v>9589</v>
      </c>
      <c r="D569" s="9">
        <v>5762.4132068008994</v>
      </c>
      <c r="E569" s="9">
        <v>1727309.5965805054</v>
      </c>
      <c r="F569" s="257" t="s">
        <v>14098</v>
      </c>
      <c r="G569" s="9"/>
      <c r="H569" s="257" t="s">
        <v>18735</v>
      </c>
      <c r="I569" s="9">
        <v>1</v>
      </c>
    </row>
    <row r="570" spans="1:9">
      <c r="A570" s="257" t="s">
        <v>1668</v>
      </c>
      <c r="B570" s="9">
        <v>6</v>
      </c>
      <c r="C570" s="257" t="s">
        <v>9590</v>
      </c>
      <c r="D570" s="9">
        <v>1727309.5965805054</v>
      </c>
      <c r="E570" s="9">
        <v>1727309.5965805054</v>
      </c>
      <c r="F570" s="257" t="s">
        <v>14099</v>
      </c>
      <c r="G570" s="9"/>
      <c r="H570" s="257" t="s">
        <v>18736</v>
      </c>
      <c r="I570" s="9">
        <v>1</v>
      </c>
    </row>
    <row r="571" spans="1:9">
      <c r="A571" s="257" t="s">
        <v>1669</v>
      </c>
      <c r="B571" s="9">
        <v>6</v>
      </c>
      <c r="C571" s="257" t="s">
        <v>9591</v>
      </c>
      <c r="D571" s="9">
        <v>5592930597.4025822</v>
      </c>
      <c r="E571" s="9">
        <v>1727309.5965805054</v>
      </c>
      <c r="F571" s="257" t="s">
        <v>14099</v>
      </c>
      <c r="G571" s="9"/>
      <c r="H571" s="257" t="s">
        <v>18737</v>
      </c>
      <c r="I571" s="9">
        <v>1</v>
      </c>
    </row>
    <row r="572" spans="1:9">
      <c r="A572" s="257" t="s">
        <v>1670</v>
      </c>
      <c r="B572" s="9">
        <v>6</v>
      </c>
      <c r="C572" s="257" t="s">
        <v>9592</v>
      </c>
      <c r="D572" s="9">
        <v>1</v>
      </c>
      <c r="E572" s="9">
        <v>1727309.5965805054</v>
      </c>
      <c r="F572" s="257" t="s">
        <v>14099</v>
      </c>
      <c r="G572" s="9"/>
      <c r="H572" s="257" t="s">
        <v>18738</v>
      </c>
      <c r="I572" s="9">
        <v>1</v>
      </c>
    </row>
    <row r="573" spans="1:9">
      <c r="A573" s="257" t="s">
        <v>1671</v>
      </c>
      <c r="B573" s="9">
        <v>6</v>
      </c>
      <c r="C573" s="257" t="s">
        <v>9593</v>
      </c>
      <c r="D573" s="9">
        <v>3237.9433359686718</v>
      </c>
      <c r="E573" s="9">
        <v>1727309.5965805054</v>
      </c>
      <c r="F573" s="257" t="s">
        <v>14099</v>
      </c>
      <c r="G573" s="9"/>
      <c r="H573" s="257" t="s">
        <v>18739</v>
      </c>
      <c r="I573" s="9">
        <v>1</v>
      </c>
    </row>
    <row r="574" spans="1:9">
      <c r="A574" s="257" t="s">
        <v>1672</v>
      </c>
      <c r="B574" s="9">
        <v>6</v>
      </c>
      <c r="C574" s="257" t="s">
        <v>9594</v>
      </c>
      <c r="D574" s="9">
        <v>1727309.5965805054</v>
      </c>
      <c r="E574" s="9">
        <v>1727309.5965805054</v>
      </c>
      <c r="F574" s="257" t="s">
        <v>14100</v>
      </c>
      <c r="G574" s="9"/>
      <c r="H574" s="257" t="s">
        <v>18740</v>
      </c>
      <c r="I574" s="9">
        <v>1</v>
      </c>
    </row>
    <row r="575" spans="1:9">
      <c r="A575" s="257" t="s">
        <v>1673</v>
      </c>
      <c r="B575" s="9">
        <v>6</v>
      </c>
      <c r="C575" s="257" t="s">
        <v>9595</v>
      </c>
      <c r="D575" s="9">
        <v>7721406099.3425713</v>
      </c>
      <c r="E575" s="9">
        <v>1727309.5965805054</v>
      </c>
      <c r="F575" s="257" t="s">
        <v>14100</v>
      </c>
      <c r="G575" s="9"/>
      <c r="H575" s="257" t="s">
        <v>18741</v>
      </c>
      <c r="I575" s="9">
        <v>1</v>
      </c>
    </row>
    <row r="576" spans="1:9">
      <c r="A576" s="257" t="s">
        <v>1674</v>
      </c>
      <c r="B576" s="9">
        <v>6</v>
      </c>
      <c r="C576" s="257" t="s">
        <v>9596</v>
      </c>
      <c r="D576" s="9">
        <v>1</v>
      </c>
      <c r="E576" s="9">
        <v>1727309.5965805054</v>
      </c>
      <c r="F576" s="257" t="s">
        <v>14100</v>
      </c>
      <c r="G576" s="9"/>
      <c r="H576" s="257" t="s">
        <v>18742</v>
      </c>
      <c r="I576" s="9">
        <v>1</v>
      </c>
    </row>
    <row r="577" spans="1:9">
      <c r="A577" s="257" t="s">
        <v>1675</v>
      </c>
      <c r="B577" s="9">
        <v>6</v>
      </c>
      <c r="C577" s="257" t="s">
        <v>9597</v>
      </c>
      <c r="D577" s="9">
        <v>4470.1923237318715</v>
      </c>
      <c r="E577" s="9">
        <v>1727309.5965805054</v>
      </c>
      <c r="F577" s="257" t="s">
        <v>14100</v>
      </c>
      <c r="G577" s="9"/>
      <c r="H577" s="257" t="s">
        <v>18743</v>
      </c>
      <c r="I577" s="9">
        <v>1</v>
      </c>
    </row>
    <row r="578" spans="1:9">
      <c r="A578" s="257" t="s">
        <v>1676</v>
      </c>
      <c r="B578" s="9">
        <v>6</v>
      </c>
      <c r="C578" s="257" t="s">
        <v>9598</v>
      </c>
      <c r="D578" s="9">
        <v>1131901.2208099365</v>
      </c>
      <c r="E578" s="9">
        <v>1727309.5965805054</v>
      </c>
      <c r="F578" s="257" t="s">
        <v>14101</v>
      </c>
      <c r="G578" s="9"/>
      <c r="H578" s="257" t="s">
        <v>18744</v>
      </c>
      <c r="I578" s="9">
        <v>1</v>
      </c>
    </row>
    <row r="579" spans="1:9">
      <c r="A579" s="257" t="s">
        <v>1677</v>
      </c>
      <c r="B579" s="9">
        <v>6</v>
      </c>
      <c r="C579" s="257" t="s">
        <v>9599</v>
      </c>
      <c r="D579" s="9">
        <v>8615913963.2884235</v>
      </c>
      <c r="E579" s="9">
        <v>1727309.5965805054</v>
      </c>
      <c r="F579" s="257" t="s">
        <v>14101</v>
      </c>
      <c r="G579" s="9"/>
      <c r="H579" s="257" t="s">
        <v>18745</v>
      </c>
      <c r="I579" s="9">
        <v>1</v>
      </c>
    </row>
    <row r="580" spans="1:9">
      <c r="A580" s="257" t="s">
        <v>1678</v>
      </c>
      <c r="B580" s="9">
        <v>6</v>
      </c>
      <c r="C580" s="257" t="s">
        <v>9600</v>
      </c>
      <c r="D580" s="9">
        <v>0.65529724552606083</v>
      </c>
      <c r="E580" s="9">
        <v>1727309.5965805054</v>
      </c>
      <c r="F580" s="257" t="s">
        <v>14101</v>
      </c>
      <c r="G580" s="9"/>
      <c r="H580" s="257" t="s">
        <v>18746</v>
      </c>
      <c r="I580" s="9">
        <v>1</v>
      </c>
    </row>
    <row r="581" spans="1:9">
      <c r="A581" s="257" t="s">
        <v>1679</v>
      </c>
      <c r="B581" s="9">
        <v>6</v>
      </c>
      <c r="C581" s="257" t="s">
        <v>9601</v>
      </c>
      <c r="D581" s="9">
        <v>4988.0542436312799</v>
      </c>
      <c r="E581" s="9">
        <v>1727309.5965805054</v>
      </c>
      <c r="F581" s="257" t="s">
        <v>14101</v>
      </c>
      <c r="G581" s="9"/>
      <c r="H581" s="257" t="s">
        <v>18747</v>
      </c>
      <c r="I581" s="9">
        <v>1</v>
      </c>
    </row>
    <row r="582" spans="1:9">
      <c r="A582" s="257" t="s">
        <v>1680</v>
      </c>
      <c r="B582" s="9">
        <v>6</v>
      </c>
      <c r="C582" s="257" t="s">
        <v>9602</v>
      </c>
      <c r="D582" s="9">
        <v>1727309.5965805054</v>
      </c>
      <c r="E582" s="9">
        <v>1727309.5965805054</v>
      </c>
      <c r="F582" s="257" t="s">
        <v>14102</v>
      </c>
      <c r="G582" s="9"/>
      <c r="H582" s="257" t="s">
        <v>18748</v>
      </c>
      <c r="I582" s="9">
        <v>1</v>
      </c>
    </row>
    <row r="583" spans="1:9">
      <c r="A583" s="257" t="s">
        <v>1681</v>
      </c>
      <c r="B583" s="9">
        <v>6</v>
      </c>
      <c r="C583" s="257" t="s">
        <v>9603</v>
      </c>
      <c r="D583" s="9">
        <v>1575249806.2149017</v>
      </c>
      <c r="E583" s="9">
        <v>1727309.5965805054</v>
      </c>
      <c r="F583" s="257" t="s">
        <v>14102</v>
      </c>
      <c r="G583" s="9"/>
      <c r="H583" s="257" t="s">
        <v>18749</v>
      </c>
      <c r="I583" s="9">
        <v>1</v>
      </c>
    </row>
    <row r="584" spans="1:9">
      <c r="A584" s="257" t="s">
        <v>1682</v>
      </c>
      <c r="B584" s="9">
        <v>6</v>
      </c>
      <c r="C584" s="257" t="s">
        <v>9604</v>
      </c>
      <c r="D584" s="9">
        <v>1</v>
      </c>
      <c r="E584" s="9">
        <v>1727309.5965805054</v>
      </c>
      <c r="F584" s="257" t="s">
        <v>14102</v>
      </c>
      <c r="G584" s="9"/>
      <c r="H584" s="257" t="s">
        <v>18750</v>
      </c>
      <c r="I584" s="9">
        <v>1</v>
      </c>
    </row>
    <row r="585" spans="1:9">
      <c r="A585" s="257" t="s">
        <v>1683</v>
      </c>
      <c r="B585" s="9">
        <v>6</v>
      </c>
      <c r="C585" s="257" t="s">
        <v>9605</v>
      </c>
      <c r="D585" s="9">
        <v>911.96726361815445</v>
      </c>
      <c r="E585" s="9">
        <v>1727309.5965805054</v>
      </c>
      <c r="F585" s="257" t="s">
        <v>14102</v>
      </c>
      <c r="G585" s="9"/>
      <c r="H585" s="257" t="s">
        <v>18751</v>
      </c>
      <c r="I585" s="9">
        <v>1</v>
      </c>
    </row>
    <row r="586" spans="1:9">
      <c r="A586" s="257" t="s">
        <v>1684</v>
      </c>
      <c r="B586" s="9">
        <v>6</v>
      </c>
      <c r="C586" s="257" t="s">
        <v>9606</v>
      </c>
      <c r="D586" s="9">
        <v>1727309.5965805054</v>
      </c>
      <c r="E586" s="9">
        <v>1727309.5965805054</v>
      </c>
      <c r="F586" s="257" t="s">
        <v>14103</v>
      </c>
      <c r="G586" s="9"/>
      <c r="H586" s="257" t="s">
        <v>18752</v>
      </c>
      <c r="I586" s="9">
        <v>1</v>
      </c>
    </row>
    <row r="587" spans="1:9">
      <c r="A587" s="257" t="s">
        <v>1685</v>
      </c>
      <c r="B587" s="9">
        <v>6</v>
      </c>
      <c r="C587" s="257" t="s">
        <v>9607</v>
      </c>
      <c r="D587" s="9">
        <v>10191163769.503326</v>
      </c>
      <c r="E587" s="9">
        <v>1727309.5965805054</v>
      </c>
      <c r="F587" s="257" t="s">
        <v>14103</v>
      </c>
      <c r="G587" s="9"/>
      <c r="H587" s="257" t="s">
        <v>18753</v>
      </c>
      <c r="I587" s="9">
        <v>1</v>
      </c>
    </row>
    <row r="588" spans="1:9">
      <c r="A588" s="257" t="s">
        <v>1686</v>
      </c>
      <c r="B588" s="9">
        <v>6</v>
      </c>
      <c r="C588" s="257" t="s">
        <v>9608</v>
      </c>
      <c r="D588" s="9">
        <v>1</v>
      </c>
      <c r="E588" s="9">
        <v>1727309.5965805054</v>
      </c>
      <c r="F588" s="257" t="s">
        <v>14103</v>
      </c>
      <c r="G588" s="9"/>
      <c r="H588" s="257" t="s">
        <v>18754</v>
      </c>
      <c r="I588" s="9">
        <v>1</v>
      </c>
    </row>
    <row r="589" spans="1:9">
      <c r="A589" s="257" t="s">
        <v>1687</v>
      </c>
      <c r="B589" s="9">
        <v>6</v>
      </c>
      <c r="C589" s="257" t="s">
        <v>9609</v>
      </c>
      <c r="D589" s="9">
        <v>5900.0215072494348</v>
      </c>
      <c r="E589" s="9">
        <v>1727309.5965805054</v>
      </c>
      <c r="F589" s="257" t="s">
        <v>14103</v>
      </c>
      <c r="G589" s="9"/>
      <c r="H589" s="257" t="s">
        <v>18755</v>
      </c>
      <c r="I589" s="9">
        <v>1</v>
      </c>
    </row>
    <row r="590" spans="1:9">
      <c r="A590" s="257" t="s">
        <v>1688</v>
      </c>
      <c r="B590" s="9">
        <v>6</v>
      </c>
      <c r="C590" s="257" t="s">
        <v>9610</v>
      </c>
      <c r="D590" s="9">
        <v>259994.39984130859</v>
      </c>
      <c r="E590" s="9">
        <v>1727309.5965805054</v>
      </c>
      <c r="F590" s="257" t="s">
        <v>14104</v>
      </c>
      <c r="G590" s="9"/>
      <c r="H590" s="257" t="s">
        <v>18756</v>
      </c>
      <c r="I590" s="9">
        <v>1</v>
      </c>
    </row>
    <row r="591" spans="1:9">
      <c r="A591" s="257" t="s">
        <v>1689</v>
      </c>
      <c r="B591" s="9">
        <v>6</v>
      </c>
      <c r="C591" s="257" t="s">
        <v>9611</v>
      </c>
      <c r="D591" s="9">
        <v>237692137.93389007</v>
      </c>
      <c r="E591" s="9">
        <v>1727309.5965805054</v>
      </c>
      <c r="F591" s="257" t="s">
        <v>14104</v>
      </c>
      <c r="G591" s="9"/>
      <c r="H591" s="257" t="s">
        <v>18757</v>
      </c>
      <c r="I591" s="9">
        <v>1</v>
      </c>
    </row>
    <row r="592" spans="1:9">
      <c r="A592" s="257" t="s">
        <v>1690</v>
      </c>
      <c r="B592" s="9">
        <v>6</v>
      </c>
      <c r="C592" s="257" t="s">
        <v>9612</v>
      </c>
      <c r="D592" s="9">
        <v>0.15051986068740106</v>
      </c>
      <c r="E592" s="9">
        <v>1727309.5965805054</v>
      </c>
      <c r="F592" s="257" t="s">
        <v>14104</v>
      </c>
      <c r="G592" s="9"/>
      <c r="H592" s="257" t="s">
        <v>18758</v>
      </c>
      <c r="I592" s="9">
        <v>1</v>
      </c>
    </row>
    <row r="593" spans="1:9">
      <c r="A593" s="257" t="s">
        <v>1691</v>
      </c>
      <c r="B593" s="9">
        <v>6</v>
      </c>
      <c r="C593" s="257" t="s">
        <v>9613</v>
      </c>
      <c r="D593" s="9">
        <v>137.60830044853623</v>
      </c>
      <c r="E593" s="9">
        <v>1727309.5965805054</v>
      </c>
      <c r="F593" s="257" t="s">
        <v>14104</v>
      </c>
      <c r="G593" s="9"/>
      <c r="H593" s="257" t="s">
        <v>18759</v>
      </c>
      <c r="I593" s="9">
        <v>1</v>
      </c>
    </row>
    <row r="594" spans="1:9">
      <c r="A594" s="257" t="s">
        <v>1692</v>
      </c>
      <c r="B594" s="9">
        <v>6</v>
      </c>
      <c r="C594" s="257" t="s">
        <v>9614</v>
      </c>
      <c r="D594" s="9">
        <v>1075620.3254089355</v>
      </c>
      <c r="E594" s="9">
        <v>1727309.5965805054</v>
      </c>
      <c r="F594" s="257" t="s">
        <v>14105</v>
      </c>
      <c r="G594" s="9"/>
      <c r="H594" s="257" t="s">
        <v>18760</v>
      </c>
      <c r="I594" s="9">
        <v>1</v>
      </c>
    </row>
    <row r="595" spans="1:9">
      <c r="A595" s="257" t="s">
        <v>1693</v>
      </c>
      <c r="B595" s="9">
        <v>6</v>
      </c>
      <c r="C595" s="257" t="s">
        <v>9615</v>
      </c>
      <c r="D595" s="9">
        <v>2128475501.9399891</v>
      </c>
      <c r="E595" s="9">
        <v>1727309.5965805054</v>
      </c>
      <c r="F595" s="257" t="s">
        <v>14105</v>
      </c>
      <c r="G595" s="9"/>
      <c r="H595" s="257" t="s">
        <v>18761</v>
      </c>
      <c r="I595" s="9">
        <v>1</v>
      </c>
    </row>
    <row r="596" spans="1:9">
      <c r="A596" s="257" t="s">
        <v>1694</v>
      </c>
      <c r="B596" s="9">
        <v>6</v>
      </c>
      <c r="C596" s="257" t="s">
        <v>9616</v>
      </c>
      <c r="D596" s="9">
        <v>0.62271426473766123</v>
      </c>
      <c r="E596" s="9">
        <v>1727309.5965805054</v>
      </c>
      <c r="F596" s="257" t="s">
        <v>14105</v>
      </c>
      <c r="G596" s="9"/>
      <c r="H596" s="257" t="s">
        <v>18762</v>
      </c>
      <c r="I596" s="9">
        <v>1</v>
      </c>
    </row>
    <row r="597" spans="1:9">
      <c r="A597" s="257" t="s">
        <v>1695</v>
      </c>
      <c r="B597" s="9">
        <v>6</v>
      </c>
      <c r="C597" s="257" t="s">
        <v>9617</v>
      </c>
      <c r="D597" s="9">
        <v>1232.2489877631999</v>
      </c>
      <c r="E597" s="9">
        <v>1727309.5965805054</v>
      </c>
      <c r="F597" s="257" t="s">
        <v>14105</v>
      </c>
      <c r="G597" s="9"/>
      <c r="H597" s="257" t="s">
        <v>18763</v>
      </c>
      <c r="I597" s="9">
        <v>1</v>
      </c>
    </row>
    <row r="598" spans="1:9">
      <c r="A598" s="257" t="s">
        <v>1696</v>
      </c>
      <c r="B598" s="9">
        <v>6</v>
      </c>
      <c r="C598" s="257" t="s">
        <v>9618</v>
      </c>
      <c r="D598" s="9">
        <v>0</v>
      </c>
      <c r="E598" s="9">
        <v>1727309.5965805054</v>
      </c>
      <c r="F598" s="257" t="s">
        <v>14106</v>
      </c>
      <c r="G598" s="9"/>
      <c r="H598" s="257" t="s">
        <v>18764</v>
      </c>
      <c r="I598" s="9">
        <v>1</v>
      </c>
    </row>
    <row r="599" spans="1:9">
      <c r="A599" s="257" t="s">
        <v>1697</v>
      </c>
      <c r="B599" s="9">
        <v>6</v>
      </c>
      <c r="C599" s="257" t="s">
        <v>9619</v>
      </c>
      <c r="D599" s="9">
        <v>0</v>
      </c>
      <c r="E599" s="9">
        <v>1727309.5965805054</v>
      </c>
      <c r="F599" s="257" t="s">
        <v>14106</v>
      </c>
      <c r="G599" s="9"/>
      <c r="H599" s="257" t="s">
        <v>18765</v>
      </c>
      <c r="I599" s="9">
        <v>1</v>
      </c>
    </row>
    <row r="600" spans="1:9">
      <c r="A600" s="257" t="s">
        <v>1698</v>
      </c>
      <c r="B600" s="9">
        <v>6</v>
      </c>
      <c r="C600" s="257" t="s">
        <v>9620</v>
      </c>
      <c r="D600" s="9">
        <v>0</v>
      </c>
      <c r="E600" s="9">
        <v>1727309.5965805054</v>
      </c>
      <c r="F600" s="257" t="s">
        <v>14106</v>
      </c>
      <c r="G600" s="9"/>
      <c r="H600" s="257" t="s">
        <v>18766</v>
      </c>
      <c r="I600" s="9">
        <v>1</v>
      </c>
    </row>
    <row r="601" spans="1:9">
      <c r="A601" s="257" t="s">
        <v>1699</v>
      </c>
      <c r="B601" s="9">
        <v>6</v>
      </c>
      <c r="C601" s="257" t="s">
        <v>9621</v>
      </c>
      <c r="D601" s="9">
        <v>0</v>
      </c>
      <c r="E601" s="9">
        <v>1727309.5965805054</v>
      </c>
      <c r="F601" s="257" t="s">
        <v>14106</v>
      </c>
      <c r="G601" s="9"/>
      <c r="H601" s="257" t="s">
        <v>18767</v>
      </c>
      <c r="I601" s="9">
        <v>1</v>
      </c>
    </row>
    <row r="602" spans="1:9">
      <c r="A602" s="257" t="s">
        <v>1700</v>
      </c>
      <c r="B602" s="9">
        <v>7</v>
      </c>
      <c r="C602" s="257" t="s">
        <v>9622</v>
      </c>
      <c r="D602" s="9">
        <v>1147029.032371521</v>
      </c>
      <c r="E602" s="9">
        <v>1724929.0217895508</v>
      </c>
      <c r="F602" s="257" t="s">
        <v>14107</v>
      </c>
      <c r="G602" s="9"/>
      <c r="H602" s="257" t="s">
        <v>18768</v>
      </c>
      <c r="I602" s="9">
        <v>1</v>
      </c>
    </row>
    <row r="603" spans="1:9">
      <c r="A603" s="257" t="s">
        <v>1701</v>
      </c>
      <c r="B603" s="9">
        <v>7</v>
      </c>
      <c r="C603" s="257" t="s">
        <v>9623</v>
      </c>
      <c r="D603" s="9">
        <v>5493339164.7363701</v>
      </c>
      <c r="E603" s="9">
        <v>1724929.0217895508</v>
      </c>
      <c r="F603" s="257" t="s">
        <v>14107</v>
      </c>
      <c r="G603" s="9"/>
      <c r="H603" s="257" t="s">
        <v>18769</v>
      </c>
      <c r="I603" s="9">
        <v>1</v>
      </c>
    </row>
    <row r="604" spans="1:9">
      <c r="A604" s="257" t="s">
        <v>1702</v>
      </c>
      <c r="B604" s="9">
        <v>7</v>
      </c>
      <c r="C604" s="257" t="s">
        <v>9624</v>
      </c>
      <c r="D604" s="9">
        <v>0.66497172804334892</v>
      </c>
      <c r="E604" s="9">
        <v>1724929.0217895508</v>
      </c>
      <c r="F604" s="257" t="s">
        <v>14107</v>
      </c>
      <c r="G604" s="9"/>
      <c r="H604" s="257" t="s">
        <v>18770</v>
      </c>
      <c r="I604" s="9">
        <v>1</v>
      </c>
    </row>
    <row r="605" spans="1:9">
      <c r="A605" s="257" t="s">
        <v>1703</v>
      </c>
      <c r="B605" s="9">
        <v>7</v>
      </c>
      <c r="C605" s="257" t="s">
        <v>9625</v>
      </c>
      <c r="D605" s="9">
        <v>3184.6754824944805</v>
      </c>
      <c r="E605" s="9">
        <v>1724929.0217895508</v>
      </c>
      <c r="F605" s="257" t="s">
        <v>14107</v>
      </c>
      <c r="G605" s="9"/>
      <c r="H605" s="257" t="s">
        <v>18771</v>
      </c>
      <c r="I605" s="9">
        <v>1</v>
      </c>
    </row>
    <row r="606" spans="1:9">
      <c r="A606" s="257" t="s">
        <v>1704</v>
      </c>
      <c r="B606" s="9">
        <v>7</v>
      </c>
      <c r="C606" s="257" t="s">
        <v>9626</v>
      </c>
      <c r="D606" s="9">
        <v>0</v>
      </c>
      <c r="E606" s="9">
        <v>1724929.0217895508</v>
      </c>
      <c r="F606" s="257" t="s">
        <v>14108</v>
      </c>
      <c r="G606" s="9"/>
      <c r="H606" s="257" t="s">
        <v>18772</v>
      </c>
      <c r="I606" s="9">
        <v>1</v>
      </c>
    </row>
    <row r="607" spans="1:9">
      <c r="A607" s="257" t="s">
        <v>1705</v>
      </c>
      <c r="B607" s="9">
        <v>7</v>
      </c>
      <c r="C607" s="257" t="s">
        <v>9627</v>
      </c>
      <c r="D607" s="9">
        <v>0</v>
      </c>
      <c r="E607" s="9">
        <v>1724929.0217895508</v>
      </c>
      <c r="F607" s="257" t="s">
        <v>14108</v>
      </c>
      <c r="G607" s="9"/>
      <c r="H607" s="257" t="s">
        <v>18773</v>
      </c>
      <c r="I607" s="9">
        <v>1</v>
      </c>
    </row>
    <row r="608" spans="1:9">
      <c r="A608" s="257" t="s">
        <v>1706</v>
      </c>
      <c r="B608" s="9">
        <v>7</v>
      </c>
      <c r="C608" s="257" t="s">
        <v>9628</v>
      </c>
      <c r="D608" s="9">
        <v>0</v>
      </c>
      <c r="E608" s="9">
        <v>1724929.0217895508</v>
      </c>
      <c r="F608" s="257" t="s">
        <v>14108</v>
      </c>
      <c r="G608" s="9"/>
      <c r="H608" s="257" t="s">
        <v>18774</v>
      </c>
      <c r="I608" s="9">
        <v>1</v>
      </c>
    </row>
    <row r="609" spans="1:9">
      <c r="A609" s="257" t="s">
        <v>1707</v>
      </c>
      <c r="B609" s="9">
        <v>7</v>
      </c>
      <c r="C609" s="257" t="s">
        <v>9629</v>
      </c>
      <c r="D609" s="9">
        <v>0</v>
      </c>
      <c r="E609" s="9">
        <v>1724929.0217895508</v>
      </c>
      <c r="F609" s="257" t="s">
        <v>14108</v>
      </c>
      <c r="G609" s="9"/>
      <c r="H609" s="257" t="s">
        <v>18775</v>
      </c>
      <c r="I609" s="9">
        <v>1</v>
      </c>
    </row>
    <row r="610" spans="1:9">
      <c r="A610" s="257" t="s">
        <v>1708</v>
      </c>
      <c r="B610" s="9">
        <v>7</v>
      </c>
      <c r="C610" s="257" t="s">
        <v>9630</v>
      </c>
      <c r="D610" s="9">
        <v>0</v>
      </c>
      <c r="E610" s="9">
        <v>1724929.0217895508</v>
      </c>
      <c r="F610" s="257" t="s">
        <v>14109</v>
      </c>
      <c r="G610" s="9"/>
      <c r="H610" s="257" t="s">
        <v>18776</v>
      </c>
      <c r="I610" s="9">
        <v>1</v>
      </c>
    </row>
    <row r="611" spans="1:9">
      <c r="A611" s="257" t="s">
        <v>1709</v>
      </c>
      <c r="B611" s="9">
        <v>7</v>
      </c>
      <c r="C611" s="257" t="s">
        <v>9631</v>
      </c>
      <c r="D611" s="9">
        <v>0</v>
      </c>
      <c r="E611" s="9">
        <v>1724929.0217895508</v>
      </c>
      <c r="F611" s="257" t="s">
        <v>14109</v>
      </c>
      <c r="G611" s="9"/>
      <c r="H611" s="257" t="s">
        <v>18777</v>
      </c>
      <c r="I611" s="9">
        <v>1</v>
      </c>
    </row>
    <row r="612" spans="1:9">
      <c r="A612" s="257" t="s">
        <v>1710</v>
      </c>
      <c r="B612" s="9">
        <v>7</v>
      </c>
      <c r="C612" s="257" t="s">
        <v>9632</v>
      </c>
      <c r="D612" s="9">
        <v>0</v>
      </c>
      <c r="E612" s="9">
        <v>1724929.0217895508</v>
      </c>
      <c r="F612" s="257" t="s">
        <v>14109</v>
      </c>
      <c r="G612" s="9"/>
      <c r="H612" s="257" t="s">
        <v>18778</v>
      </c>
      <c r="I612" s="9">
        <v>1</v>
      </c>
    </row>
    <row r="613" spans="1:9">
      <c r="A613" s="257" t="s">
        <v>1711</v>
      </c>
      <c r="B613" s="9">
        <v>7</v>
      </c>
      <c r="C613" s="257" t="s">
        <v>9633</v>
      </c>
      <c r="D613" s="9">
        <v>0</v>
      </c>
      <c r="E613" s="9">
        <v>1724929.0217895508</v>
      </c>
      <c r="F613" s="257" t="s">
        <v>14109</v>
      </c>
      <c r="G613" s="9"/>
      <c r="H613" s="257" t="s">
        <v>18779</v>
      </c>
      <c r="I613" s="9">
        <v>1</v>
      </c>
    </row>
    <row r="614" spans="1:9">
      <c r="A614" s="257" t="s">
        <v>1712</v>
      </c>
      <c r="B614" s="9">
        <v>7</v>
      </c>
      <c r="C614" s="257" t="s">
        <v>9634</v>
      </c>
      <c r="D614" s="9">
        <v>0</v>
      </c>
      <c r="E614" s="9">
        <v>1724929.0217895508</v>
      </c>
      <c r="F614" s="257" t="s">
        <v>14110</v>
      </c>
      <c r="G614" s="9"/>
      <c r="H614" s="257" t="s">
        <v>18780</v>
      </c>
      <c r="I614" s="9">
        <v>1</v>
      </c>
    </row>
    <row r="615" spans="1:9">
      <c r="A615" s="257" t="s">
        <v>1713</v>
      </c>
      <c r="B615" s="9">
        <v>7</v>
      </c>
      <c r="C615" s="257" t="s">
        <v>9635</v>
      </c>
      <c r="D615" s="9">
        <v>0</v>
      </c>
      <c r="E615" s="9">
        <v>1724929.0217895508</v>
      </c>
      <c r="F615" s="257" t="s">
        <v>14110</v>
      </c>
      <c r="G615" s="9"/>
      <c r="H615" s="257" t="s">
        <v>18781</v>
      </c>
      <c r="I615" s="9">
        <v>1</v>
      </c>
    </row>
    <row r="616" spans="1:9">
      <c r="A616" s="257" t="s">
        <v>1714</v>
      </c>
      <c r="B616" s="9">
        <v>7</v>
      </c>
      <c r="C616" s="257" t="s">
        <v>9636</v>
      </c>
      <c r="D616" s="9">
        <v>0</v>
      </c>
      <c r="E616" s="9">
        <v>1724929.0217895508</v>
      </c>
      <c r="F616" s="257" t="s">
        <v>14110</v>
      </c>
      <c r="G616" s="9"/>
      <c r="H616" s="257" t="s">
        <v>18782</v>
      </c>
      <c r="I616" s="9">
        <v>1</v>
      </c>
    </row>
    <row r="617" spans="1:9">
      <c r="A617" s="257" t="s">
        <v>1715</v>
      </c>
      <c r="B617" s="9">
        <v>7</v>
      </c>
      <c r="C617" s="257" t="s">
        <v>9637</v>
      </c>
      <c r="D617" s="9">
        <v>0</v>
      </c>
      <c r="E617" s="9">
        <v>1724929.0217895508</v>
      </c>
      <c r="F617" s="257" t="s">
        <v>14110</v>
      </c>
      <c r="G617" s="9"/>
      <c r="H617" s="257" t="s">
        <v>18783</v>
      </c>
      <c r="I617" s="9">
        <v>1</v>
      </c>
    </row>
    <row r="618" spans="1:9">
      <c r="A618" s="257" t="s">
        <v>1716</v>
      </c>
      <c r="B618" s="9">
        <v>7</v>
      </c>
      <c r="C618" s="257" t="s">
        <v>9638</v>
      </c>
      <c r="D618" s="9">
        <v>0</v>
      </c>
      <c r="E618" s="9">
        <v>1724929.0217895508</v>
      </c>
      <c r="F618" s="257" t="s">
        <v>14111</v>
      </c>
      <c r="G618" s="9"/>
      <c r="H618" s="257" t="s">
        <v>18784</v>
      </c>
      <c r="I618" s="9">
        <v>1</v>
      </c>
    </row>
    <row r="619" spans="1:9">
      <c r="A619" s="257" t="s">
        <v>1717</v>
      </c>
      <c r="B619" s="9">
        <v>7</v>
      </c>
      <c r="C619" s="257" t="s">
        <v>9639</v>
      </c>
      <c r="D619" s="9">
        <v>0</v>
      </c>
      <c r="E619" s="9">
        <v>1724929.0217895508</v>
      </c>
      <c r="F619" s="257" t="s">
        <v>14111</v>
      </c>
      <c r="G619" s="9"/>
      <c r="H619" s="257" t="s">
        <v>18785</v>
      </c>
      <c r="I619" s="9">
        <v>1</v>
      </c>
    </row>
    <row r="620" spans="1:9">
      <c r="A620" s="257" t="s">
        <v>1718</v>
      </c>
      <c r="B620" s="9">
        <v>7</v>
      </c>
      <c r="C620" s="257" t="s">
        <v>9640</v>
      </c>
      <c r="D620" s="9">
        <v>0</v>
      </c>
      <c r="E620" s="9">
        <v>1724929.0217895508</v>
      </c>
      <c r="F620" s="257" t="s">
        <v>14111</v>
      </c>
      <c r="G620" s="9"/>
      <c r="H620" s="257" t="s">
        <v>18786</v>
      </c>
      <c r="I620" s="9">
        <v>1</v>
      </c>
    </row>
    <row r="621" spans="1:9">
      <c r="A621" s="257" t="s">
        <v>1719</v>
      </c>
      <c r="B621" s="9">
        <v>7</v>
      </c>
      <c r="C621" s="257" t="s">
        <v>9641</v>
      </c>
      <c r="D621" s="9">
        <v>0</v>
      </c>
      <c r="E621" s="9">
        <v>1724929.0217895508</v>
      </c>
      <c r="F621" s="257" t="s">
        <v>14111</v>
      </c>
      <c r="G621" s="9"/>
      <c r="H621" s="257" t="s">
        <v>18787</v>
      </c>
      <c r="I621" s="9">
        <v>1</v>
      </c>
    </row>
    <row r="622" spans="1:9">
      <c r="A622" s="257" t="s">
        <v>1720</v>
      </c>
      <c r="B622" s="9">
        <v>7</v>
      </c>
      <c r="C622" s="257" t="s">
        <v>9642</v>
      </c>
      <c r="D622" s="9">
        <v>0</v>
      </c>
      <c r="E622" s="9">
        <v>1724929.0217895508</v>
      </c>
      <c r="F622" s="257" t="s">
        <v>14112</v>
      </c>
      <c r="G622" s="9"/>
      <c r="H622" s="257" t="s">
        <v>18788</v>
      </c>
      <c r="I622" s="9">
        <v>1</v>
      </c>
    </row>
    <row r="623" spans="1:9">
      <c r="A623" s="257" t="s">
        <v>1721</v>
      </c>
      <c r="B623" s="9">
        <v>7</v>
      </c>
      <c r="C623" s="257" t="s">
        <v>9643</v>
      </c>
      <c r="D623" s="9">
        <v>0</v>
      </c>
      <c r="E623" s="9">
        <v>1724929.0217895508</v>
      </c>
      <c r="F623" s="257" t="s">
        <v>14112</v>
      </c>
      <c r="G623" s="9"/>
      <c r="H623" s="257" t="s">
        <v>18789</v>
      </c>
      <c r="I623" s="9">
        <v>1</v>
      </c>
    </row>
    <row r="624" spans="1:9">
      <c r="A624" s="257" t="s">
        <v>1722</v>
      </c>
      <c r="B624" s="9">
        <v>7</v>
      </c>
      <c r="C624" s="257" t="s">
        <v>9644</v>
      </c>
      <c r="D624" s="9">
        <v>0</v>
      </c>
      <c r="E624" s="9">
        <v>1724929.0217895508</v>
      </c>
      <c r="F624" s="257" t="s">
        <v>14112</v>
      </c>
      <c r="G624" s="9"/>
      <c r="H624" s="257" t="s">
        <v>18790</v>
      </c>
      <c r="I624" s="9">
        <v>1</v>
      </c>
    </row>
    <row r="625" spans="1:9">
      <c r="A625" s="257" t="s">
        <v>1723</v>
      </c>
      <c r="B625" s="9">
        <v>7</v>
      </c>
      <c r="C625" s="257" t="s">
        <v>9645</v>
      </c>
      <c r="D625" s="9">
        <v>0</v>
      </c>
      <c r="E625" s="9">
        <v>1724929.0217895508</v>
      </c>
      <c r="F625" s="257" t="s">
        <v>14112</v>
      </c>
      <c r="G625" s="9"/>
      <c r="H625" s="257" t="s">
        <v>18791</v>
      </c>
      <c r="I625" s="9">
        <v>1</v>
      </c>
    </row>
    <row r="626" spans="1:9">
      <c r="A626" s="257" t="s">
        <v>1724</v>
      </c>
      <c r="B626" s="9">
        <v>7</v>
      </c>
      <c r="C626" s="257" t="s">
        <v>9646</v>
      </c>
      <c r="D626" s="9">
        <v>0</v>
      </c>
      <c r="E626" s="9">
        <v>1724929.0217895508</v>
      </c>
      <c r="F626" s="257" t="s">
        <v>14113</v>
      </c>
      <c r="G626" s="9"/>
      <c r="H626" s="257" t="s">
        <v>18792</v>
      </c>
      <c r="I626" s="9">
        <v>1</v>
      </c>
    </row>
    <row r="627" spans="1:9">
      <c r="A627" s="257" t="s">
        <v>1725</v>
      </c>
      <c r="B627" s="9">
        <v>7</v>
      </c>
      <c r="C627" s="257" t="s">
        <v>9647</v>
      </c>
      <c r="D627" s="9">
        <v>0</v>
      </c>
      <c r="E627" s="9">
        <v>1724929.0217895508</v>
      </c>
      <c r="F627" s="257" t="s">
        <v>14113</v>
      </c>
      <c r="G627" s="9"/>
      <c r="H627" s="257" t="s">
        <v>18793</v>
      </c>
      <c r="I627" s="9">
        <v>1</v>
      </c>
    </row>
    <row r="628" spans="1:9">
      <c r="A628" s="257" t="s">
        <v>1726</v>
      </c>
      <c r="B628" s="9">
        <v>7</v>
      </c>
      <c r="C628" s="257" t="s">
        <v>9648</v>
      </c>
      <c r="D628" s="9">
        <v>0</v>
      </c>
      <c r="E628" s="9">
        <v>1724929.0217895508</v>
      </c>
      <c r="F628" s="257" t="s">
        <v>14113</v>
      </c>
      <c r="G628" s="9"/>
      <c r="H628" s="257" t="s">
        <v>18794</v>
      </c>
      <c r="I628" s="9">
        <v>1</v>
      </c>
    </row>
    <row r="629" spans="1:9">
      <c r="A629" s="257" t="s">
        <v>1727</v>
      </c>
      <c r="B629" s="9">
        <v>7</v>
      </c>
      <c r="C629" s="257" t="s">
        <v>9649</v>
      </c>
      <c r="D629" s="9">
        <v>0</v>
      </c>
      <c r="E629" s="9">
        <v>1724929.0217895508</v>
      </c>
      <c r="F629" s="257" t="s">
        <v>14113</v>
      </c>
      <c r="G629" s="9"/>
      <c r="H629" s="257" t="s">
        <v>18795</v>
      </c>
      <c r="I629" s="9">
        <v>1</v>
      </c>
    </row>
    <row r="630" spans="1:9">
      <c r="A630" s="257" t="s">
        <v>1728</v>
      </c>
      <c r="B630" s="9">
        <v>7</v>
      </c>
      <c r="C630" s="257" t="s">
        <v>9650</v>
      </c>
      <c r="D630" s="9">
        <v>0</v>
      </c>
      <c r="E630" s="9">
        <v>1724929.0217895508</v>
      </c>
      <c r="F630" s="257" t="s">
        <v>14114</v>
      </c>
      <c r="G630" s="9"/>
      <c r="H630" s="257" t="s">
        <v>18796</v>
      </c>
      <c r="I630" s="9">
        <v>1</v>
      </c>
    </row>
    <row r="631" spans="1:9">
      <c r="A631" s="257" t="s">
        <v>1729</v>
      </c>
      <c r="B631" s="9">
        <v>7</v>
      </c>
      <c r="C631" s="257" t="s">
        <v>9651</v>
      </c>
      <c r="D631" s="9">
        <v>0</v>
      </c>
      <c r="E631" s="9">
        <v>1724929.0217895508</v>
      </c>
      <c r="F631" s="257" t="s">
        <v>14114</v>
      </c>
      <c r="G631" s="9"/>
      <c r="H631" s="257" t="s">
        <v>18797</v>
      </c>
      <c r="I631" s="9">
        <v>1</v>
      </c>
    </row>
    <row r="632" spans="1:9">
      <c r="A632" s="257" t="s">
        <v>1730</v>
      </c>
      <c r="B632" s="9">
        <v>7</v>
      </c>
      <c r="C632" s="257" t="s">
        <v>9652</v>
      </c>
      <c r="D632" s="9">
        <v>0</v>
      </c>
      <c r="E632" s="9">
        <v>1724929.0217895508</v>
      </c>
      <c r="F632" s="257" t="s">
        <v>14114</v>
      </c>
      <c r="G632" s="9"/>
      <c r="H632" s="257" t="s">
        <v>18798</v>
      </c>
      <c r="I632" s="9">
        <v>1</v>
      </c>
    </row>
    <row r="633" spans="1:9">
      <c r="A633" s="257" t="s">
        <v>1731</v>
      </c>
      <c r="B633" s="9">
        <v>7</v>
      </c>
      <c r="C633" s="257" t="s">
        <v>9653</v>
      </c>
      <c r="D633" s="9">
        <v>0</v>
      </c>
      <c r="E633" s="9">
        <v>1724929.0217895508</v>
      </c>
      <c r="F633" s="257" t="s">
        <v>14114</v>
      </c>
      <c r="G633" s="9"/>
      <c r="H633" s="257" t="s">
        <v>18799</v>
      </c>
      <c r="I633" s="9">
        <v>1</v>
      </c>
    </row>
    <row r="634" spans="1:9">
      <c r="A634" s="257" t="s">
        <v>1732</v>
      </c>
      <c r="B634" s="9">
        <v>7</v>
      </c>
      <c r="C634" s="257" t="s">
        <v>9654</v>
      </c>
      <c r="D634" s="9">
        <v>1724929.0217895508</v>
      </c>
      <c r="E634" s="9">
        <v>1724929.0217895508</v>
      </c>
      <c r="F634" s="257" t="s">
        <v>14115</v>
      </c>
      <c r="G634" s="9"/>
      <c r="H634" s="257" t="s">
        <v>18800</v>
      </c>
      <c r="I634" s="9">
        <v>1</v>
      </c>
    </row>
    <row r="635" spans="1:9">
      <c r="A635" s="257" t="s">
        <v>1733</v>
      </c>
      <c r="B635" s="9">
        <v>7</v>
      </c>
      <c r="C635" s="257" t="s">
        <v>9655</v>
      </c>
      <c r="D635" s="9">
        <v>20685537249.175446</v>
      </c>
      <c r="E635" s="9">
        <v>1724929.0217895508</v>
      </c>
      <c r="F635" s="257" t="s">
        <v>14115</v>
      </c>
      <c r="G635" s="9"/>
      <c r="H635" s="257" t="s">
        <v>18801</v>
      </c>
      <c r="I635" s="9">
        <v>1</v>
      </c>
    </row>
    <row r="636" spans="1:9">
      <c r="A636" s="257" t="s">
        <v>1734</v>
      </c>
      <c r="B636" s="9">
        <v>7</v>
      </c>
      <c r="C636" s="257" t="s">
        <v>9656</v>
      </c>
      <c r="D636" s="9">
        <v>1</v>
      </c>
      <c r="E636" s="9">
        <v>1724929.0217895508</v>
      </c>
      <c r="F636" s="257" t="s">
        <v>14115</v>
      </c>
      <c r="G636" s="9"/>
      <c r="H636" s="257" t="s">
        <v>18802</v>
      </c>
      <c r="I636" s="9">
        <v>1</v>
      </c>
    </row>
    <row r="637" spans="1:9">
      <c r="A637" s="257" t="s">
        <v>1735</v>
      </c>
      <c r="B637" s="9">
        <v>7</v>
      </c>
      <c r="C637" s="257" t="s">
        <v>9657</v>
      </c>
      <c r="D637" s="9">
        <v>11992.109233407737</v>
      </c>
      <c r="E637" s="9">
        <v>1724929.0217895508</v>
      </c>
      <c r="F637" s="257" t="s">
        <v>14115</v>
      </c>
      <c r="G637" s="9"/>
      <c r="H637" s="257" t="s">
        <v>18803</v>
      </c>
      <c r="I637" s="9">
        <v>1</v>
      </c>
    </row>
    <row r="638" spans="1:9">
      <c r="A638" s="257" t="s">
        <v>1736</v>
      </c>
      <c r="B638" s="9">
        <v>7</v>
      </c>
      <c r="C638" s="257" t="s">
        <v>9658</v>
      </c>
      <c r="D638" s="9">
        <v>1724929.0217895508</v>
      </c>
      <c r="E638" s="9">
        <v>1724929.0217895508</v>
      </c>
      <c r="F638" s="257" t="s">
        <v>14116</v>
      </c>
      <c r="G638" s="9"/>
      <c r="H638" s="257" t="s">
        <v>18804</v>
      </c>
      <c r="I638" s="9">
        <v>1</v>
      </c>
    </row>
    <row r="639" spans="1:9">
      <c r="A639" s="257" t="s">
        <v>1737</v>
      </c>
      <c r="B639" s="9">
        <v>7</v>
      </c>
      <c r="C639" s="257" t="s">
        <v>9659</v>
      </c>
      <c r="D639" s="9">
        <v>20685537249.175446</v>
      </c>
      <c r="E639" s="9">
        <v>1724929.0217895508</v>
      </c>
      <c r="F639" s="257" t="s">
        <v>14116</v>
      </c>
      <c r="G639" s="9"/>
      <c r="H639" s="257" t="s">
        <v>18805</v>
      </c>
      <c r="I639" s="9">
        <v>1</v>
      </c>
    </row>
    <row r="640" spans="1:9">
      <c r="A640" s="257" t="s">
        <v>1738</v>
      </c>
      <c r="B640" s="9">
        <v>7</v>
      </c>
      <c r="C640" s="257" t="s">
        <v>9660</v>
      </c>
      <c r="D640" s="9">
        <v>1</v>
      </c>
      <c r="E640" s="9">
        <v>1724929.0217895508</v>
      </c>
      <c r="F640" s="257" t="s">
        <v>14116</v>
      </c>
      <c r="G640" s="9"/>
      <c r="H640" s="257" t="s">
        <v>18806</v>
      </c>
      <c r="I640" s="9">
        <v>1</v>
      </c>
    </row>
    <row r="641" spans="1:9">
      <c r="A641" s="257" t="s">
        <v>1739</v>
      </c>
      <c r="B641" s="9">
        <v>7</v>
      </c>
      <c r="C641" s="257" t="s">
        <v>9661</v>
      </c>
      <c r="D641" s="9">
        <v>11992.109233407737</v>
      </c>
      <c r="E641" s="9">
        <v>1724929.0217895508</v>
      </c>
      <c r="F641" s="257" t="s">
        <v>14116</v>
      </c>
      <c r="G641" s="9"/>
      <c r="H641" s="257" t="s">
        <v>18807</v>
      </c>
      <c r="I641" s="9">
        <v>1</v>
      </c>
    </row>
    <row r="642" spans="1:9">
      <c r="A642" s="257" t="s">
        <v>1740</v>
      </c>
      <c r="B642" s="9">
        <v>7</v>
      </c>
      <c r="C642" s="257" t="s">
        <v>9662</v>
      </c>
      <c r="D642" s="9">
        <v>1724929.0217895508</v>
      </c>
      <c r="E642" s="9">
        <v>1724929.0217895508</v>
      </c>
      <c r="F642" s="257" t="s">
        <v>14117</v>
      </c>
      <c r="G642" s="9"/>
      <c r="H642" s="257" t="s">
        <v>18808</v>
      </c>
      <c r="I642" s="9">
        <v>1</v>
      </c>
    </row>
    <row r="643" spans="1:9">
      <c r="A643" s="257" t="s">
        <v>1741</v>
      </c>
      <c r="B643" s="9">
        <v>7</v>
      </c>
      <c r="C643" s="257" t="s">
        <v>9663</v>
      </c>
      <c r="D643" s="9">
        <v>20685537249.175446</v>
      </c>
      <c r="E643" s="9">
        <v>1724929.0217895508</v>
      </c>
      <c r="F643" s="257" t="s">
        <v>14117</v>
      </c>
      <c r="G643" s="9"/>
      <c r="H643" s="257" t="s">
        <v>18809</v>
      </c>
      <c r="I643" s="9">
        <v>1</v>
      </c>
    </row>
    <row r="644" spans="1:9">
      <c r="A644" s="257" t="s">
        <v>1742</v>
      </c>
      <c r="B644" s="9">
        <v>7</v>
      </c>
      <c r="C644" s="257" t="s">
        <v>9664</v>
      </c>
      <c r="D644" s="9">
        <v>1</v>
      </c>
      <c r="E644" s="9">
        <v>1724929.0217895508</v>
      </c>
      <c r="F644" s="257" t="s">
        <v>14117</v>
      </c>
      <c r="G644" s="9"/>
      <c r="H644" s="257" t="s">
        <v>18810</v>
      </c>
      <c r="I644" s="9">
        <v>1</v>
      </c>
    </row>
    <row r="645" spans="1:9">
      <c r="A645" s="257" t="s">
        <v>1743</v>
      </c>
      <c r="B645" s="9">
        <v>7</v>
      </c>
      <c r="C645" s="257" t="s">
        <v>9665</v>
      </c>
      <c r="D645" s="9">
        <v>11992.109233407737</v>
      </c>
      <c r="E645" s="9">
        <v>1724929.0217895508</v>
      </c>
      <c r="F645" s="257" t="s">
        <v>14117</v>
      </c>
      <c r="G645" s="9"/>
      <c r="H645" s="257" t="s">
        <v>18811</v>
      </c>
      <c r="I645" s="9">
        <v>1</v>
      </c>
    </row>
    <row r="646" spans="1:9">
      <c r="A646" s="257" t="s">
        <v>1744</v>
      </c>
      <c r="B646" s="9">
        <v>7</v>
      </c>
      <c r="C646" s="257" t="s">
        <v>9666</v>
      </c>
      <c r="D646" s="9">
        <v>1724929.0217895508</v>
      </c>
      <c r="E646" s="9">
        <v>1724929.0217895508</v>
      </c>
      <c r="F646" s="257" t="s">
        <v>14118</v>
      </c>
      <c r="G646" s="9"/>
      <c r="H646" s="257" t="s">
        <v>18812</v>
      </c>
      <c r="I646" s="9">
        <v>1</v>
      </c>
    </row>
    <row r="647" spans="1:9">
      <c r="A647" s="257" t="s">
        <v>1745</v>
      </c>
      <c r="B647" s="9">
        <v>7</v>
      </c>
      <c r="C647" s="257" t="s">
        <v>9667</v>
      </c>
      <c r="D647" s="9">
        <v>4152058487.6449146</v>
      </c>
      <c r="E647" s="9">
        <v>1724929.0217895508</v>
      </c>
      <c r="F647" s="257" t="s">
        <v>14118</v>
      </c>
      <c r="G647" s="9"/>
      <c r="H647" s="257" t="s">
        <v>18813</v>
      </c>
      <c r="I647" s="9">
        <v>1</v>
      </c>
    </row>
    <row r="648" spans="1:9">
      <c r="A648" s="257" t="s">
        <v>1746</v>
      </c>
      <c r="B648" s="9">
        <v>7</v>
      </c>
      <c r="C648" s="257" t="s">
        <v>9668</v>
      </c>
      <c r="D648" s="9">
        <v>1</v>
      </c>
      <c r="E648" s="9">
        <v>1724929.0217895508</v>
      </c>
      <c r="F648" s="257" t="s">
        <v>14118</v>
      </c>
      <c r="G648" s="9"/>
      <c r="H648" s="257" t="s">
        <v>18814</v>
      </c>
      <c r="I648" s="9">
        <v>1</v>
      </c>
    </row>
    <row r="649" spans="1:9">
      <c r="A649" s="257" t="s">
        <v>1747</v>
      </c>
      <c r="B649" s="9">
        <v>7</v>
      </c>
      <c r="C649" s="257" t="s">
        <v>9669</v>
      </c>
      <c r="D649" s="9">
        <v>2407.08947162203</v>
      </c>
      <c r="E649" s="9">
        <v>1724929.0217895508</v>
      </c>
      <c r="F649" s="257" t="s">
        <v>14118</v>
      </c>
      <c r="G649" s="9"/>
      <c r="H649" s="257" t="s">
        <v>18815</v>
      </c>
      <c r="I649" s="9">
        <v>1</v>
      </c>
    </row>
    <row r="650" spans="1:9">
      <c r="A650" s="257" t="s">
        <v>1748</v>
      </c>
      <c r="B650" s="9">
        <v>7</v>
      </c>
      <c r="C650" s="257" t="s">
        <v>9670</v>
      </c>
      <c r="D650" s="9">
        <v>1174397.034538269</v>
      </c>
      <c r="E650" s="9">
        <v>1724929.0217895508</v>
      </c>
      <c r="F650" s="257" t="s">
        <v>14119</v>
      </c>
      <c r="G650" s="9"/>
      <c r="H650" s="257" t="s">
        <v>18816</v>
      </c>
      <c r="I650" s="9">
        <v>1</v>
      </c>
    </row>
    <row r="651" spans="1:9">
      <c r="A651" s="257" t="s">
        <v>1749</v>
      </c>
      <c r="B651" s="9">
        <v>7</v>
      </c>
      <c r="C651" s="257" t="s">
        <v>9671</v>
      </c>
      <c r="D651" s="9">
        <v>3035903997.1062365</v>
      </c>
      <c r="E651" s="9">
        <v>1724929.0217895508</v>
      </c>
      <c r="F651" s="257" t="s">
        <v>14119</v>
      </c>
      <c r="G651" s="9"/>
      <c r="H651" s="257" t="s">
        <v>18817</v>
      </c>
      <c r="I651" s="9">
        <v>1</v>
      </c>
    </row>
    <row r="652" spans="1:9">
      <c r="A652" s="257" t="s">
        <v>1750</v>
      </c>
      <c r="B652" s="9">
        <v>7</v>
      </c>
      <c r="C652" s="257" t="s">
        <v>9672</v>
      </c>
      <c r="D652" s="9">
        <v>0.68083788938739931</v>
      </c>
      <c r="E652" s="9">
        <v>1724929.0217895508</v>
      </c>
      <c r="F652" s="257" t="s">
        <v>14119</v>
      </c>
      <c r="G652" s="9"/>
      <c r="H652" s="257" t="s">
        <v>18818</v>
      </c>
      <c r="I652" s="9">
        <v>1</v>
      </c>
    </row>
    <row r="653" spans="1:9">
      <c r="A653" s="257" t="s">
        <v>1751</v>
      </c>
      <c r="B653" s="9">
        <v>7</v>
      </c>
      <c r="C653" s="257" t="s">
        <v>9673</v>
      </c>
      <c r="D653" s="9">
        <v>1760.016765186429</v>
      </c>
      <c r="E653" s="9">
        <v>1724929.0217895508</v>
      </c>
      <c r="F653" s="257" t="s">
        <v>14119</v>
      </c>
      <c r="G653" s="9"/>
      <c r="H653" s="257" t="s">
        <v>18819</v>
      </c>
      <c r="I653" s="9">
        <v>1</v>
      </c>
    </row>
    <row r="654" spans="1:9">
      <c r="A654" s="257" t="s">
        <v>1752</v>
      </c>
      <c r="B654" s="9">
        <v>7</v>
      </c>
      <c r="C654" s="257" t="s">
        <v>9674</v>
      </c>
      <c r="D654" s="9">
        <v>1724929.0217895508</v>
      </c>
      <c r="E654" s="9">
        <v>1724929.0217895508</v>
      </c>
      <c r="F654" s="257" t="s">
        <v>14120</v>
      </c>
      <c r="G654" s="9"/>
      <c r="H654" s="257" t="s">
        <v>18820</v>
      </c>
      <c r="I654" s="9">
        <v>1</v>
      </c>
    </row>
    <row r="655" spans="1:9">
      <c r="A655" s="257" t="s">
        <v>1753</v>
      </c>
      <c r="B655" s="9">
        <v>7</v>
      </c>
      <c r="C655" s="257" t="s">
        <v>9675</v>
      </c>
      <c r="D655" s="9">
        <v>23721441246.281685</v>
      </c>
      <c r="E655" s="9">
        <v>1724929.0217895508</v>
      </c>
      <c r="F655" s="257" t="s">
        <v>14120</v>
      </c>
      <c r="G655" s="9"/>
      <c r="H655" s="257" t="s">
        <v>18821</v>
      </c>
      <c r="I655" s="9">
        <v>1</v>
      </c>
    </row>
    <row r="656" spans="1:9">
      <c r="A656" s="257" t="s">
        <v>1754</v>
      </c>
      <c r="B656" s="9">
        <v>7</v>
      </c>
      <c r="C656" s="257" t="s">
        <v>9676</v>
      </c>
      <c r="D656" s="9">
        <v>1</v>
      </c>
      <c r="E656" s="9">
        <v>1724929.0217895508</v>
      </c>
      <c r="F656" s="257" t="s">
        <v>14120</v>
      </c>
      <c r="G656" s="9"/>
      <c r="H656" s="257" t="s">
        <v>18822</v>
      </c>
      <c r="I656" s="9">
        <v>1</v>
      </c>
    </row>
    <row r="657" spans="1:9">
      <c r="A657" s="257" t="s">
        <v>1755</v>
      </c>
      <c r="B657" s="9">
        <v>7</v>
      </c>
      <c r="C657" s="257" t="s">
        <v>9677</v>
      </c>
      <c r="D657" s="9">
        <v>13752.125998594167</v>
      </c>
      <c r="E657" s="9">
        <v>1724929.0217895508</v>
      </c>
      <c r="F657" s="257" t="s">
        <v>14120</v>
      </c>
      <c r="G657" s="9"/>
      <c r="H657" s="257" t="s">
        <v>18823</v>
      </c>
      <c r="I657" s="9">
        <v>1</v>
      </c>
    </row>
    <row r="658" spans="1:9">
      <c r="A658" s="257" t="s">
        <v>1756</v>
      </c>
      <c r="B658" s="9">
        <v>7</v>
      </c>
      <c r="C658" s="257" t="s">
        <v>9678</v>
      </c>
      <c r="D658" s="9">
        <v>1724929.0217895508</v>
      </c>
      <c r="E658" s="9">
        <v>1724929.0217895508</v>
      </c>
      <c r="F658" s="257" t="s">
        <v>14121</v>
      </c>
      <c r="G658" s="9"/>
      <c r="H658" s="257" t="s">
        <v>18824</v>
      </c>
      <c r="I658" s="9">
        <v>1</v>
      </c>
    </row>
    <row r="659" spans="1:9">
      <c r="A659" s="257" t="s">
        <v>1757</v>
      </c>
      <c r="B659" s="9">
        <v>7</v>
      </c>
      <c r="C659" s="257" t="s">
        <v>9679</v>
      </c>
      <c r="D659" s="9">
        <v>23721441246.281685</v>
      </c>
      <c r="E659" s="9">
        <v>1724929.0217895508</v>
      </c>
      <c r="F659" s="257" t="s">
        <v>14121</v>
      </c>
      <c r="G659" s="9"/>
      <c r="H659" s="257" t="s">
        <v>18825</v>
      </c>
      <c r="I659" s="9">
        <v>1</v>
      </c>
    </row>
    <row r="660" spans="1:9">
      <c r="A660" s="257" t="s">
        <v>1758</v>
      </c>
      <c r="B660" s="9">
        <v>7</v>
      </c>
      <c r="C660" s="257" t="s">
        <v>9680</v>
      </c>
      <c r="D660" s="9">
        <v>1</v>
      </c>
      <c r="E660" s="9">
        <v>1724929.0217895508</v>
      </c>
      <c r="F660" s="257" t="s">
        <v>14121</v>
      </c>
      <c r="G660" s="9"/>
      <c r="H660" s="257" t="s">
        <v>18826</v>
      </c>
      <c r="I660" s="9">
        <v>1</v>
      </c>
    </row>
    <row r="661" spans="1:9">
      <c r="A661" s="257" t="s">
        <v>1759</v>
      </c>
      <c r="B661" s="9">
        <v>7</v>
      </c>
      <c r="C661" s="257" t="s">
        <v>9681</v>
      </c>
      <c r="D661" s="9">
        <v>13752.125998594167</v>
      </c>
      <c r="E661" s="9">
        <v>1724929.0217895508</v>
      </c>
      <c r="F661" s="257" t="s">
        <v>14121</v>
      </c>
      <c r="G661" s="9"/>
      <c r="H661" s="257" t="s">
        <v>18827</v>
      </c>
      <c r="I661" s="9">
        <v>1</v>
      </c>
    </row>
    <row r="662" spans="1:9">
      <c r="A662" s="257" t="s">
        <v>1760</v>
      </c>
      <c r="B662" s="9">
        <v>7</v>
      </c>
      <c r="C662" s="257" t="s">
        <v>9682</v>
      </c>
      <c r="D662" s="9">
        <v>1724929.0217895508</v>
      </c>
      <c r="E662" s="9">
        <v>1724929.0217895508</v>
      </c>
      <c r="F662" s="257" t="s">
        <v>14122</v>
      </c>
      <c r="G662" s="9"/>
      <c r="H662" s="257" t="s">
        <v>18828</v>
      </c>
      <c r="I662" s="9">
        <v>1</v>
      </c>
    </row>
    <row r="663" spans="1:9">
      <c r="A663" s="257" t="s">
        <v>1761</v>
      </c>
      <c r="B663" s="9">
        <v>7</v>
      </c>
      <c r="C663" s="257" t="s">
        <v>9683</v>
      </c>
      <c r="D663" s="9">
        <v>13760011449.559141</v>
      </c>
      <c r="E663" s="9">
        <v>1724929.0217895508</v>
      </c>
      <c r="F663" s="257" t="s">
        <v>14122</v>
      </c>
      <c r="G663" s="9"/>
      <c r="H663" s="257" t="s">
        <v>18829</v>
      </c>
      <c r="I663" s="9">
        <v>1</v>
      </c>
    </row>
    <row r="664" spans="1:9">
      <c r="A664" s="257" t="s">
        <v>1762</v>
      </c>
      <c r="B664" s="9">
        <v>7</v>
      </c>
      <c r="C664" s="257" t="s">
        <v>9684</v>
      </c>
      <c r="D664" s="9">
        <v>1</v>
      </c>
      <c r="E664" s="9">
        <v>1724929.0217895508</v>
      </c>
      <c r="F664" s="257" t="s">
        <v>14122</v>
      </c>
      <c r="G664" s="9"/>
      <c r="H664" s="257" t="s">
        <v>18830</v>
      </c>
      <c r="I664" s="9">
        <v>1</v>
      </c>
    </row>
    <row r="665" spans="1:9">
      <c r="A665" s="257" t="s">
        <v>1763</v>
      </c>
      <c r="B665" s="9">
        <v>7</v>
      </c>
      <c r="C665" s="257" t="s">
        <v>9685</v>
      </c>
      <c r="D665" s="9">
        <v>7977.1464655882664</v>
      </c>
      <c r="E665" s="9">
        <v>1724929.0217895508</v>
      </c>
      <c r="F665" s="257" t="s">
        <v>14122</v>
      </c>
      <c r="G665" s="9"/>
      <c r="H665" s="257" t="s">
        <v>18831</v>
      </c>
      <c r="I665" s="9">
        <v>1</v>
      </c>
    </row>
    <row r="666" spans="1:9">
      <c r="A666" s="257" t="s">
        <v>1764</v>
      </c>
      <c r="B666" s="9">
        <v>7</v>
      </c>
      <c r="C666" s="257" t="s">
        <v>9686</v>
      </c>
      <c r="D666" s="9">
        <v>1724929.0217895508</v>
      </c>
      <c r="E666" s="9">
        <v>1724929.0217895508</v>
      </c>
      <c r="F666" s="257" t="s">
        <v>14123</v>
      </c>
      <c r="G666" s="9"/>
      <c r="H666" s="257" t="s">
        <v>18832</v>
      </c>
      <c r="I666" s="9">
        <v>1</v>
      </c>
    </row>
    <row r="667" spans="1:9">
      <c r="A667" s="257" t="s">
        <v>1765</v>
      </c>
      <c r="B667" s="9">
        <v>7</v>
      </c>
      <c r="C667" s="257" t="s">
        <v>9687</v>
      </c>
      <c r="D667" s="9">
        <v>13760011449.559141</v>
      </c>
      <c r="E667" s="9">
        <v>1724929.0217895508</v>
      </c>
      <c r="F667" s="257" t="s">
        <v>14123</v>
      </c>
      <c r="G667" s="9"/>
      <c r="H667" s="257" t="s">
        <v>18833</v>
      </c>
      <c r="I667" s="9">
        <v>1</v>
      </c>
    </row>
    <row r="668" spans="1:9">
      <c r="A668" s="257" t="s">
        <v>1766</v>
      </c>
      <c r="B668" s="9">
        <v>7</v>
      </c>
      <c r="C668" s="257" t="s">
        <v>9688</v>
      </c>
      <c r="D668" s="9">
        <v>1</v>
      </c>
      <c r="E668" s="9">
        <v>1724929.0217895508</v>
      </c>
      <c r="F668" s="257" t="s">
        <v>14123</v>
      </c>
      <c r="G668" s="9"/>
      <c r="H668" s="257" t="s">
        <v>18834</v>
      </c>
      <c r="I668" s="9">
        <v>1</v>
      </c>
    </row>
    <row r="669" spans="1:9">
      <c r="A669" s="257" t="s">
        <v>1767</v>
      </c>
      <c r="B669" s="9">
        <v>7</v>
      </c>
      <c r="C669" s="257" t="s">
        <v>9689</v>
      </c>
      <c r="D669" s="9">
        <v>7977.1464655882664</v>
      </c>
      <c r="E669" s="9">
        <v>1724929.0217895508</v>
      </c>
      <c r="F669" s="257" t="s">
        <v>14123</v>
      </c>
      <c r="G669" s="9"/>
      <c r="H669" s="257" t="s">
        <v>18835</v>
      </c>
      <c r="I669" s="9">
        <v>1</v>
      </c>
    </row>
    <row r="670" spans="1:9">
      <c r="A670" s="257" t="s">
        <v>1768</v>
      </c>
      <c r="B670" s="9">
        <v>7</v>
      </c>
      <c r="C670" s="257" t="s">
        <v>9690</v>
      </c>
      <c r="D670" s="9">
        <v>1724929.0217895508</v>
      </c>
      <c r="E670" s="9">
        <v>1724929.0217895508</v>
      </c>
      <c r="F670" s="257" t="s">
        <v>14124</v>
      </c>
      <c r="G670" s="9"/>
      <c r="H670" s="257" t="s">
        <v>18836</v>
      </c>
      <c r="I670" s="9">
        <v>1</v>
      </c>
    </row>
    <row r="671" spans="1:9">
      <c r="A671" s="257" t="s">
        <v>1769</v>
      </c>
      <c r="B671" s="9">
        <v>7</v>
      </c>
      <c r="C671" s="257" t="s">
        <v>9691</v>
      </c>
      <c r="D671" s="9">
        <v>6925525799.6163054</v>
      </c>
      <c r="E671" s="9">
        <v>1724929.0217895508</v>
      </c>
      <c r="F671" s="257" t="s">
        <v>14124</v>
      </c>
      <c r="G671" s="9"/>
      <c r="H671" s="257" t="s">
        <v>18837</v>
      </c>
      <c r="I671" s="9">
        <v>1</v>
      </c>
    </row>
    <row r="672" spans="1:9">
      <c r="A672" s="257" t="s">
        <v>1770</v>
      </c>
      <c r="B672" s="9">
        <v>7</v>
      </c>
      <c r="C672" s="257" t="s">
        <v>9692</v>
      </c>
      <c r="D672" s="9">
        <v>1</v>
      </c>
      <c r="E672" s="9">
        <v>1724929.0217895508</v>
      </c>
      <c r="F672" s="257" t="s">
        <v>14124</v>
      </c>
      <c r="G672" s="9"/>
      <c r="H672" s="257" t="s">
        <v>18838</v>
      </c>
      <c r="I672" s="9">
        <v>1</v>
      </c>
    </row>
    <row r="673" spans="1:9">
      <c r="A673" s="257" t="s">
        <v>1771</v>
      </c>
      <c r="B673" s="9">
        <v>7</v>
      </c>
      <c r="C673" s="257" t="s">
        <v>9693</v>
      </c>
      <c r="D673" s="9">
        <v>4014.9627678194697</v>
      </c>
      <c r="E673" s="9">
        <v>1724929.0217895508</v>
      </c>
      <c r="F673" s="257" t="s">
        <v>14124</v>
      </c>
      <c r="G673" s="9"/>
      <c r="H673" s="257" t="s">
        <v>18839</v>
      </c>
      <c r="I673" s="9">
        <v>1</v>
      </c>
    </row>
    <row r="674" spans="1:9">
      <c r="A674" s="257" t="s">
        <v>1772</v>
      </c>
      <c r="B674" s="9">
        <v>7</v>
      </c>
      <c r="C674" s="257" t="s">
        <v>9694</v>
      </c>
      <c r="D674" s="9">
        <v>1724929.0217895508</v>
      </c>
      <c r="E674" s="9">
        <v>1724929.0217895508</v>
      </c>
      <c r="F674" s="257" t="s">
        <v>14125</v>
      </c>
      <c r="G674" s="9"/>
      <c r="H674" s="257" t="s">
        <v>18840</v>
      </c>
      <c r="I674" s="9">
        <v>1</v>
      </c>
    </row>
    <row r="675" spans="1:9">
      <c r="A675" s="257" t="s">
        <v>1773</v>
      </c>
      <c r="B675" s="9">
        <v>7</v>
      </c>
      <c r="C675" s="257" t="s">
        <v>9695</v>
      </c>
      <c r="D675" s="9">
        <v>9645397652.3812847</v>
      </c>
      <c r="E675" s="9">
        <v>1724929.0217895508</v>
      </c>
      <c r="F675" s="257" t="s">
        <v>14125</v>
      </c>
      <c r="G675" s="9"/>
      <c r="H675" s="257" t="s">
        <v>18841</v>
      </c>
      <c r="I675" s="9">
        <v>1</v>
      </c>
    </row>
    <row r="676" spans="1:9">
      <c r="A676" s="257" t="s">
        <v>1774</v>
      </c>
      <c r="B676" s="9">
        <v>7</v>
      </c>
      <c r="C676" s="257" t="s">
        <v>9696</v>
      </c>
      <c r="D676" s="9">
        <v>1</v>
      </c>
      <c r="E676" s="9">
        <v>1724929.0217895508</v>
      </c>
      <c r="F676" s="257" t="s">
        <v>14125</v>
      </c>
      <c r="G676" s="9"/>
      <c r="H676" s="257" t="s">
        <v>18842</v>
      </c>
      <c r="I676" s="9">
        <v>1</v>
      </c>
    </row>
    <row r="677" spans="1:9">
      <c r="A677" s="257" t="s">
        <v>1775</v>
      </c>
      <c r="B677" s="9">
        <v>7</v>
      </c>
      <c r="C677" s="257" t="s">
        <v>9697</v>
      </c>
      <c r="D677" s="9">
        <v>5591.7649541165101</v>
      </c>
      <c r="E677" s="9">
        <v>1724929.0217895508</v>
      </c>
      <c r="F677" s="257" t="s">
        <v>14125</v>
      </c>
      <c r="G677" s="9"/>
      <c r="H677" s="257" t="s">
        <v>18843</v>
      </c>
      <c r="I677" s="9">
        <v>1</v>
      </c>
    </row>
    <row r="678" spans="1:9">
      <c r="A678" s="257" t="s">
        <v>1776</v>
      </c>
      <c r="B678" s="9">
        <v>7</v>
      </c>
      <c r="C678" s="257" t="s">
        <v>9698</v>
      </c>
      <c r="D678" s="9">
        <v>1311616.5118942261</v>
      </c>
      <c r="E678" s="9">
        <v>1724929.0217895508</v>
      </c>
      <c r="F678" s="257" t="s">
        <v>14126</v>
      </c>
      <c r="G678" s="9"/>
      <c r="H678" s="257" t="s">
        <v>18844</v>
      </c>
      <c r="I678" s="9">
        <v>1</v>
      </c>
    </row>
    <row r="679" spans="1:9">
      <c r="A679" s="257" t="s">
        <v>1777</v>
      </c>
      <c r="B679" s="9">
        <v>7</v>
      </c>
      <c r="C679" s="257" t="s">
        <v>9699</v>
      </c>
      <c r="D679" s="9">
        <v>12139105858.623127</v>
      </c>
      <c r="E679" s="9">
        <v>1724929.0217895508</v>
      </c>
      <c r="F679" s="257" t="s">
        <v>14126</v>
      </c>
      <c r="G679" s="9"/>
      <c r="H679" s="257" t="s">
        <v>18845</v>
      </c>
      <c r="I679" s="9">
        <v>1</v>
      </c>
    </row>
    <row r="680" spans="1:9">
      <c r="A680" s="257" t="s">
        <v>1778</v>
      </c>
      <c r="B680" s="9">
        <v>7</v>
      </c>
      <c r="C680" s="257" t="s">
        <v>9700</v>
      </c>
      <c r="D680" s="9">
        <v>0.76038868575210816</v>
      </c>
      <c r="E680" s="9">
        <v>1724929.0217895508</v>
      </c>
      <c r="F680" s="257" t="s">
        <v>14126</v>
      </c>
      <c r="G680" s="9"/>
      <c r="H680" s="257" t="s">
        <v>18846</v>
      </c>
      <c r="I680" s="9">
        <v>1</v>
      </c>
    </row>
    <row r="681" spans="1:9">
      <c r="A681" s="257" t="s">
        <v>1779</v>
      </c>
      <c r="B681" s="9">
        <v>7</v>
      </c>
      <c r="C681" s="257" t="s">
        <v>9701</v>
      </c>
      <c r="D681" s="9">
        <v>7037.4523851591575</v>
      </c>
      <c r="E681" s="9">
        <v>1724929.0217895508</v>
      </c>
      <c r="F681" s="257" t="s">
        <v>14126</v>
      </c>
      <c r="G681" s="9"/>
      <c r="H681" s="257" t="s">
        <v>18847</v>
      </c>
      <c r="I681" s="9">
        <v>1</v>
      </c>
    </row>
    <row r="682" spans="1:9">
      <c r="A682" s="257" t="s">
        <v>1780</v>
      </c>
      <c r="B682" s="9">
        <v>7</v>
      </c>
      <c r="C682" s="257" t="s">
        <v>9702</v>
      </c>
      <c r="D682" s="9">
        <v>1724929.0217895508</v>
      </c>
      <c r="E682" s="9">
        <v>1724929.0217895508</v>
      </c>
      <c r="F682" s="257" t="s">
        <v>14127</v>
      </c>
      <c r="G682" s="9"/>
      <c r="H682" s="257" t="s">
        <v>18848</v>
      </c>
      <c r="I682" s="9">
        <v>1</v>
      </c>
    </row>
    <row r="683" spans="1:9">
      <c r="A683" s="257" t="s">
        <v>1781</v>
      </c>
      <c r="B683" s="9">
        <v>7</v>
      </c>
      <c r="C683" s="257" t="s">
        <v>9703</v>
      </c>
      <c r="D683" s="9">
        <v>1936937735.2772706</v>
      </c>
      <c r="E683" s="9">
        <v>1724929.0217895508</v>
      </c>
      <c r="F683" s="257" t="s">
        <v>14127</v>
      </c>
      <c r="G683" s="9"/>
      <c r="H683" s="257" t="s">
        <v>18849</v>
      </c>
      <c r="I683" s="9">
        <v>1</v>
      </c>
    </row>
    <row r="684" spans="1:9">
      <c r="A684" s="257" t="s">
        <v>1782</v>
      </c>
      <c r="B684" s="9">
        <v>7</v>
      </c>
      <c r="C684" s="257" t="s">
        <v>9704</v>
      </c>
      <c r="D684" s="9">
        <v>1</v>
      </c>
      <c r="E684" s="9">
        <v>1724929.0217895508</v>
      </c>
      <c r="F684" s="257" t="s">
        <v>14127</v>
      </c>
      <c r="G684" s="9"/>
      <c r="H684" s="257" t="s">
        <v>18850</v>
      </c>
      <c r="I684" s="9">
        <v>1</v>
      </c>
    </row>
    <row r="685" spans="1:9">
      <c r="A685" s="257" t="s">
        <v>1783</v>
      </c>
      <c r="B685" s="9">
        <v>7</v>
      </c>
      <c r="C685" s="257" t="s">
        <v>9705</v>
      </c>
      <c r="D685" s="9">
        <v>1122.9086593184968</v>
      </c>
      <c r="E685" s="9">
        <v>1724929.0217895508</v>
      </c>
      <c r="F685" s="257" t="s">
        <v>14127</v>
      </c>
      <c r="G685" s="9"/>
      <c r="H685" s="257" t="s">
        <v>18851</v>
      </c>
      <c r="I685" s="9">
        <v>1</v>
      </c>
    </row>
    <row r="686" spans="1:9">
      <c r="A686" s="257" t="s">
        <v>1784</v>
      </c>
      <c r="B686" s="9">
        <v>7</v>
      </c>
      <c r="C686" s="257" t="s">
        <v>9706</v>
      </c>
      <c r="D686" s="9">
        <v>1724929.0217895508</v>
      </c>
      <c r="E686" s="9">
        <v>1724929.0217895508</v>
      </c>
      <c r="F686" s="257" t="s">
        <v>14128</v>
      </c>
      <c r="G686" s="9"/>
      <c r="H686" s="257" t="s">
        <v>18852</v>
      </c>
      <c r="I686" s="9">
        <v>1</v>
      </c>
    </row>
    <row r="687" spans="1:9">
      <c r="A687" s="257" t="s">
        <v>1785</v>
      </c>
      <c r="B687" s="9">
        <v>7</v>
      </c>
      <c r="C687" s="257" t="s">
        <v>9707</v>
      </c>
      <c r="D687" s="9">
        <v>14076043593.900398</v>
      </c>
      <c r="E687" s="9">
        <v>1724929.0217895508</v>
      </c>
      <c r="F687" s="257" t="s">
        <v>14128</v>
      </c>
      <c r="G687" s="9"/>
      <c r="H687" s="257" t="s">
        <v>18853</v>
      </c>
      <c r="I687" s="9">
        <v>1</v>
      </c>
    </row>
    <row r="688" spans="1:9">
      <c r="A688" s="257" t="s">
        <v>1786</v>
      </c>
      <c r="B688" s="9">
        <v>7</v>
      </c>
      <c r="C688" s="257" t="s">
        <v>9708</v>
      </c>
      <c r="D688" s="9">
        <v>1</v>
      </c>
      <c r="E688" s="9">
        <v>1724929.0217895508</v>
      </c>
      <c r="F688" s="257" t="s">
        <v>14128</v>
      </c>
      <c r="G688" s="9"/>
      <c r="H688" s="257" t="s">
        <v>18854</v>
      </c>
      <c r="I688" s="9">
        <v>1</v>
      </c>
    </row>
    <row r="689" spans="1:9">
      <c r="A689" s="257" t="s">
        <v>1787</v>
      </c>
      <c r="B689" s="9">
        <v>7</v>
      </c>
      <c r="C689" s="257" t="s">
        <v>9709</v>
      </c>
      <c r="D689" s="9">
        <v>8160.361044477655</v>
      </c>
      <c r="E689" s="9">
        <v>1724929.0217895508</v>
      </c>
      <c r="F689" s="257" t="s">
        <v>14128</v>
      </c>
      <c r="G689" s="9"/>
      <c r="H689" s="257" t="s">
        <v>18855</v>
      </c>
      <c r="I689" s="9">
        <v>1</v>
      </c>
    </row>
    <row r="690" spans="1:9">
      <c r="A690" s="257" t="s">
        <v>1788</v>
      </c>
      <c r="B690" s="9">
        <v>7</v>
      </c>
      <c r="C690" s="257" t="s">
        <v>9710</v>
      </c>
      <c r="D690" s="9">
        <v>179535.82540893555</v>
      </c>
      <c r="E690" s="9">
        <v>1724929.0217895508</v>
      </c>
      <c r="F690" s="257" t="s">
        <v>14129</v>
      </c>
      <c r="G690" s="9"/>
      <c r="H690" s="257" t="s">
        <v>18856</v>
      </c>
      <c r="I690" s="9">
        <v>1</v>
      </c>
    </row>
    <row r="691" spans="1:9">
      <c r="A691" s="257" t="s">
        <v>1789</v>
      </c>
      <c r="B691" s="9">
        <v>7</v>
      </c>
      <c r="C691" s="257" t="s">
        <v>9711</v>
      </c>
      <c r="D691" s="9">
        <v>316032144.34125698</v>
      </c>
      <c r="E691" s="9">
        <v>1724929.0217895508</v>
      </c>
      <c r="F691" s="257" t="s">
        <v>14129</v>
      </c>
      <c r="G691" s="9"/>
      <c r="H691" s="257" t="s">
        <v>18857</v>
      </c>
      <c r="I691" s="9">
        <v>1</v>
      </c>
    </row>
    <row r="692" spans="1:9">
      <c r="A692" s="257" t="s">
        <v>1790</v>
      </c>
      <c r="B692" s="9">
        <v>7</v>
      </c>
      <c r="C692" s="257" t="s">
        <v>9712</v>
      </c>
      <c r="D692" s="9">
        <v>0.10408302204961088</v>
      </c>
      <c r="E692" s="9">
        <v>1724929.0217895508</v>
      </c>
      <c r="F692" s="257" t="s">
        <v>14129</v>
      </c>
      <c r="G692" s="9"/>
      <c r="H692" s="257" t="s">
        <v>18858</v>
      </c>
      <c r="I692" s="9">
        <v>1</v>
      </c>
    </row>
    <row r="693" spans="1:9">
      <c r="A693" s="257" t="s">
        <v>1791</v>
      </c>
      <c r="B693" s="9">
        <v>7</v>
      </c>
      <c r="C693" s="257" t="s">
        <v>9713</v>
      </c>
      <c r="D693" s="9">
        <v>183.21457888938826</v>
      </c>
      <c r="E693" s="9">
        <v>1724929.0217895508</v>
      </c>
      <c r="F693" s="257" t="s">
        <v>14129</v>
      </c>
      <c r="G693" s="9"/>
      <c r="H693" s="257" t="s">
        <v>18859</v>
      </c>
      <c r="I693" s="9">
        <v>1</v>
      </c>
    </row>
    <row r="694" spans="1:9">
      <c r="A694" s="257" t="s">
        <v>1792</v>
      </c>
      <c r="B694" s="9">
        <v>7</v>
      </c>
      <c r="C694" s="257" t="s">
        <v>9714</v>
      </c>
      <c r="D694" s="9">
        <v>1147029.032371521</v>
      </c>
      <c r="E694" s="9">
        <v>1724929.0217895508</v>
      </c>
      <c r="F694" s="257" t="s">
        <v>14130</v>
      </c>
      <c r="G694" s="9"/>
      <c r="H694" s="257" t="s">
        <v>18860</v>
      </c>
      <c r="I694" s="9">
        <v>1</v>
      </c>
    </row>
    <row r="695" spans="1:9">
      <c r="A695" s="257" t="s">
        <v>1793</v>
      </c>
      <c r="B695" s="9">
        <v>7</v>
      </c>
      <c r="C695" s="257" t="s">
        <v>9715</v>
      </c>
      <c r="D695" s="9">
        <v>2719871852.7649794</v>
      </c>
      <c r="E695" s="9">
        <v>1724929.0217895508</v>
      </c>
      <c r="F695" s="257" t="s">
        <v>14130</v>
      </c>
      <c r="G695" s="9"/>
      <c r="H695" s="257" t="s">
        <v>18861</v>
      </c>
      <c r="I695" s="9">
        <v>1</v>
      </c>
    </row>
    <row r="696" spans="1:9">
      <c r="A696" s="257" t="s">
        <v>1794</v>
      </c>
      <c r="B696" s="9">
        <v>7</v>
      </c>
      <c r="C696" s="257" t="s">
        <v>9716</v>
      </c>
      <c r="D696" s="9">
        <v>0.66497172804334892</v>
      </c>
      <c r="E696" s="9">
        <v>1724929.0217895508</v>
      </c>
      <c r="F696" s="257" t="s">
        <v>14130</v>
      </c>
      <c r="G696" s="9"/>
      <c r="H696" s="257" t="s">
        <v>18862</v>
      </c>
      <c r="I696" s="9">
        <v>1</v>
      </c>
    </row>
    <row r="697" spans="1:9">
      <c r="A697" s="257" t="s">
        <v>1795</v>
      </c>
      <c r="B697" s="9">
        <v>7</v>
      </c>
      <c r="C697" s="257" t="s">
        <v>9717</v>
      </c>
      <c r="D697" s="9">
        <v>1576.8021862970406</v>
      </c>
      <c r="E697" s="9">
        <v>1724929.0217895508</v>
      </c>
      <c r="F697" s="257" t="s">
        <v>14130</v>
      </c>
      <c r="G697" s="9"/>
      <c r="H697" s="257" t="s">
        <v>18863</v>
      </c>
      <c r="I697" s="9">
        <v>1</v>
      </c>
    </row>
    <row r="698" spans="1:9">
      <c r="A698" s="257" t="s">
        <v>1796</v>
      </c>
      <c r="B698" s="9">
        <v>7</v>
      </c>
      <c r="C698" s="257" t="s">
        <v>9718</v>
      </c>
      <c r="D698" s="9">
        <v>0</v>
      </c>
      <c r="E698" s="9">
        <v>1724929.0217895508</v>
      </c>
      <c r="F698" s="257" t="s">
        <v>14131</v>
      </c>
      <c r="G698" s="9"/>
      <c r="H698" s="257" t="s">
        <v>18864</v>
      </c>
      <c r="I698" s="9">
        <v>1</v>
      </c>
    </row>
    <row r="699" spans="1:9">
      <c r="A699" s="257" t="s">
        <v>1797</v>
      </c>
      <c r="B699" s="9">
        <v>7</v>
      </c>
      <c r="C699" s="257" t="s">
        <v>9719</v>
      </c>
      <c r="D699" s="9">
        <v>0</v>
      </c>
      <c r="E699" s="9">
        <v>1724929.0217895508</v>
      </c>
      <c r="F699" s="257" t="s">
        <v>14131</v>
      </c>
      <c r="G699" s="9"/>
      <c r="H699" s="257" t="s">
        <v>18865</v>
      </c>
      <c r="I699" s="9">
        <v>1</v>
      </c>
    </row>
    <row r="700" spans="1:9">
      <c r="A700" s="257" t="s">
        <v>1798</v>
      </c>
      <c r="B700" s="9">
        <v>7</v>
      </c>
      <c r="C700" s="257" t="s">
        <v>9720</v>
      </c>
      <c r="D700" s="9">
        <v>0</v>
      </c>
      <c r="E700" s="9">
        <v>1724929.0217895508</v>
      </c>
      <c r="F700" s="257" t="s">
        <v>14131</v>
      </c>
      <c r="G700" s="9"/>
      <c r="H700" s="257" t="s">
        <v>18866</v>
      </c>
      <c r="I700" s="9">
        <v>1</v>
      </c>
    </row>
    <row r="701" spans="1:9">
      <c r="A701" s="257" t="s">
        <v>1799</v>
      </c>
      <c r="B701" s="9">
        <v>7</v>
      </c>
      <c r="C701" s="257" t="s">
        <v>9721</v>
      </c>
      <c r="D701" s="9">
        <v>0</v>
      </c>
      <c r="E701" s="9">
        <v>1724929.0217895508</v>
      </c>
      <c r="F701" s="257" t="s">
        <v>14131</v>
      </c>
      <c r="G701" s="9"/>
      <c r="H701" s="257" t="s">
        <v>18867</v>
      </c>
      <c r="I701" s="9">
        <v>1</v>
      </c>
    </row>
    <row r="702" spans="1:9">
      <c r="A702" s="257" t="s">
        <v>1800</v>
      </c>
      <c r="B702" s="9">
        <v>8</v>
      </c>
      <c r="C702" s="257" t="s">
        <v>9722</v>
      </c>
      <c r="D702" s="9">
        <v>1369300.6716537476</v>
      </c>
      <c r="E702" s="9">
        <v>1724851.1857852936</v>
      </c>
      <c r="F702" s="257" t="s">
        <v>14132</v>
      </c>
      <c r="G702" s="9"/>
      <c r="H702" s="257" t="s">
        <v>18868</v>
      </c>
      <c r="I702" s="9">
        <v>1</v>
      </c>
    </row>
    <row r="703" spans="1:9">
      <c r="A703" s="257" t="s">
        <v>1801</v>
      </c>
      <c r="B703" s="9">
        <v>8</v>
      </c>
      <c r="C703" s="257" t="s">
        <v>9723</v>
      </c>
      <c r="D703" s="9">
        <v>8762097283.3933773</v>
      </c>
      <c r="E703" s="9">
        <v>1724851.1857852936</v>
      </c>
      <c r="F703" s="257" t="s">
        <v>14132</v>
      </c>
      <c r="G703" s="9"/>
      <c r="H703" s="257" t="s">
        <v>18869</v>
      </c>
      <c r="I703" s="9">
        <v>1</v>
      </c>
    </row>
    <row r="704" spans="1:9">
      <c r="A704" s="257" t="s">
        <v>1802</v>
      </c>
      <c r="B704" s="9">
        <v>8</v>
      </c>
      <c r="C704" s="257" t="s">
        <v>9724</v>
      </c>
      <c r="D704" s="9">
        <v>0.79386597692503524</v>
      </c>
      <c r="E704" s="9">
        <v>1724851.1857852936</v>
      </c>
      <c r="F704" s="257" t="s">
        <v>14132</v>
      </c>
      <c r="G704" s="9"/>
      <c r="H704" s="257" t="s">
        <v>18870</v>
      </c>
      <c r="I704" s="9">
        <v>1</v>
      </c>
    </row>
    <row r="705" spans="1:9">
      <c r="A705" s="257" t="s">
        <v>1803</v>
      </c>
      <c r="B705" s="9">
        <v>8</v>
      </c>
      <c r="C705" s="257" t="s">
        <v>9725</v>
      </c>
      <c r="D705" s="9">
        <v>5079.9149257645395</v>
      </c>
      <c r="E705" s="9">
        <v>1724851.1857852936</v>
      </c>
      <c r="F705" s="257" t="s">
        <v>14132</v>
      </c>
      <c r="G705" s="9"/>
      <c r="H705" s="257" t="s">
        <v>18871</v>
      </c>
      <c r="I705" s="9">
        <v>1</v>
      </c>
    </row>
    <row r="706" spans="1:9">
      <c r="A706" s="257" t="s">
        <v>1804</v>
      </c>
      <c r="B706" s="9">
        <v>8</v>
      </c>
      <c r="C706" s="257" t="s">
        <v>9726</v>
      </c>
      <c r="D706" s="9">
        <v>0</v>
      </c>
      <c r="E706" s="9">
        <v>1724851.1857852936</v>
      </c>
      <c r="F706" s="257" t="s">
        <v>14133</v>
      </c>
      <c r="G706" s="9"/>
      <c r="H706" s="257" t="s">
        <v>18872</v>
      </c>
      <c r="I706" s="9">
        <v>1</v>
      </c>
    </row>
    <row r="707" spans="1:9">
      <c r="A707" s="257" t="s">
        <v>1805</v>
      </c>
      <c r="B707" s="9">
        <v>8</v>
      </c>
      <c r="C707" s="257" t="s">
        <v>9727</v>
      </c>
      <c r="D707" s="9">
        <v>0</v>
      </c>
      <c r="E707" s="9">
        <v>1724851.1857852936</v>
      </c>
      <c r="F707" s="257" t="s">
        <v>14133</v>
      </c>
      <c r="G707" s="9"/>
      <c r="H707" s="257" t="s">
        <v>18873</v>
      </c>
      <c r="I707" s="9">
        <v>1</v>
      </c>
    </row>
    <row r="708" spans="1:9">
      <c r="A708" s="257" t="s">
        <v>1806</v>
      </c>
      <c r="B708" s="9">
        <v>8</v>
      </c>
      <c r="C708" s="257" t="s">
        <v>9728</v>
      </c>
      <c r="D708" s="9">
        <v>0</v>
      </c>
      <c r="E708" s="9">
        <v>1724851.1857852936</v>
      </c>
      <c r="F708" s="257" t="s">
        <v>14133</v>
      </c>
      <c r="G708" s="9"/>
      <c r="H708" s="257" t="s">
        <v>18874</v>
      </c>
      <c r="I708" s="9">
        <v>1</v>
      </c>
    </row>
    <row r="709" spans="1:9">
      <c r="A709" s="257" t="s">
        <v>1807</v>
      </c>
      <c r="B709" s="9">
        <v>8</v>
      </c>
      <c r="C709" s="257" t="s">
        <v>9729</v>
      </c>
      <c r="D709" s="9">
        <v>0</v>
      </c>
      <c r="E709" s="9">
        <v>1724851.1857852936</v>
      </c>
      <c r="F709" s="257" t="s">
        <v>14133</v>
      </c>
      <c r="G709" s="9"/>
      <c r="H709" s="257" t="s">
        <v>18875</v>
      </c>
      <c r="I709" s="9">
        <v>1</v>
      </c>
    </row>
    <row r="710" spans="1:9">
      <c r="A710" s="257" t="s">
        <v>1808</v>
      </c>
      <c r="B710" s="9">
        <v>8</v>
      </c>
      <c r="C710" s="257" t="s">
        <v>9730</v>
      </c>
      <c r="D710" s="9">
        <v>0</v>
      </c>
      <c r="E710" s="9">
        <v>1724851.1857852936</v>
      </c>
      <c r="F710" s="257" t="s">
        <v>14134</v>
      </c>
      <c r="G710" s="9"/>
      <c r="H710" s="257" t="s">
        <v>18876</v>
      </c>
      <c r="I710" s="9">
        <v>1</v>
      </c>
    </row>
    <row r="711" spans="1:9">
      <c r="A711" s="257" t="s">
        <v>1809</v>
      </c>
      <c r="B711" s="9">
        <v>8</v>
      </c>
      <c r="C711" s="257" t="s">
        <v>9731</v>
      </c>
      <c r="D711" s="9">
        <v>0</v>
      </c>
      <c r="E711" s="9">
        <v>1724851.1857852936</v>
      </c>
      <c r="F711" s="257" t="s">
        <v>14134</v>
      </c>
      <c r="G711" s="9"/>
      <c r="H711" s="257" t="s">
        <v>18877</v>
      </c>
      <c r="I711" s="9">
        <v>1</v>
      </c>
    </row>
    <row r="712" spans="1:9">
      <c r="A712" s="257" t="s">
        <v>1810</v>
      </c>
      <c r="B712" s="9">
        <v>8</v>
      </c>
      <c r="C712" s="257" t="s">
        <v>9732</v>
      </c>
      <c r="D712" s="9">
        <v>0</v>
      </c>
      <c r="E712" s="9">
        <v>1724851.1857852936</v>
      </c>
      <c r="F712" s="257" t="s">
        <v>14134</v>
      </c>
      <c r="G712" s="9"/>
      <c r="H712" s="257" t="s">
        <v>18878</v>
      </c>
      <c r="I712" s="9">
        <v>1</v>
      </c>
    </row>
    <row r="713" spans="1:9">
      <c r="A713" s="257" t="s">
        <v>1811</v>
      </c>
      <c r="B713" s="9">
        <v>8</v>
      </c>
      <c r="C713" s="257" t="s">
        <v>9733</v>
      </c>
      <c r="D713" s="9">
        <v>0</v>
      </c>
      <c r="E713" s="9">
        <v>1724851.1857852936</v>
      </c>
      <c r="F713" s="257" t="s">
        <v>14134</v>
      </c>
      <c r="G713" s="9"/>
      <c r="H713" s="257" t="s">
        <v>18879</v>
      </c>
      <c r="I713" s="9">
        <v>1</v>
      </c>
    </row>
    <row r="714" spans="1:9">
      <c r="A714" s="257" t="s">
        <v>1812</v>
      </c>
      <c r="B714" s="9">
        <v>8</v>
      </c>
      <c r="C714" s="257" t="s">
        <v>9734</v>
      </c>
      <c r="D714" s="9">
        <v>0</v>
      </c>
      <c r="E714" s="9">
        <v>1724851.1857852936</v>
      </c>
      <c r="F714" s="257" t="s">
        <v>14135</v>
      </c>
      <c r="G714" s="9"/>
      <c r="H714" s="257" t="s">
        <v>18880</v>
      </c>
      <c r="I714" s="9">
        <v>1</v>
      </c>
    </row>
    <row r="715" spans="1:9">
      <c r="A715" s="257" t="s">
        <v>1813</v>
      </c>
      <c r="B715" s="9">
        <v>8</v>
      </c>
      <c r="C715" s="257" t="s">
        <v>9735</v>
      </c>
      <c r="D715" s="9">
        <v>0</v>
      </c>
      <c r="E715" s="9">
        <v>1724851.1857852936</v>
      </c>
      <c r="F715" s="257" t="s">
        <v>14135</v>
      </c>
      <c r="G715" s="9"/>
      <c r="H715" s="257" t="s">
        <v>18881</v>
      </c>
      <c r="I715" s="9">
        <v>1</v>
      </c>
    </row>
    <row r="716" spans="1:9">
      <c r="A716" s="257" t="s">
        <v>1814</v>
      </c>
      <c r="B716" s="9">
        <v>8</v>
      </c>
      <c r="C716" s="257" t="s">
        <v>9736</v>
      </c>
      <c r="D716" s="9">
        <v>0</v>
      </c>
      <c r="E716" s="9">
        <v>1724851.1857852936</v>
      </c>
      <c r="F716" s="257" t="s">
        <v>14135</v>
      </c>
      <c r="G716" s="9"/>
      <c r="H716" s="257" t="s">
        <v>18882</v>
      </c>
      <c r="I716" s="9">
        <v>1</v>
      </c>
    </row>
    <row r="717" spans="1:9">
      <c r="A717" s="257" t="s">
        <v>1815</v>
      </c>
      <c r="B717" s="9">
        <v>8</v>
      </c>
      <c r="C717" s="257" t="s">
        <v>9737</v>
      </c>
      <c r="D717" s="9">
        <v>0</v>
      </c>
      <c r="E717" s="9">
        <v>1724851.1857852936</v>
      </c>
      <c r="F717" s="257" t="s">
        <v>14135</v>
      </c>
      <c r="G717" s="9"/>
      <c r="H717" s="257" t="s">
        <v>18883</v>
      </c>
      <c r="I717" s="9">
        <v>1</v>
      </c>
    </row>
    <row r="718" spans="1:9">
      <c r="A718" s="257" t="s">
        <v>1816</v>
      </c>
      <c r="B718" s="9">
        <v>8</v>
      </c>
      <c r="C718" s="257" t="s">
        <v>9738</v>
      </c>
      <c r="D718" s="9">
        <v>0</v>
      </c>
      <c r="E718" s="9">
        <v>1724851.1857852936</v>
      </c>
      <c r="F718" s="257" t="s">
        <v>14136</v>
      </c>
      <c r="G718" s="9"/>
      <c r="H718" s="257" t="s">
        <v>18884</v>
      </c>
      <c r="I718" s="9">
        <v>1</v>
      </c>
    </row>
    <row r="719" spans="1:9">
      <c r="A719" s="257" t="s">
        <v>1817</v>
      </c>
      <c r="B719" s="9">
        <v>8</v>
      </c>
      <c r="C719" s="257" t="s">
        <v>9739</v>
      </c>
      <c r="D719" s="9">
        <v>0</v>
      </c>
      <c r="E719" s="9">
        <v>1724851.1857852936</v>
      </c>
      <c r="F719" s="257" t="s">
        <v>14136</v>
      </c>
      <c r="G719" s="9"/>
      <c r="H719" s="257" t="s">
        <v>18885</v>
      </c>
      <c r="I719" s="9">
        <v>1</v>
      </c>
    </row>
    <row r="720" spans="1:9">
      <c r="A720" s="257" t="s">
        <v>1818</v>
      </c>
      <c r="B720" s="9">
        <v>8</v>
      </c>
      <c r="C720" s="257" t="s">
        <v>9740</v>
      </c>
      <c r="D720" s="9">
        <v>0</v>
      </c>
      <c r="E720" s="9">
        <v>1724851.1857852936</v>
      </c>
      <c r="F720" s="257" t="s">
        <v>14136</v>
      </c>
      <c r="G720" s="9"/>
      <c r="H720" s="257" t="s">
        <v>18886</v>
      </c>
      <c r="I720" s="9">
        <v>1</v>
      </c>
    </row>
    <row r="721" spans="1:9">
      <c r="A721" s="257" t="s">
        <v>1819</v>
      </c>
      <c r="B721" s="9">
        <v>8</v>
      </c>
      <c r="C721" s="257" t="s">
        <v>9741</v>
      </c>
      <c r="D721" s="9">
        <v>0</v>
      </c>
      <c r="E721" s="9">
        <v>1724851.1857852936</v>
      </c>
      <c r="F721" s="257" t="s">
        <v>14136</v>
      </c>
      <c r="G721" s="9"/>
      <c r="H721" s="257" t="s">
        <v>18887</v>
      </c>
      <c r="I721" s="9">
        <v>1</v>
      </c>
    </row>
    <row r="722" spans="1:9">
      <c r="A722" s="257" t="s">
        <v>1820</v>
      </c>
      <c r="B722" s="9">
        <v>8</v>
      </c>
      <c r="C722" s="257" t="s">
        <v>9742</v>
      </c>
      <c r="D722" s="9">
        <v>0</v>
      </c>
      <c r="E722" s="9">
        <v>1724851.1857852936</v>
      </c>
      <c r="F722" s="257" t="s">
        <v>14137</v>
      </c>
      <c r="G722" s="9"/>
      <c r="H722" s="257" t="s">
        <v>18888</v>
      </c>
      <c r="I722" s="9">
        <v>1</v>
      </c>
    </row>
    <row r="723" spans="1:9">
      <c r="A723" s="257" t="s">
        <v>1821</v>
      </c>
      <c r="B723" s="9">
        <v>8</v>
      </c>
      <c r="C723" s="257" t="s">
        <v>9743</v>
      </c>
      <c r="D723" s="9">
        <v>0</v>
      </c>
      <c r="E723" s="9">
        <v>1724851.1857852936</v>
      </c>
      <c r="F723" s="257" t="s">
        <v>14137</v>
      </c>
      <c r="G723" s="9"/>
      <c r="H723" s="257" t="s">
        <v>18889</v>
      </c>
      <c r="I723" s="9">
        <v>1</v>
      </c>
    </row>
    <row r="724" spans="1:9">
      <c r="A724" s="257" t="s">
        <v>1822</v>
      </c>
      <c r="B724" s="9">
        <v>8</v>
      </c>
      <c r="C724" s="257" t="s">
        <v>9744</v>
      </c>
      <c r="D724" s="9">
        <v>0</v>
      </c>
      <c r="E724" s="9">
        <v>1724851.1857852936</v>
      </c>
      <c r="F724" s="257" t="s">
        <v>14137</v>
      </c>
      <c r="G724" s="9"/>
      <c r="H724" s="257" t="s">
        <v>18890</v>
      </c>
      <c r="I724" s="9">
        <v>1</v>
      </c>
    </row>
    <row r="725" spans="1:9">
      <c r="A725" s="257" t="s">
        <v>1823</v>
      </c>
      <c r="B725" s="9">
        <v>8</v>
      </c>
      <c r="C725" s="257" t="s">
        <v>9745</v>
      </c>
      <c r="D725" s="9">
        <v>0</v>
      </c>
      <c r="E725" s="9">
        <v>1724851.1857852936</v>
      </c>
      <c r="F725" s="257" t="s">
        <v>14137</v>
      </c>
      <c r="G725" s="9"/>
      <c r="H725" s="257" t="s">
        <v>18891</v>
      </c>
      <c r="I725" s="9">
        <v>1</v>
      </c>
    </row>
    <row r="726" spans="1:9">
      <c r="A726" s="257" t="s">
        <v>1824</v>
      </c>
      <c r="B726" s="9">
        <v>8</v>
      </c>
      <c r="C726" s="257" t="s">
        <v>9746</v>
      </c>
      <c r="D726" s="9">
        <v>0</v>
      </c>
      <c r="E726" s="9">
        <v>1724851.1857852936</v>
      </c>
      <c r="F726" s="257" t="s">
        <v>14138</v>
      </c>
      <c r="G726" s="9"/>
      <c r="H726" s="257" t="s">
        <v>18892</v>
      </c>
      <c r="I726" s="9">
        <v>1</v>
      </c>
    </row>
    <row r="727" spans="1:9">
      <c r="A727" s="257" t="s">
        <v>1825</v>
      </c>
      <c r="B727" s="9">
        <v>8</v>
      </c>
      <c r="C727" s="257" t="s">
        <v>9747</v>
      </c>
      <c r="D727" s="9">
        <v>0</v>
      </c>
      <c r="E727" s="9">
        <v>1724851.1857852936</v>
      </c>
      <c r="F727" s="257" t="s">
        <v>14138</v>
      </c>
      <c r="G727" s="9"/>
      <c r="H727" s="257" t="s">
        <v>18893</v>
      </c>
      <c r="I727" s="9">
        <v>1</v>
      </c>
    </row>
    <row r="728" spans="1:9">
      <c r="A728" s="257" t="s">
        <v>1826</v>
      </c>
      <c r="B728" s="9">
        <v>8</v>
      </c>
      <c r="C728" s="257" t="s">
        <v>9748</v>
      </c>
      <c r="D728" s="9">
        <v>0</v>
      </c>
      <c r="E728" s="9">
        <v>1724851.1857852936</v>
      </c>
      <c r="F728" s="257" t="s">
        <v>14138</v>
      </c>
      <c r="G728" s="9"/>
      <c r="H728" s="257" t="s">
        <v>18894</v>
      </c>
      <c r="I728" s="9">
        <v>1</v>
      </c>
    </row>
    <row r="729" spans="1:9">
      <c r="A729" s="257" t="s">
        <v>1827</v>
      </c>
      <c r="B729" s="9">
        <v>8</v>
      </c>
      <c r="C729" s="257" t="s">
        <v>9749</v>
      </c>
      <c r="D729" s="9">
        <v>0</v>
      </c>
      <c r="E729" s="9">
        <v>1724851.1857852936</v>
      </c>
      <c r="F729" s="257" t="s">
        <v>14138</v>
      </c>
      <c r="G729" s="9"/>
      <c r="H729" s="257" t="s">
        <v>18895</v>
      </c>
      <c r="I729" s="9">
        <v>1</v>
      </c>
    </row>
    <row r="730" spans="1:9">
      <c r="A730" s="257" t="s">
        <v>1828</v>
      </c>
      <c r="B730" s="9">
        <v>8</v>
      </c>
      <c r="C730" s="257" t="s">
        <v>9750</v>
      </c>
      <c r="D730" s="9">
        <v>0</v>
      </c>
      <c r="E730" s="9">
        <v>1724851.1857852936</v>
      </c>
      <c r="F730" s="257" t="s">
        <v>14139</v>
      </c>
      <c r="G730" s="9"/>
      <c r="H730" s="257" t="s">
        <v>18896</v>
      </c>
      <c r="I730" s="9">
        <v>1</v>
      </c>
    </row>
    <row r="731" spans="1:9">
      <c r="A731" s="257" t="s">
        <v>1829</v>
      </c>
      <c r="B731" s="9">
        <v>8</v>
      </c>
      <c r="C731" s="257" t="s">
        <v>9751</v>
      </c>
      <c r="D731" s="9">
        <v>0</v>
      </c>
      <c r="E731" s="9">
        <v>1724851.1857852936</v>
      </c>
      <c r="F731" s="257" t="s">
        <v>14139</v>
      </c>
      <c r="G731" s="9"/>
      <c r="H731" s="257" t="s">
        <v>18897</v>
      </c>
      <c r="I731" s="9">
        <v>1</v>
      </c>
    </row>
    <row r="732" spans="1:9">
      <c r="A732" s="257" t="s">
        <v>1830</v>
      </c>
      <c r="B732" s="9">
        <v>8</v>
      </c>
      <c r="C732" s="257" t="s">
        <v>9752</v>
      </c>
      <c r="D732" s="9">
        <v>0</v>
      </c>
      <c r="E732" s="9">
        <v>1724851.1857852936</v>
      </c>
      <c r="F732" s="257" t="s">
        <v>14139</v>
      </c>
      <c r="G732" s="9"/>
      <c r="H732" s="257" t="s">
        <v>18898</v>
      </c>
      <c r="I732" s="9">
        <v>1</v>
      </c>
    </row>
    <row r="733" spans="1:9">
      <c r="A733" s="257" t="s">
        <v>1831</v>
      </c>
      <c r="B733" s="9">
        <v>8</v>
      </c>
      <c r="C733" s="257" t="s">
        <v>9753</v>
      </c>
      <c r="D733" s="9">
        <v>0</v>
      </c>
      <c r="E733" s="9">
        <v>1724851.1857852936</v>
      </c>
      <c r="F733" s="257" t="s">
        <v>14139</v>
      </c>
      <c r="G733" s="9"/>
      <c r="H733" s="257" t="s">
        <v>18899</v>
      </c>
      <c r="I733" s="9">
        <v>1</v>
      </c>
    </row>
    <row r="734" spans="1:9">
      <c r="A734" s="257" t="s">
        <v>1832</v>
      </c>
      <c r="B734" s="9">
        <v>8</v>
      </c>
      <c r="C734" s="257" t="s">
        <v>9754</v>
      </c>
      <c r="D734" s="9">
        <v>1724851.1857852936</v>
      </c>
      <c r="E734" s="9">
        <v>1724851.1857852936</v>
      </c>
      <c r="F734" s="257" t="s">
        <v>14140</v>
      </c>
      <c r="G734" s="9"/>
      <c r="H734" s="257" t="s">
        <v>18900</v>
      </c>
      <c r="I734" s="9">
        <v>1</v>
      </c>
    </row>
    <row r="735" spans="1:9">
      <c r="A735" s="257" t="s">
        <v>1833</v>
      </c>
      <c r="B735" s="9">
        <v>8</v>
      </c>
      <c r="C735" s="257" t="s">
        <v>9755</v>
      </c>
      <c r="D735" s="9">
        <v>27122593707.537052</v>
      </c>
      <c r="E735" s="9">
        <v>1724851.1857852936</v>
      </c>
      <c r="F735" s="257" t="s">
        <v>14140</v>
      </c>
      <c r="G735" s="9"/>
      <c r="H735" s="257" t="s">
        <v>18901</v>
      </c>
      <c r="I735" s="9">
        <v>1</v>
      </c>
    </row>
    <row r="736" spans="1:9">
      <c r="A736" s="257" t="s">
        <v>1834</v>
      </c>
      <c r="B736" s="9">
        <v>8</v>
      </c>
      <c r="C736" s="257" t="s">
        <v>9756</v>
      </c>
      <c r="D736" s="9">
        <v>1</v>
      </c>
      <c r="E736" s="9">
        <v>1724851.1857852936</v>
      </c>
      <c r="F736" s="257" t="s">
        <v>14140</v>
      </c>
      <c r="G736" s="9"/>
      <c r="H736" s="257" t="s">
        <v>18902</v>
      </c>
      <c r="I736" s="9">
        <v>1</v>
      </c>
    </row>
    <row r="737" spans="1:9">
      <c r="A737" s="257" t="s">
        <v>1835</v>
      </c>
      <c r="B737" s="9">
        <v>8</v>
      </c>
      <c r="C737" s="257" t="s">
        <v>9757</v>
      </c>
      <c r="D737" s="9">
        <v>15724.599276191253</v>
      </c>
      <c r="E737" s="9">
        <v>1724851.1857852936</v>
      </c>
      <c r="F737" s="257" t="s">
        <v>14140</v>
      </c>
      <c r="G737" s="9"/>
      <c r="H737" s="257" t="s">
        <v>18903</v>
      </c>
      <c r="I737" s="9">
        <v>1</v>
      </c>
    </row>
    <row r="738" spans="1:9">
      <c r="A738" s="257" t="s">
        <v>1836</v>
      </c>
      <c r="B738" s="9">
        <v>8</v>
      </c>
      <c r="C738" s="257" t="s">
        <v>9758</v>
      </c>
      <c r="D738" s="9">
        <v>1724851.1857852936</v>
      </c>
      <c r="E738" s="9">
        <v>1724851.1857852936</v>
      </c>
      <c r="F738" s="257" t="s">
        <v>14141</v>
      </c>
      <c r="G738" s="9"/>
      <c r="H738" s="257" t="s">
        <v>18904</v>
      </c>
      <c r="I738" s="9">
        <v>1</v>
      </c>
    </row>
    <row r="739" spans="1:9">
      <c r="A739" s="257" t="s">
        <v>1837</v>
      </c>
      <c r="B739" s="9">
        <v>8</v>
      </c>
      <c r="C739" s="257" t="s">
        <v>9759</v>
      </c>
      <c r="D739" s="9">
        <v>27122593707.537052</v>
      </c>
      <c r="E739" s="9">
        <v>1724851.1857852936</v>
      </c>
      <c r="F739" s="257" t="s">
        <v>14141</v>
      </c>
      <c r="G739" s="9"/>
      <c r="H739" s="257" t="s">
        <v>18905</v>
      </c>
      <c r="I739" s="9">
        <v>1</v>
      </c>
    </row>
    <row r="740" spans="1:9">
      <c r="A740" s="257" t="s">
        <v>1838</v>
      </c>
      <c r="B740" s="9">
        <v>8</v>
      </c>
      <c r="C740" s="257" t="s">
        <v>9760</v>
      </c>
      <c r="D740" s="9">
        <v>1</v>
      </c>
      <c r="E740" s="9">
        <v>1724851.1857852936</v>
      </c>
      <c r="F740" s="257" t="s">
        <v>14141</v>
      </c>
      <c r="G740" s="9"/>
      <c r="H740" s="257" t="s">
        <v>18906</v>
      </c>
      <c r="I740" s="9">
        <v>1</v>
      </c>
    </row>
    <row r="741" spans="1:9">
      <c r="A741" s="257" t="s">
        <v>1839</v>
      </c>
      <c r="B741" s="9">
        <v>8</v>
      </c>
      <c r="C741" s="257" t="s">
        <v>9761</v>
      </c>
      <c r="D741" s="9">
        <v>15724.599276191253</v>
      </c>
      <c r="E741" s="9">
        <v>1724851.1857852936</v>
      </c>
      <c r="F741" s="257" t="s">
        <v>14141</v>
      </c>
      <c r="G741" s="9"/>
      <c r="H741" s="257" t="s">
        <v>18907</v>
      </c>
      <c r="I741" s="9">
        <v>1</v>
      </c>
    </row>
    <row r="742" spans="1:9">
      <c r="A742" s="257" t="s">
        <v>1840</v>
      </c>
      <c r="B742" s="9">
        <v>8</v>
      </c>
      <c r="C742" s="257" t="s">
        <v>9762</v>
      </c>
      <c r="D742" s="9">
        <v>1724851.1857852936</v>
      </c>
      <c r="E742" s="9">
        <v>1724851.1857852936</v>
      </c>
      <c r="F742" s="257" t="s">
        <v>14142</v>
      </c>
      <c r="G742" s="9"/>
      <c r="H742" s="257" t="s">
        <v>18908</v>
      </c>
      <c r="I742" s="9">
        <v>1</v>
      </c>
    </row>
    <row r="743" spans="1:9">
      <c r="A743" s="257" t="s">
        <v>1841</v>
      </c>
      <c r="B743" s="9">
        <v>8</v>
      </c>
      <c r="C743" s="257" t="s">
        <v>9763</v>
      </c>
      <c r="D743" s="9">
        <v>27122593707.537052</v>
      </c>
      <c r="E743" s="9">
        <v>1724851.1857852936</v>
      </c>
      <c r="F743" s="257" t="s">
        <v>14142</v>
      </c>
      <c r="G743" s="9"/>
      <c r="H743" s="257" t="s">
        <v>18909</v>
      </c>
      <c r="I743" s="9">
        <v>1</v>
      </c>
    </row>
    <row r="744" spans="1:9">
      <c r="A744" s="257" t="s">
        <v>1842</v>
      </c>
      <c r="B744" s="9">
        <v>8</v>
      </c>
      <c r="C744" s="257" t="s">
        <v>9764</v>
      </c>
      <c r="D744" s="9">
        <v>1</v>
      </c>
      <c r="E744" s="9">
        <v>1724851.1857852936</v>
      </c>
      <c r="F744" s="257" t="s">
        <v>14142</v>
      </c>
      <c r="G744" s="9"/>
      <c r="H744" s="257" t="s">
        <v>18910</v>
      </c>
      <c r="I744" s="9">
        <v>1</v>
      </c>
    </row>
    <row r="745" spans="1:9">
      <c r="A745" s="257" t="s">
        <v>1843</v>
      </c>
      <c r="B745" s="9">
        <v>8</v>
      </c>
      <c r="C745" s="257" t="s">
        <v>9765</v>
      </c>
      <c r="D745" s="9">
        <v>15724.599276191253</v>
      </c>
      <c r="E745" s="9">
        <v>1724851.1857852936</v>
      </c>
      <c r="F745" s="257" t="s">
        <v>14142</v>
      </c>
      <c r="G745" s="9"/>
      <c r="H745" s="257" t="s">
        <v>18911</v>
      </c>
      <c r="I745" s="9">
        <v>1</v>
      </c>
    </row>
    <row r="746" spans="1:9">
      <c r="A746" s="257" t="s">
        <v>1844</v>
      </c>
      <c r="B746" s="9">
        <v>8</v>
      </c>
      <c r="C746" s="257" t="s">
        <v>9766</v>
      </c>
      <c r="D746" s="9">
        <v>1724851.1857852936</v>
      </c>
      <c r="E746" s="9">
        <v>1724851.1857852936</v>
      </c>
      <c r="F746" s="257" t="s">
        <v>14143</v>
      </c>
      <c r="G746" s="9"/>
      <c r="H746" s="257" t="s">
        <v>18912</v>
      </c>
      <c r="I746" s="9">
        <v>1</v>
      </c>
    </row>
    <row r="747" spans="1:9">
      <c r="A747" s="257" t="s">
        <v>1845</v>
      </c>
      <c r="B747" s="9">
        <v>8</v>
      </c>
      <c r="C747" s="257" t="s">
        <v>9767</v>
      </c>
      <c r="D747" s="9">
        <v>5034089978.4728546</v>
      </c>
      <c r="E747" s="9">
        <v>1724851.1857852936</v>
      </c>
      <c r="F747" s="257" t="s">
        <v>14143</v>
      </c>
      <c r="G747" s="9"/>
      <c r="H747" s="257" t="s">
        <v>18913</v>
      </c>
      <c r="I747" s="9">
        <v>1</v>
      </c>
    </row>
    <row r="748" spans="1:9">
      <c r="A748" s="257" t="s">
        <v>1846</v>
      </c>
      <c r="B748" s="9">
        <v>8</v>
      </c>
      <c r="C748" s="257" t="s">
        <v>9768</v>
      </c>
      <c r="D748" s="9">
        <v>1</v>
      </c>
      <c r="E748" s="9">
        <v>1724851.1857852936</v>
      </c>
      <c r="F748" s="257" t="s">
        <v>14143</v>
      </c>
      <c r="G748" s="9"/>
      <c r="H748" s="257" t="s">
        <v>18914</v>
      </c>
      <c r="I748" s="9">
        <v>1</v>
      </c>
    </row>
    <row r="749" spans="1:9">
      <c r="A749" s="257" t="s">
        <v>1847</v>
      </c>
      <c r="B749" s="9">
        <v>8</v>
      </c>
      <c r="C749" s="257" t="s">
        <v>9769</v>
      </c>
      <c r="D749" s="9">
        <v>2918.5648129875763</v>
      </c>
      <c r="E749" s="9">
        <v>1724851.1857852936</v>
      </c>
      <c r="F749" s="257" t="s">
        <v>14143</v>
      </c>
      <c r="G749" s="9"/>
      <c r="H749" s="257" t="s">
        <v>18915</v>
      </c>
      <c r="I749" s="9">
        <v>1</v>
      </c>
    </row>
    <row r="750" spans="1:9">
      <c r="A750" s="257" t="s">
        <v>1848</v>
      </c>
      <c r="B750" s="9">
        <v>8</v>
      </c>
      <c r="C750" s="257" t="s">
        <v>9770</v>
      </c>
      <c r="D750" s="9">
        <v>1399414.6637954712</v>
      </c>
      <c r="E750" s="9">
        <v>1724851.1857852936</v>
      </c>
      <c r="F750" s="257" t="s">
        <v>14144</v>
      </c>
      <c r="G750" s="9"/>
      <c r="H750" s="257" t="s">
        <v>18916</v>
      </c>
      <c r="I750" s="9">
        <v>1</v>
      </c>
    </row>
    <row r="751" spans="1:9">
      <c r="A751" s="257" t="s">
        <v>1849</v>
      </c>
      <c r="B751" s="9">
        <v>8</v>
      </c>
      <c r="C751" s="257" t="s">
        <v>9771</v>
      </c>
      <c r="D751" s="9">
        <v>4805434375.3197689</v>
      </c>
      <c r="E751" s="9">
        <v>1724851.1857852936</v>
      </c>
      <c r="F751" s="257" t="s">
        <v>14144</v>
      </c>
      <c r="G751" s="9"/>
      <c r="H751" s="257" t="s">
        <v>18917</v>
      </c>
      <c r="I751" s="9">
        <v>1</v>
      </c>
    </row>
    <row r="752" spans="1:9">
      <c r="A752" s="257" t="s">
        <v>1850</v>
      </c>
      <c r="B752" s="9">
        <v>8</v>
      </c>
      <c r="C752" s="257" t="s">
        <v>9772</v>
      </c>
      <c r="D752" s="9">
        <v>0.81132486983701324</v>
      </c>
      <c r="E752" s="9">
        <v>1724851.1857852936</v>
      </c>
      <c r="F752" s="257" t="s">
        <v>14144</v>
      </c>
      <c r="G752" s="9"/>
      <c r="H752" s="257" t="s">
        <v>18918</v>
      </c>
      <c r="I752" s="9">
        <v>1</v>
      </c>
    </row>
    <row r="753" spans="1:9">
      <c r="A753" s="257" t="s">
        <v>1851</v>
      </c>
      <c r="B753" s="9">
        <v>8</v>
      </c>
      <c r="C753" s="257" t="s">
        <v>9773</v>
      </c>
      <c r="D753" s="9">
        <v>2785.9994038453478</v>
      </c>
      <c r="E753" s="9">
        <v>1724851.1857852936</v>
      </c>
      <c r="F753" s="257" t="s">
        <v>14144</v>
      </c>
      <c r="G753" s="9"/>
      <c r="H753" s="257" t="s">
        <v>18919</v>
      </c>
      <c r="I753" s="9">
        <v>1</v>
      </c>
    </row>
    <row r="754" spans="1:9">
      <c r="A754" s="257" t="s">
        <v>1852</v>
      </c>
      <c r="B754" s="9">
        <v>8</v>
      </c>
      <c r="C754" s="257" t="s">
        <v>9774</v>
      </c>
      <c r="D754" s="9">
        <v>1724851.1857852936</v>
      </c>
      <c r="E754" s="9">
        <v>1724851.1857852936</v>
      </c>
      <c r="F754" s="257" t="s">
        <v>14145</v>
      </c>
      <c r="G754" s="9"/>
      <c r="H754" s="257" t="s">
        <v>18920</v>
      </c>
      <c r="I754" s="9">
        <v>1</v>
      </c>
    </row>
    <row r="755" spans="1:9">
      <c r="A755" s="257" t="s">
        <v>1853</v>
      </c>
      <c r="B755" s="9">
        <v>8</v>
      </c>
      <c r="C755" s="257" t="s">
        <v>9775</v>
      </c>
      <c r="D755" s="9">
        <v>31928028082.856819</v>
      </c>
      <c r="E755" s="9">
        <v>1724851.1857852936</v>
      </c>
      <c r="F755" s="257" t="s">
        <v>14145</v>
      </c>
      <c r="G755" s="9"/>
      <c r="H755" s="257" t="s">
        <v>18921</v>
      </c>
      <c r="I755" s="9">
        <v>1</v>
      </c>
    </row>
    <row r="756" spans="1:9">
      <c r="A756" s="257" t="s">
        <v>1854</v>
      </c>
      <c r="B756" s="9">
        <v>8</v>
      </c>
      <c r="C756" s="257" t="s">
        <v>9776</v>
      </c>
      <c r="D756" s="9">
        <v>1</v>
      </c>
      <c r="E756" s="9">
        <v>1724851.1857852936</v>
      </c>
      <c r="F756" s="257" t="s">
        <v>14145</v>
      </c>
      <c r="G756" s="9"/>
      <c r="H756" s="257" t="s">
        <v>18922</v>
      </c>
      <c r="I756" s="9">
        <v>1</v>
      </c>
    </row>
    <row r="757" spans="1:9">
      <c r="A757" s="257" t="s">
        <v>1855</v>
      </c>
      <c r="B757" s="9">
        <v>8</v>
      </c>
      <c r="C757" s="257" t="s">
        <v>9777</v>
      </c>
      <c r="D757" s="9">
        <v>18510.598680036601</v>
      </c>
      <c r="E757" s="9">
        <v>1724851.1857852936</v>
      </c>
      <c r="F757" s="257" t="s">
        <v>14145</v>
      </c>
      <c r="G757" s="9"/>
      <c r="H757" s="257" t="s">
        <v>18923</v>
      </c>
      <c r="I757" s="9">
        <v>1</v>
      </c>
    </row>
    <row r="758" spans="1:9">
      <c r="A758" s="257" t="s">
        <v>1856</v>
      </c>
      <c r="B758" s="9">
        <v>8</v>
      </c>
      <c r="C758" s="257" t="s">
        <v>9778</v>
      </c>
      <c r="D758" s="9">
        <v>1724851.1857852936</v>
      </c>
      <c r="E758" s="9">
        <v>1724851.1857852936</v>
      </c>
      <c r="F758" s="257" t="s">
        <v>14146</v>
      </c>
      <c r="G758" s="9"/>
      <c r="H758" s="257" t="s">
        <v>18924</v>
      </c>
      <c r="I758" s="9">
        <v>1</v>
      </c>
    </row>
    <row r="759" spans="1:9">
      <c r="A759" s="257" t="s">
        <v>1857</v>
      </c>
      <c r="B759" s="9">
        <v>8</v>
      </c>
      <c r="C759" s="257" t="s">
        <v>9779</v>
      </c>
      <c r="D759" s="9">
        <v>31928028082.856819</v>
      </c>
      <c r="E759" s="9">
        <v>1724851.1857852936</v>
      </c>
      <c r="F759" s="257" t="s">
        <v>14146</v>
      </c>
      <c r="G759" s="9"/>
      <c r="H759" s="257" t="s">
        <v>18925</v>
      </c>
      <c r="I759" s="9">
        <v>1</v>
      </c>
    </row>
    <row r="760" spans="1:9">
      <c r="A760" s="257" t="s">
        <v>1858</v>
      </c>
      <c r="B760" s="9">
        <v>8</v>
      </c>
      <c r="C760" s="257" t="s">
        <v>9780</v>
      </c>
      <c r="D760" s="9">
        <v>1</v>
      </c>
      <c r="E760" s="9">
        <v>1724851.1857852936</v>
      </c>
      <c r="F760" s="257" t="s">
        <v>14146</v>
      </c>
      <c r="G760" s="9"/>
      <c r="H760" s="257" t="s">
        <v>18926</v>
      </c>
      <c r="I760" s="9">
        <v>1</v>
      </c>
    </row>
    <row r="761" spans="1:9">
      <c r="A761" s="257" t="s">
        <v>1859</v>
      </c>
      <c r="B761" s="9">
        <v>8</v>
      </c>
      <c r="C761" s="257" t="s">
        <v>9781</v>
      </c>
      <c r="D761" s="9">
        <v>18510.598680036601</v>
      </c>
      <c r="E761" s="9">
        <v>1724851.1857852936</v>
      </c>
      <c r="F761" s="257" t="s">
        <v>14146</v>
      </c>
      <c r="G761" s="9"/>
      <c r="H761" s="257" t="s">
        <v>18927</v>
      </c>
      <c r="I761" s="9">
        <v>1</v>
      </c>
    </row>
    <row r="762" spans="1:9">
      <c r="A762" s="257" t="s">
        <v>1860</v>
      </c>
      <c r="B762" s="9">
        <v>8</v>
      </c>
      <c r="C762" s="257" t="s">
        <v>9782</v>
      </c>
      <c r="D762" s="9">
        <v>1724851.1857852936</v>
      </c>
      <c r="E762" s="9">
        <v>1724851.1857852936</v>
      </c>
      <c r="F762" s="257" t="s">
        <v>14147</v>
      </c>
      <c r="G762" s="9"/>
      <c r="H762" s="257" t="s">
        <v>18928</v>
      </c>
      <c r="I762" s="9">
        <v>1</v>
      </c>
    </row>
    <row r="763" spans="1:9">
      <c r="A763" s="257" t="s">
        <v>1861</v>
      </c>
      <c r="B763" s="9">
        <v>8</v>
      </c>
      <c r="C763" s="257" t="s">
        <v>9783</v>
      </c>
      <c r="D763" s="9">
        <v>17646900637.20121</v>
      </c>
      <c r="E763" s="9">
        <v>1724851.1857852936</v>
      </c>
      <c r="F763" s="257" t="s">
        <v>14147</v>
      </c>
      <c r="G763" s="9"/>
      <c r="H763" s="257" t="s">
        <v>18929</v>
      </c>
      <c r="I763" s="9">
        <v>1</v>
      </c>
    </row>
    <row r="764" spans="1:9">
      <c r="A764" s="257" t="s">
        <v>1862</v>
      </c>
      <c r="B764" s="9">
        <v>8</v>
      </c>
      <c r="C764" s="257" t="s">
        <v>9784</v>
      </c>
      <c r="D764" s="9">
        <v>1</v>
      </c>
      <c r="E764" s="9">
        <v>1724851.1857852936</v>
      </c>
      <c r="F764" s="257" t="s">
        <v>14147</v>
      </c>
      <c r="G764" s="9"/>
      <c r="H764" s="257" t="s">
        <v>18930</v>
      </c>
      <c r="I764" s="9">
        <v>1</v>
      </c>
    </row>
    <row r="765" spans="1:9">
      <c r="A765" s="257" t="s">
        <v>1863</v>
      </c>
      <c r="B765" s="9">
        <v>8</v>
      </c>
      <c r="C765" s="257" t="s">
        <v>9785</v>
      </c>
      <c r="D765" s="9">
        <v>10230.96994258487</v>
      </c>
      <c r="E765" s="9">
        <v>1724851.1857852936</v>
      </c>
      <c r="F765" s="257" t="s">
        <v>14147</v>
      </c>
      <c r="G765" s="9"/>
      <c r="H765" s="257" t="s">
        <v>18931</v>
      </c>
      <c r="I765" s="9">
        <v>1</v>
      </c>
    </row>
    <row r="766" spans="1:9">
      <c r="A766" s="257" t="s">
        <v>1864</v>
      </c>
      <c r="B766" s="9">
        <v>8</v>
      </c>
      <c r="C766" s="257" t="s">
        <v>9786</v>
      </c>
      <c r="D766" s="9">
        <v>1724851.1857852936</v>
      </c>
      <c r="E766" s="9">
        <v>1724851.1857852936</v>
      </c>
      <c r="F766" s="257" t="s">
        <v>14148</v>
      </c>
      <c r="G766" s="9"/>
      <c r="H766" s="257" t="s">
        <v>18932</v>
      </c>
      <c r="I766" s="9">
        <v>1</v>
      </c>
    </row>
    <row r="767" spans="1:9">
      <c r="A767" s="257" t="s">
        <v>1865</v>
      </c>
      <c r="B767" s="9">
        <v>8</v>
      </c>
      <c r="C767" s="257" t="s">
        <v>9787</v>
      </c>
      <c r="D767" s="9">
        <v>17646900637.20121</v>
      </c>
      <c r="E767" s="9">
        <v>1724851.1857852936</v>
      </c>
      <c r="F767" s="257" t="s">
        <v>14148</v>
      </c>
      <c r="G767" s="9"/>
      <c r="H767" s="257" t="s">
        <v>18933</v>
      </c>
      <c r="I767" s="9">
        <v>1</v>
      </c>
    </row>
    <row r="768" spans="1:9">
      <c r="A768" s="257" t="s">
        <v>1866</v>
      </c>
      <c r="B768" s="9">
        <v>8</v>
      </c>
      <c r="C768" s="257" t="s">
        <v>9788</v>
      </c>
      <c r="D768" s="9">
        <v>1</v>
      </c>
      <c r="E768" s="9">
        <v>1724851.1857852936</v>
      </c>
      <c r="F768" s="257" t="s">
        <v>14148</v>
      </c>
      <c r="G768" s="9"/>
      <c r="H768" s="257" t="s">
        <v>18934</v>
      </c>
      <c r="I768" s="9">
        <v>1</v>
      </c>
    </row>
    <row r="769" spans="1:9">
      <c r="A769" s="257" t="s">
        <v>1867</v>
      </c>
      <c r="B769" s="9">
        <v>8</v>
      </c>
      <c r="C769" s="257" t="s">
        <v>9789</v>
      </c>
      <c r="D769" s="9">
        <v>10230.96994258487</v>
      </c>
      <c r="E769" s="9">
        <v>1724851.1857852936</v>
      </c>
      <c r="F769" s="257" t="s">
        <v>14148</v>
      </c>
      <c r="G769" s="9"/>
      <c r="H769" s="257" t="s">
        <v>18935</v>
      </c>
      <c r="I769" s="9">
        <v>1</v>
      </c>
    </row>
    <row r="770" spans="1:9">
      <c r="A770" s="257" t="s">
        <v>1868</v>
      </c>
      <c r="B770" s="9">
        <v>8</v>
      </c>
      <c r="C770" s="257" t="s">
        <v>9790</v>
      </c>
      <c r="D770" s="9">
        <v>1724851.1857852936</v>
      </c>
      <c r="E770" s="9">
        <v>1724851.1857852936</v>
      </c>
      <c r="F770" s="257" t="s">
        <v>14149</v>
      </c>
      <c r="G770" s="9"/>
      <c r="H770" s="257" t="s">
        <v>18936</v>
      </c>
      <c r="I770" s="9">
        <v>1</v>
      </c>
    </row>
    <row r="771" spans="1:9">
      <c r="A771" s="257" t="s">
        <v>1869</v>
      </c>
      <c r="B771" s="9">
        <v>8</v>
      </c>
      <c r="C771" s="257" t="s">
        <v>9791</v>
      </c>
      <c r="D771" s="9">
        <v>9475693070.3358421</v>
      </c>
      <c r="E771" s="9">
        <v>1724851.1857852936</v>
      </c>
      <c r="F771" s="257" t="s">
        <v>14149</v>
      </c>
      <c r="G771" s="9"/>
      <c r="H771" s="257" t="s">
        <v>18937</v>
      </c>
      <c r="I771" s="9">
        <v>1</v>
      </c>
    </row>
    <row r="772" spans="1:9">
      <c r="A772" s="257" t="s">
        <v>1870</v>
      </c>
      <c r="B772" s="9">
        <v>8</v>
      </c>
      <c r="C772" s="257" t="s">
        <v>9792</v>
      </c>
      <c r="D772" s="9">
        <v>1</v>
      </c>
      <c r="E772" s="9">
        <v>1724851.1857852936</v>
      </c>
      <c r="F772" s="257" t="s">
        <v>14149</v>
      </c>
      <c r="G772" s="9"/>
      <c r="H772" s="257" t="s">
        <v>18938</v>
      </c>
      <c r="I772" s="9">
        <v>1</v>
      </c>
    </row>
    <row r="773" spans="1:9">
      <c r="A773" s="257" t="s">
        <v>1871</v>
      </c>
      <c r="B773" s="9">
        <v>8</v>
      </c>
      <c r="C773" s="257" t="s">
        <v>9793</v>
      </c>
      <c r="D773" s="9">
        <v>5493.6293336063827</v>
      </c>
      <c r="E773" s="9">
        <v>1724851.1857852936</v>
      </c>
      <c r="F773" s="257" t="s">
        <v>14149</v>
      </c>
      <c r="G773" s="9"/>
      <c r="H773" s="257" t="s">
        <v>18939</v>
      </c>
      <c r="I773" s="9">
        <v>1</v>
      </c>
    </row>
    <row r="774" spans="1:9">
      <c r="A774" s="257" t="s">
        <v>1872</v>
      </c>
      <c r="B774" s="9">
        <v>8</v>
      </c>
      <c r="C774" s="257" t="s">
        <v>9794</v>
      </c>
      <c r="D774" s="9">
        <v>1724851.1857852936</v>
      </c>
      <c r="E774" s="9">
        <v>1724851.1857852936</v>
      </c>
      <c r="F774" s="257" t="s">
        <v>14150</v>
      </c>
      <c r="G774" s="9"/>
      <c r="H774" s="257" t="s">
        <v>18940</v>
      </c>
      <c r="I774" s="9">
        <v>1</v>
      </c>
    </row>
    <row r="775" spans="1:9">
      <c r="A775" s="257" t="s">
        <v>1873</v>
      </c>
      <c r="B775" s="9">
        <v>8</v>
      </c>
      <c r="C775" s="257" t="s">
        <v>9795</v>
      </c>
      <c r="D775" s="9">
        <v>13796187261.866232</v>
      </c>
      <c r="E775" s="9">
        <v>1724851.1857852936</v>
      </c>
      <c r="F775" s="257" t="s">
        <v>14150</v>
      </c>
      <c r="G775" s="9"/>
      <c r="H775" s="257" t="s">
        <v>18941</v>
      </c>
      <c r="I775" s="9">
        <v>1</v>
      </c>
    </row>
    <row r="776" spans="1:9">
      <c r="A776" s="257" t="s">
        <v>1874</v>
      </c>
      <c r="B776" s="9">
        <v>8</v>
      </c>
      <c r="C776" s="257" t="s">
        <v>9796</v>
      </c>
      <c r="D776" s="9">
        <v>1</v>
      </c>
      <c r="E776" s="9">
        <v>1724851.1857852936</v>
      </c>
      <c r="F776" s="257" t="s">
        <v>14150</v>
      </c>
      <c r="G776" s="9"/>
      <c r="H776" s="257" t="s">
        <v>18942</v>
      </c>
      <c r="I776" s="9">
        <v>1</v>
      </c>
    </row>
    <row r="777" spans="1:9">
      <c r="A777" s="257" t="s">
        <v>1875</v>
      </c>
      <c r="B777" s="9">
        <v>8</v>
      </c>
      <c r="C777" s="257" t="s">
        <v>9797</v>
      </c>
      <c r="D777" s="9">
        <v>7998.4797387521157</v>
      </c>
      <c r="E777" s="9">
        <v>1724851.1857852936</v>
      </c>
      <c r="F777" s="257" t="s">
        <v>14150</v>
      </c>
      <c r="G777" s="9"/>
      <c r="H777" s="257" t="s">
        <v>18943</v>
      </c>
      <c r="I777" s="9">
        <v>1</v>
      </c>
    </row>
    <row r="778" spans="1:9">
      <c r="A778" s="257" t="s">
        <v>1876</v>
      </c>
      <c r="B778" s="9">
        <v>8</v>
      </c>
      <c r="C778" s="257" t="s">
        <v>9798</v>
      </c>
      <c r="D778" s="9">
        <v>1448331.1165466309</v>
      </c>
      <c r="E778" s="9">
        <v>1724851.1857852936</v>
      </c>
      <c r="F778" s="257" t="s">
        <v>14151</v>
      </c>
      <c r="G778" s="9"/>
      <c r="H778" s="257" t="s">
        <v>18944</v>
      </c>
      <c r="I778" s="9">
        <v>1</v>
      </c>
    </row>
    <row r="779" spans="1:9">
      <c r="A779" s="257" t="s">
        <v>1877</v>
      </c>
      <c r="B779" s="9">
        <v>8</v>
      </c>
      <c r="C779" s="257" t="s">
        <v>9799</v>
      </c>
      <c r="D779" s="9">
        <v>15688268190.191067</v>
      </c>
      <c r="E779" s="9">
        <v>1724851.1857852936</v>
      </c>
      <c r="F779" s="257" t="s">
        <v>14151</v>
      </c>
      <c r="G779" s="9"/>
      <c r="H779" s="257" t="s">
        <v>18945</v>
      </c>
      <c r="I779" s="9">
        <v>1</v>
      </c>
    </row>
    <row r="780" spans="1:9">
      <c r="A780" s="257" t="s">
        <v>1878</v>
      </c>
      <c r="B780" s="9">
        <v>8</v>
      </c>
      <c r="C780" s="257" t="s">
        <v>9800</v>
      </c>
      <c r="D780" s="9">
        <v>0.83968468032633892</v>
      </c>
      <c r="E780" s="9">
        <v>1724851.1857852936</v>
      </c>
      <c r="F780" s="257" t="s">
        <v>14151</v>
      </c>
      <c r="G780" s="9"/>
      <c r="H780" s="257" t="s">
        <v>18946</v>
      </c>
      <c r="I780" s="9">
        <v>1</v>
      </c>
    </row>
    <row r="781" spans="1:9">
      <c r="A781" s="257" t="s">
        <v>1879</v>
      </c>
      <c r="B781" s="9">
        <v>8</v>
      </c>
      <c r="C781" s="257" t="s">
        <v>9801</v>
      </c>
      <c r="D781" s="9">
        <v>9095.4328810972074</v>
      </c>
      <c r="E781" s="9">
        <v>1724851.1857852936</v>
      </c>
      <c r="F781" s="257" t="s">
        <v>14151</v>
      </c>
      <c r="G781" s="9"/>
      <c r="H781" s="257" t="s">
        <v>18947</v>
      </c>
      <c r="I781" s="9">
        <v>1</v>
      </c>
    </row>
    <row r="782" spans="1:9">
      <c r="A782" s="257" t="s">
        <v>1880</v>
      </c>
      <c r="B782" s="9">
        <v>8</v>
      </c>
      <c r="C782" s="257" t="s">
        <v>9802</v>
      </c>
      <c r="D782" s="9">
        <v>1724851.1857852936</v>
      </c>
      <c r="E782" s="9">
        <v>1724851.1857852936</v>
      </c>
      <c r="F782" s="257" t="s">
        <v>14152</v>
      </c>
      <c r="G782" s="9"/>
      <c r="H782" s="257" t="s">
        <v>18948</v>
      </c>
      <c r="I782" s="9">
        <v>1</v>
      </c>
    </row>
    <row r="783" spans="1:9">
      <c r="A783" s="257" t="s">
        <v>1881</v>
      </c>
      <c r="B783" s="9">
        <v>8</v>
      </c>
      <c r="C783" s="257" t="s">
        <v>9803</v>
      </c>
      <c r="D783" s="9">
        <v>2443572630.7995219</v>
      </c>
      <c r="E783" s="9">
        <v>1724851.1857852936</v>
      </c>
      <c r="F783" s="257" t="s">
        <v>14152</v>
      </c>
      <c r="G783" s="9"/>
      <c r="H783" s="257" t="s">
        <v>18949</v>
      </c>
      <c r="I783" s="9">
        <v>1</v>
      </c>
    </row>
    <row r="784" spans="1:9">
      <c r="A784" s="257" t="s">
        <v>1882</v>
      </c>
      <c r="B784" s="9">
        <v>8</v>
      </c>
      <c r="C784" s="257" t="s">
        <v>9804</v>
      </c>
      <c r="D784" s="9">
        <v>1</v>
      </c>
      <c r="E784" s="9">
        <v>1724851.1857852936</v>
      </c>
      <c r="F784" s="257" t="s">
        <v>14152</v>
      </c>
      <c r="G784" s="9"/>
      <c r="H784" s="257" t="s">
        <v>18950</v>
      </c>
      <c r="I784" s="9">
        <v>1</v>
      </c>
    </row>
    <row r="785" spans="1:9">
      <c r="A785" s="257" t="s">
        <v>1883</v>
      </c>
      <c r="B785" s="9">
        <v>8</v>
      </c>
      <c r="C785" s="257" t="s">
        <v>9805</v>
      </c>
      <c r="D785" s="9">
        <v>1416.6860601872779</v>
      </c>
      <c r="E785" s="9">
        <v>1724851.1857852936</v>
      </c>
      <c r="F785" s="257" t="s">
        <v>14152</v>
      </c>
      <c r="G785" s="9"/>
      <c r="H785" s="257" t="s">
        <v>18951</v>
      </c>
      <c r="I785" s="9">
        <v>1</v>
      </c>
    </row>
    <row r="786" spans="1:9">
      <c r="A786" s="257" t="s">
        <v>1884</v>
      </c>
      <c r="B786" s="9">
        <v>8</v>
      </c>
      <c r="C786" s="257" t="s">
        <v>9806</v>
      </c>
      <c r="D786" s="9">
        <v>1724851.1857852936</v>
      </c>
      <c r="E786" s="9">
        <v>1724851.1857852936</v>
      </c>
      <c r="F786" s="257" t="s">
        <v>14153</v>
      </c>
      <c r="G786" s="9"/>
      <c r="H786" s="257" t="s">
        <v>18952</v>
      </c>
      <c r="I786" s="9">
        <v>1</v>
      </c>
    </row>
    <row r="787" spans="1:9">
      <c r="A787" s="257" t="s">
        <v>1885</v>
      </c>
      <c r="B787" s="9">
        <v>8</v>
      </c>
      <c r="C787" s="257" t="s">
        <v>9807</v>
      </c>
      <c r="D787" s="9">
        <v>18131840820.990589</v>
      </c>
      <c r="E787" s="9">
        <v>1724851.1857852936</v>
      </c>
      <c r="F787" s="257" t="s">
        <v>14153</v>
      </c>
      <c r="G787" s="9"/>
      <c r="H787" s="257" t="s">
        <v>18953</v>
      </c>
      <c r="I787" s="9">
        <v>1</v>
      </c>
    </row>
    <row r="788" spans="1:9">
      <c r="A788" s="257" t="s">
        <v>1886</v>
      </c>
      <c r="B788" s="9">
        <v>8</v>
      </c>
      <c r="C788" s="257" t="s">
        <v>9808</v>
      </c>
      <c r="D788" s="9">
        <v>1</v>
      </c>
      <c r="E788" s="9">
        <v>1724851.1857852936</v>
      </c>
      <c r="F788" s="257" t="s">
        <v>14153</v>
      </c>
      <c r="G788" s="9"/>
      <c r="H788" s="257" t="s">
        <v>18954</v>
      </c>
      <c r="I788" s="9">
        <v>1</v>
      </c>
    </row>
    <row r="789" spans="1:9">
      <c r="A789" s="257" t="s">
        <v>1887</v>
      </c>
      <c r="B789" s="9">
        <v>8</v>
      </c>
      <c r="C789" s="257" t="s">
        <v>9809</v>
      </c>
      <c r="D789" s="9">
        <v>10512.118941284485</v>
      </c>
      <c r="E789" s="9">
        <v>1724851.1857852936</v>
      </c>
      <c r="F789" s="257" t="s">
        <v>14153</v>
      </c>
      <c r="G789" s="9"/>
      <c r="H789" s="257" t="s">
        <v>18955</v>
      </c>
      <c r="I789" s="9">
        <v>1</v>
      </c>
    </row>
    <row r="790" spans="1:9">
      <c r="A790" s="257" t="s">
        <v>1888</v>
      </c>
      <c r="B790" s="9">
        <v>8</v>
      </c>
      <c r="C790" s="257" t="s">
        <v>9810</v>
      </c>
      <c r="D790" s="9">
        <v>382393.1031036377</v>
      </c>
      <c r="E790" s="9">
        <v>1724851.1857852936</v>
      </c>
      <c r="F790" s="257" t="s">
        <v>14154</v>
      </c>
      <c r="G790" s="9"/>
      <c r="H790" s="257" t="s">
        <v>18956</v>
      </c>
      <c r="I790" s="9">
        <v>1</v>
      </c>
    </row>
    <row r="791" spans="1:9">
      <c r="A791" s="257" t="s">
        <v>1889</v>
      </c>
      <c r="B791" s="9">
        <v>8</v>
      </c>
      <c r="C791" s="257" t="s">
        <v>9811</v>
      </c>
      <c r="D791" s="9">
        <v>484940183.7893796</v>
      </c>
      <c r="E791" s="9">
        <v>1724851.1857852936</v>
      </c>
      <c r="F791" s="257" t="s">
        <v>14154</v>
      </c>
      <c r="G791" s="9"/>
      <c r="H791" s="257" t="s">
        <v>18957</v>
      </c>
      <c r="I791" s="9">
        <v>1</v>
      </c>
    </row>
    <row r="792" spans="1:9">
      <c r="A792" s="257" t="s">
        <v>1890</v>
      </c>
      <c r="B792" s="9">
        <v>8</v>
      </c>
      <c r="C792" s="257" t="s">
        <v>9812</v>
      </c>
      <c r="D792" s="9">
        <v>0.22169628676084369</v>
      </c>
      <c r="E792" s="9">
        <v>1724851.1857852936</v>
      </c>
      <c r="F792" s="257" t="s">
        <v>14154</v>
      </c>
      <c r="G792" s="9"/>
      <c r="H792" s="257" t="s">
        <v>18958</v>
      </c>
      <c r="I792" s="9">
        <v>1</v>
      </c>
    </row>
    <row r="793" spans="1:9">
      <c r="A793" s="257" t="s">
        <v>1891</v>
      </c>
      <c r="B793" s="9">
        <v>8</v>
      </c>
      <c r="C793" s="257" t="s">
        <v>9813</v>
      </c>
      <c r="D793" s="9">
        <v>281.14899869961539</v>
      </c>
      <c r="E793" s="9">
        <v>1724851.1857852936</v>
      </c>
      <c r="F793" s="257" t="s">
        <v>14154</v>
      </c>
      <c r="G793" s="9"/>
      <c r="H793" s="257" t="s">
        <v>18959</v>
      </c>
      <c r="I793" s="9">
        <v>1</v>
      </c>
    </row>
    <row r="794" spans="1:9">
      <c r="A794" s="257" t="s">
        <v>1892</v>
      </c>
      <c r="B794" s="9">
        <v>8</v>
      </c>
      <c r="C794" s="257" t="s">
        <v>9814</v>
      </c>
      <c r="D794" s="9">
        <v>1369300.6716537476</v>
      </c>
      <c r="E794" s="9">
        <v>1724851.1857852936</v>
      </c>
      <c r="F794" s="257" t="s">
        <v>14155</v>
      </c>
      <c r="G794" s="9"/>
      <c r="H794" s="257" t="s">
        <v>18960</v>
      </c>
      <c r="I794" s="9">
        <v>1</v>
      </c>
    </row>
    <row r="795" spans="1:9">
      <c r="A795" s="257" t="s">
        <v>1893</v>
      </c>
      <c r="B795" s="9">
        <v>8</v>
      </c>
      <c r="C795" s="257" t="s">
        <v>9815</v>
      </c>
      <c r="D795" s="9">
        <v>4320494191.5303898</v>
      </c>
      <c r="E795" s="9">
        <v>1724851.1857852936</v>
      </c>
      <c r="F795" s="257" t="s">
        <v>14155</v>
      </c>
      <c r="G795" s="9"/>
      <c r="H795" s="257" t="s">
        <v>18961</v>
      </c>
      <c r="I795" s="9">
        <v>1</v>
      </c>
    </row>
    <row r="796" spans="1:9">
      <c r="A796" s="257" t="s">
        <v>1894</v>
      </c>
      <c r="B796" s="9">
        <v>8</v>
      </c>
      <c r="C796" s="257" t="s">
        <v>9816</v>
      </c>
      <c r="D796" s="9">
        <v>0.79386597692503524</v>
      </c>
      <c r="E796" s="9">
        <v>1724851.1857852936</v>
      </c>
      <c r="F796" s="257" t="s">
        <v>14155</v>
      </c>
      <c r="G796" s="9"/>
      <c r="H796" s="257" t="s">
        <v>18962</v>
      </c>
      <c r="I796" s="9">
        <v>1</v>
      </c>
    </row>
    <row r="797" spans="1:9">
      <c r="A797" s="257" t="s">
        <v>1895</v>
      </c>
      <c r="B797" s="9">
        <v>8</v>
      </c>
      <c r="C797" s="257" t="s">
        <v>9817</v>
      </c>
      <c r="D797" s="9">
        <v>2504.8504051457326</v>
      </c>
      <c r="E797" s="9">
        <v>1724851.1857852936</v>
      </c>
      <c r="F797" s="257" t="s">
        <v>14155</v>
      </c>
      <c r="G797" s="9"/>
      <c r="H797" s="257" t="s">
        <v>18963</v>
      </c>
      <c r="I797" s="9">
        <v>1</v>
      </c>
    </row>
    <row r="798" spans="1:9">
      <c r="A798" s="257" t="s">
        <v>1896</v>
      </c>
      <c r="B798" s="9">
        <v>8</v>
      </c>
      <c r="C798" s="257" t="s">
        <v>9818</v>
      </c>
      <c r="D798" s="9">
        <v>0</v>
      </c>
      <c r="E798" s="9">
        <v>1724851.1857852936</v>
      </c>
      <c r="F798" s="257" t="s">
        <v>14156</v>
      </c>
      <c r="G798" s="9"/>
      <c r="H798" s="257" t="s">
        <v>18964</v>
      </c>
      <c r="I798" s="9">
        <v>1</v>
      </c>
    </row>
    <row r="799" spans="1:9">
      <c r="A799" s="257" t="s">
        <v>1897</v>
      </c>
      <c r="B799" s="9">
        <v>8</v>
      </c>
      <c r="C799" s="257" t="s">
        <v>9819</v>
      </c>
      <c r="D799" s="9">
        <v>0</v>
      </c>
      <c r="E799" s="9">
        <v>1724851.1857852936</v>
      </c>
      <c r="F799" s="257" t="s">
        <v>14156</v>
      </c>
      <c r="G799" s="9"/>
      <c r="H799" s="257" t="s">
        <v>18965</v>
      </c>
      <c r="I799" s="9">
        <v>1</v>
      </c>
    </row>
    <row r="800" spans="1:9">
      <c r="A800" s="257" t="s">
        <v>1898</v>
      </c>
      <c r="B800" s="9">
        <v>8</v>
      </c>
      <c r="C800" s="257" t="s">
        <v>9820</v>
      </c>
      <c r="D800" s="9">
        <v>0</v>
      </c>
      <c r="E800" s="9">
        <v>1724851.1857852936</v>
      </c>
      <c r="F800" s="257" t="s">
        <v>14156</v>
      </c>
      <c r="G800" s="9"/>
      <c r="H800" s="257" t="s">
        <v>18966</v>
      </c>
      <c r="I800" s="9">
        <v>1</v>
      </c>
    </row>
    <row r="801" spans="1:9">
      <c r="A801" s="257" t="s">
        <v>1899</v>
      </c>
      <c r="B801" s="9">
        <v>8</v>
      </c>
      <c r="C801" s="257" t="s">
        <v>9821</v>
      </c>
      <c r="D801" s="9">
        <v>0</v>
      </c>
      <c r="E801" s="9">
        <v>1724851.1857852936</v>
      </c>
      <c r="F801" s="257" t="s">
        <v>14156</v>
      </c>
      <c r="G801" s="9"/>
      <c r="H801" s="257" t="s">
        <v>18967</v>
      </c>
      <c r="I801" s="9">
        <v>1</v>
      </c>
    </row>
    <row r="802" spans="1:9">
      <c r="A802" s="257" t="s">
        <v>1900</v>
      </c>
      <c r="B802" s="9">
        <v>9</v>
      </c>
      <c r="C802" s="257" t="s">
        <v>9822</v>
      </c>
      <c r="D802" s="9">
        <v>1539397.4216518402</v>
      </c>
      <c r="E802" s="9">
        <v>1721642.4785900116</v>
      </c>
      <c r="F802" s="257" t="s">
        <v>14157</v>
      </c>
      <c r="G802" s="9"/>
      <c r="H802" s="257" t="s">
        <v>18968</v>
      </c>
      <c r="I802" s="9">
        <v>1</v>
      </c>
    </row>
    <row r="803" spans="1:9">
      <c r="A803" s="257" t="s">
        <v>1901</v>
      </c>
      <c r="B803" s="9">
        <v>9</v>
      </c>
      <c r="C803" s="257" t="s">
        <v>9823</v>
      </c>
      <c r="D803" s="9">
        <v>12036877484.607445</v>
      </c>
      <c r="E803" s="9">
        <v>1721642.4785900116</v>
      </c>
      <c r="F803" s="257" t="s">
        <v>14157</v>
      </c>
      <c r="G803" s="9"/>
      <c r="H803" s="257" t="s">
        <v>18969</v>
      </c>
      <c r="I803" s="9">
        <v>1</v>
      </c>
    </row>
    <row r="804" spans="1:9">
      <c r="A804" s="257" t="s">
        <v>1902</v>
      </c>
      <c r="B804" s="9">
        <v>9</v>
      </c>
      <c r="C804" s="257" t="s">
        <v>9824</v>
      </c>
      <c r="D804" s="9">
        <v>0.89414465592912984</v>
      </c>
      <c r="E804" s="9">
        <v>1721642.4785900116</v>
      </c>
      <c r="F804" s="257" t="s">
        <v>14157</v>
      </c>
      <c r="G804" s="9"/>
      <c r="H804" s="257" t="s">
        <v>18970</v>
      </c>
      <c r="I804" s="9">
        <v>1</v>
      </c>
    </row>
    <row r="805" spans="1:9">
      <c r="A805" s="257" t="s">
        <v>1903</v>
      </c>
      <c r="B805" s="9">
        <v>9</v>
      </c>
      <c r="C805" s="257" t="s">
        <v>9825</v>
      </c>
      <c r="D805" s="9">
        <v>6991.5081872662613</v>
      </c>
      <c r="E805" s="9">
        <v>1721642.4785900116</v>
      </c>
      <c r="F805" s="257" t="s">
        <v>14157</v>
      </c>
      <c r="G805" s="9"/>
      <c r="H805" s="257" t="s">
        <v>18971</v>
      </c>
      <c r="I805" s="9">
        <v>1</v>
      </c>
    </row>
    <row r="806" spans="1:9">
      <c r="A806" s="257" t="s">
        <v>1904</v>
      </c>
      <c r="B806" s="9">
        <v>9</v>
      </c>
      <c r="C806" s="257" t="s">
        <v>9826</v>
      </c>
      <c r="D806" s="9">
        <v>0</v>
      </c>
      <c r="E806" s="9">
        <v>1721642.4785900116</v>
      </c>
      <c r="F806" s="257" t="s">
        <v>14158</v>
      </c>
      <c r="G806" s="9"/>
      <c r="H806" s="257" t="s">
        <v>18972</v>
      </c>
      <c r="I806" s="9">
        <v>1</v>
      </c>
    </row>
    <row r="807" spans="1:9">
      <c r="A807" s="257" t="s">
        <v>1905</v>
      </c>
      <c r="B807" s="9">
        <v>9</v>
      </c>
      <c r="C807" s="257" t="s">
        <v>9827</v>
      </c>
      <c r="D807" s="9">
        <v>0</v>
      </c>
      <c r="E807" s="9">
        <v>1721642.4785900116</v>
      </c>
      <c r="F807" s="257" t="s">
        <v>14158</v>
      </c>
      <c r="G807" s="9"/>
      <c r="H807" s="257" t="s">
        <v>18973</v>
      </c>
      <c r="I807" s="9">
        <v>1</v>
      </c>
    </row>
    <row r="808" spans="1:9">
      <c r="A808" s="257" t="s">
        <v>1906</v>
      </c>
      <c r="B808" s="9">
        <v>9</v>
      </c>
      <c r="C808" s="257" t="s">
        <v>9828</v>
      </c>
      <c r="D808" s="9">
        <v>0</v>
      </c>
      <c r="E808" s="9">
        <v>1721642.4785900116</v>
      </c>
      <c r="F808" s="257" t="s">
        <v>14158</v>
      </c>
      <c r="G808" s="9"/>
      <c r="H808" s="257" t="s">
        <v>18974</v>
      </c>
      <c r="I808" s="9">
        <v>1</v>
      </c>
    </row>
    <row r="809" spans="1:9">
      <c r="A809" s="257" t="s">
        <v>1907</v>
      </c>
      <c r="B809" s="9">
        <v>9</v>
      </c>
      <c r="C809" s="257" t="s">
        <v>9829</v>
      </c>
      <c r="D809" s="9">
        <v>0</v>
      </c>
      <c r="E809" s="9">
        <v>1721642.4785900116</v>
      </c>
      <c r="F809" s="257" t="s">
        <v>14158</v>
      </c>
      <c r="G809" s="9"/>
      <c r="H809" s="257" t="s">
        <v>18975</v>
      </c>
      <c r="I809" s="9">
        <v>1</v>
      </c>
    </row>
    <row r="810" spans="1:9">
      <c r="A810" s="257" t="s">
        <v>1908</v>
      </c>
      <c r="B810" s="9">
        <v>9</v>
      </c>
      <c r="C810" s="257" t="s">
        <v>9830</v>
      </c>
      <c r="D810" s="9">
        <v>0</v>
      </c>
      <c r="E810" s="9">
        <v>1721642.4785900116</v>
      </c>
      <c r="F810" s="257" t="s">
        <v>14159</v>
      </c>
      <c r="G810" s="9"/>
      <c r="H810" s="257" t="s">
        <v>18976</v>
      </c>
      <c r="I810" s="9">
        <v>1</v>
      </c>
    </row>
    <row r="811" spans="1:9">
      <c r="A811" s="257" t="s">
        <v>1909</v>
      </c>
      <c r="B811" s="9">
        <v>9</v>
      </c>
      <c r="C811" s="257" t="s">
        <v>9831</v>
      </c>
      <c r="D811" s="9">
        <v>0</v>
      </c>
      <c r="E811" s="9">
        <v>1721642.4785900116</v>
      </c>
      <c r="F811" s="257" t="s">
        <v>14159</v>
      </c>
      <c r="G811" s="9"/>
      <c r="H811" s="257" t="s">
        <v>18977</v>
      </c>
      <c r="I811" s="9">
        <v>1</v>
      </c>
    </row>
    <row r="812" spans="1:9">
      <c r="A812" s="257" t="s">
        <v>1910</v>
      </c>
      <c r="B812" s="9">
        <v>9</v>
      </c>
      <c r="C812" s="257" t="s">
        <v>9832</v>
      </c>
      <c r="D812" s="9">
        <v>0</v>
      </c>
      <c r="E812" s="9">
        <v>1721642.4785900116</v>
      </c>
      <c r="F812" s="257" t="s">
        <v>14159</v>
      </c>
      <c r="G812" s="9"/>
      <c r="H812" s="257" t="s">
        <v>18978</v>
      </c>
      <c r="I812" s="9">
        <v>1</v>
      </c>
    </row>
    <row r="813" spans="1:9">
      <c r="A813" s="257" t="s">
        <v>1911</v>
      </c>
      <c r="B813" s="9">
        <v>9</v>
      </c>
      <c r="C813" s="257" t="s">
        <v>9833</v>
      </c>
      <c r="D813" s="9">
        <v>0</v>
      </c>
      <c r="E813" s="9">
        <v>1721642.4785900116</v>
      </c>
      <c r="F813" s="257" t="s">
        <v>14159</v>
      </c>
      <c r="G813" s="9"/>
      <c r="H813" s="257" t="s">
        <v>18979</v>
      </c>
      <c r="I813" s="9">
        <v>1</v>
      </c>
    </row>
    <row r="814" spans="1:9">
      <c r="A814" s="257" t="s">
        <v>1912</v>
      </c>
      <c r="B814" s="9">
        <v>9</v>
      </c>
      <c r="C814" s="257" t="s">
        <v>9834</v>
      </c>
      <c r="D814" s="9">
        <v>0</v>
      </c>
      <c r="E814" s="9">
        <v>1721642.4785900116</v>
      </c>
      <c r="F814" s="257" t="s">
        <v>14160</v>
      </c>
      <c r="G814" s="9"/>
      <c r="H814" s="257" t="s">
        <v>18980</v>
      </c>
      <c r="I814" s="9">
        <v>1</v>
      </c>
    </row>
    <row r="815" spans="1:9">
      <c r="A815" s="257" t="s">
        <v>1913</v>
      </c>
      <c r="B815" s="9">
        <v>9</v>
      </c>
      <c r="C815" s="257" t="s">
        <v>9835</v>
      </c>
      <c r="D815" s="9">
        <v>0</v>
      </c>
      <c r="E815" s="9">
        <v>1721642.4785900116</v>
      </c>
      <c r="F815" s="257" t="s">
        <v>14160</v>
      </c>
      <c r="G815" s="9"/>
      <c r="H815" s="257" t="s">
        <v>18981</v>
      </c>
      <c r="I815" s="9">
        <v>1</v>
      </c>
    </row>
    <row r="816" spans="1:9">
      <c r="A816" s="257" t="s">
        <v>1914</v>
      </c>
      <c r="B816" s="9">
        <v>9</v>
      </c>
      <c r="C816" s="257" t="s">
        <v>9836</v>
      </c>
      <c r="D816" s="9">
        <v>0</v>
      </c>
      <c r="E816" s="9">
        <v>1721642.4785900116</v>
      </c>
      <c r="F816" s="257" t="s">
        <v>14160</v>
      </c>
      <c r="G816" s="9"/>
      <c r="H816" s="257" t="s">
        <v>18982</v>
      </c>
      <c r="I816" s="9">
        <v>1</v>
      </c>
    </row>
    <row r="817" spans="1:9">
      <c r="A817" s="257" t="s">
        <v>1915</v>
      </c>
      <c r="B817" s="9">
        <v>9</v>
      </c>
      <c r="C817" s="257" t="s">
        <v>9837</v>
      </c>
      <c r="D817" s="9">
        <v>0</v>
      </c>
      <c r="E817" s="9">
        <v>1721642.4785900116</v>
      </c>
      <c r="F817" s="257" t="s">
        <v>14160</v>
      </c>
      <c r="G817" s="9"/>
      <c r="H817" s="257" t="s">
        <v>18983</v>
      </c>
      <c r="I817" s="9">
        <v>1</v>
      </c>
    </row>
    <row r="818" spans="1:9">
      <c r="A818" s="257" t="s">
        <v>1916</v>
      </c>
      <c r="B818" s="9">
        <v>9</v>
      </c>
      <c r="C818" s="257" t="s">
        <v>9838</v>
      </c>
      <c r="D818" s="9">
        <v>0</v>
      </c>
      <c r="E818" s="9">
        <v>1721642.4785900116</v>
      </c>
      <c r="F818" s="257" t="s">
        <v>14161</v>
      </c>
      <c r="G818" s="9"/>
      <c r="H818" s="257" t="s">
        <v>18984</v>
      </c>
      <c r="I818" s="9">
        <v>1</v>
      </c>
    </row>
    <row r="819" spans="1:9">
      <c r="A819" s="257" t="s">
        <v>1917</v>
      </c>
      <c r="B819" s="9">
        <v>9</v>
      </c>
      <c r="C819" s="257" t="s">
        <v>9839</v>
      </c>
      <c r="D819" s="9">
        <v>0</v>
      </c>
      <c r="E819" s="9">
        <v>1721642.4785900116</v>
      </c>
      <c r="F819" s="257" t="s">
        <v>14161</v>
      </c>
      <c r="G819" s="9"/>
      <c r="H819" s="257" t="s">
        <v>18985</v>
      </c>
      <c r="I819" s="9">
        <v>1</v>
      </c>
    </row>
    <row r="820" spans="1:9">
      <c r="A820" s="257" t="s">
        <v>1918</v>
      </c>
      <c r="B820" s="9">
        <v>9</v>
      </c>
      <c r="C820" s="257" t="s">
        <v>9840</v>
      </c>
      <c r="D820" s="9">
        <v>0</v>
      </c>
      <c r="E820" s="9">
        <v>1721642.4785900116</v>
      </c>
      <c r="F820" s="257" t="s">
        <v>14161</v>
      </c>
      <c r="G820" s="9"/>
      <c r="H820" s="257" t="s">
        <v>18986</v>
      </c>
      <c r="I820" s="9">
        <v>1</v>
      </c>
    </row>
    <row r="821" spans="1:9">
      <c r="A821" s="257" t="s">
        <v>1919</v>
      </c>
      <c r="B821" s="9">
        <v>9</v>
      </c>
      <c r="C821" s="257" t="s">
        <v>9841</v>
      </c>
      <c r="D821" s="9">
        <v>0</v>
      </c>
      <c r="E821" s="9">
        <v>1721642.4785900116</v>
      </c>
      <c r="F821" s="257" t="s">
        <v>14161</v>
      </c>
      <c r="G821" s="9"/>
      <c r="H821" s="257" t="s">
        <v>18987</v>
      </c>
      <c r="I821" s="9">
        <v>1</v>
      </c>
    </row>
    <row r="822" spans="1:9">
      <c r="A822" s="257" t="s">
        <v>1920</v>
      </c>
      <c r="B822" s="9">
        <v>9</v>
      </c>
      <c r="C822" s="257" t="s">
        <v>9842</v>
      </c>
      <c r="D822" s="9">
        <v>0</v>
      </c>
      <c r="E822" s="9">
        <v>1721642.4785900116</v>
      </c>
      <c r="F822" s="257" t="s">
        <v>14162</v>
      </c>
      <c r="G822" s="9"/>
      <c r="H822" s="257" t="s">
        <v>18988</v>
      </c>
      <c r="I822" s="9">
        <v>1</v>
      </c>
    </row>
    <row r="823" spans="1:9">
      <c r="A823" s="257" t="s">
        <v>1921</v>
      </c>
      <c r="B823" s="9">
        <v>9</v>
      </c>
      <c r="C823" s="257" t="s">
        <v>9843</v>
      </c>
      <c r="D823" s="9">
        <v>0</v>
      </c>
      <c r="E823" s="9">
        <v>1721642.4785900116</v>
      </c>
      <c r="F823" s="257" t="s">
        <v>14162</v>
      </c>
      <c r="G823" s="9"/>
      <c r="H823" s="257" t="s">
        <v>18989</v>
      </c>
      <c r="I823" s="9">
        <v>1</v>
      </c>
    </row>
    <row r="824" spans="1:9">
      <c r="A824" s="257" t="s">
        <v>1922</v>
      </c>
      <c r="B824" s="9">
        <v>9</v>
      </c>
      <c r="C824" s="257" t="s">
        <v>9844</v>
      </c>
      <c r="D824" s="9">
        <v>0</v>
      </c>
      <c r="E824" s="9">
        <v>1721642.4785900116</v>
      </c>
      <c r="F824" s="257" t="s">
        <v>14162</v>
      </c>
      <c r="G824" s="9"/>
      <c r="H824" s="257" t="s">
        <v>18990</v>
      </c>
      <c r="I824" s="9">
        <v>1</v>
      </c>
    </row>
    <row r="825" spans="1:9">
      <c r="A825" s="257" t="s">
        <v>1923</v>
      </c>
      <c r="B825" s="9">
        <v>9</v>
      </c>
      <c r="C825" s="257" t="s">
        <v>9845</v>
      </c>
      <c r="D825" s="9">
        <v>0</v>
      </c>
      <c r="E825" s="9">
        <v>1721642.4785900116</v>
      </c>
      <c r="F825" s="257" t="s">
        <v>14162</v>
      </c>
      <c r="G825" s="9"/>
      <c r="H825" s="257" t="s">
        <v>18991</v>
      </c>
      <c r="I825" s="9">
        <v>1</v>
      </c>
    </row>
    <row r="826" spans="1:9">
      <c r="A826" s="257" t="s">
        <v>1924</v>
      </c>
      <c r="B826" s="9">
        <v>9</v>
      </c>
      <c r="C826" s="257" t="s">
        <v>9846</v>
      </c>
      <c r="D826" s="9">
        <v>0</v>
      </c>
      <c r="E826" s="9">
        <v>1721642.4785900116</v>
      </c>
      <c r="F826" s="257" t="s">
        <v>14163</v>
      </c>
      <c r="G826" s="9"/>
      <c r="H826" s="257" t="s">
        <v>18992</v>
      </c>
      <c r="I826" s="9">
        <v>1</v>
      </c>
    </row>
    <row r="827" spans="1:9">
      <c r="A827" s="257" t="s">
        <v>1925</v>
      </c>
      <c r="B827" s="9">
        <v>9</v>
      </c>
      <c r="C827" s="257" t="s">
        <v>9847</v>
      </c>
      <c r="D827" s="9">
        <v>0</v>
      </c>
      <c r="E827" s="9">
        <v>1721642.4785900116</v>
      </c>
      <c r="F827" s="257" t="s">
        <v>14163</v>
      </c>
      <c r="G827" s="9"/>
      <c r="H827" s="257" t="s">
        <v>18993</v>
      </c>
      <c r="I827" s="9">
        <v>1</v>
      </c>
    </row>
    <row r="828" spans="1:9">
      <c r="A828" s="257" t="s">
        <v>1926</v>
      </c>
      <c r="B828" s="9">
        <v>9</v>
      </c>
      <c r="C828" s="257" t="s">
        <v>9848</v>
      </c>
      <c r="D828" s="9">
        <v>0</v>
      </c>
      <c r="E828" s="9">
        <v>1721642.4785900116</v>
      </c>
      <c r="F828" s="257" t="s">
        <v>14163</v>
      </c>
      <c r="G828" s="9"/>
      <c r="H828" s="257" t="s">
        <v>18994</v>
      </c>
      <c r="I828" s="9">
        <v>1</v>
      </c>
    </row>
    <row r="829" spans="1:9">
      <c r="A829" s="257" t="s">
        <v>1927</v>
      </c>
      <c r="B829" s="9">
        <v>9</v>
      </c>
      <c r="C829" s="257" t="s">
        <v>9849</v>
      </c>
      <c r="D829" s="9">
        <v>0</v>
      </c>
      <c r="E829" s="9">
        <v>1721642.4785900116</v>
      </c>
      <c r="F829" s="257" t="s">
        <v>14163</v>
      </c>
      <c r="G829" s="9"/>
      <c r="H829" s="257" t="s">
        <v>18995</v>
      </c>
      <c r="I829" s="9">
        <v>1</v>
      </c>
    </row>
    <row r="830" spans="1:9">
      <c r="A830" s="257" t="s">
        <v>1928</v>
      </c>
      <c r="B830" s="9">
        <v>9</v>
      </c>
      <c r="C830" s="257" t="s">
        <v>9850</v>
      </c>
      <c r="D830" s="9">
        <v>0</v>
      </c>
      <c r="E830" s="9">
        <v>1721642.4785900116</v>
      </c>
      <c r="F830" s="257" t="s">
        <v>14164</v>
      </c>
      <c r="G830" s="9"/>
      <c r="H830" s="257" t="s">
        <v>18996</v>
      </c>
      <c r="I830" s="9">
        <v>1</v>
      </c>
    </row>
    <row r="831" spans="1:9">
      <c r="A831" s="257" t="s">
        <v>1929</v>
      </c>
      <c r="B831" s="9">
        <v>9</v>
      </c>
      <c r="C831" s="257" t="s">
        <v>9851</v>
      </c>
      <c r="D831" s="9">
        <v>0</v>
      </c>
      <c r="E831" s="9">
        <v>1721642.4785900116</v>
      </c>
      <c r="F831" s="257" t="s">
        <v>14164</v>
      </c>
      <c r="G831" s="9"/>
      <c r="H831" s="257" t="s">
        <v>18997</v>
      </c>
      <c r="I831" s="9">
        <v>1</v>
      </c>
    </row>
    <row r="832" spans="1:9">
      <c r="A832" s="257" t="s">
        <v>1930</v>
      </c>
      <c r="B832" s="9">
        <v>9</v>
      </c>
      <c r="C832" s="257" t="s">
        <v>9852</v>
      </c>
      <c r="D832" s="9">
        <v>0</v>
      </c>
      <c r="E832" s="9">
        <v>1721642.4785900116</v>
      </c>
      <c r="F832" s="257" t="s">
        <v>14164</v>
      </c>
      <c r="G832" s="9"/>
      <c r="H832" s="257" t="s">
        <v>18998</v>
      </c>
      <c r="I832" s="9">
        <v>1</v>
      </c>
    </row>
    <row r="833" spans="1:9">
      <c r="A833" s="257" t="s">
        <v>1931</v>
      </c>
      <c r="B833" s="9">
        <v>9</v>
      </c>
      <c r="C833" s="257" t="s">
        <v>9853</v>
      </c>
      <c r="D833" s="9">
        <v>0</v>
      </c>
      <c r="E833" s="9">
        <v>1721642.4785900116</v>
      </c>
      <c r="F833" s="257" t="s">
        <v>14164</v>
      </c>
      <c r="G833" s="9"/>
      <c r="H833" s="257" t="s">
        <v>18999</v>
      </c>
      <c r="I833" s="9">
        <v>1</v>
      </c>
    </row>
    <row r="834" spans="1:9">
      <c r="A834" s="257" t="s">
        <v>1932</v>
      </c>
      <c r="B834" s="9">
        <v>9</v>
      </c>
      <c r="C834" s="257" t="s">
        <v>9854</v>
      </c>
      <c r="D834" s="9">
        <v>1721642.4785900116</v>
      </c>
      <c r="E834" s="9">
        <v>1721642.4785900116</v>
      </c>
      <c r="F834" s="257" t="s">
        <v>14165</v>
      </c>
      <c r="G834" s="9"/>
      <c r="H834" s="257" t="s">
        <v>19000</v>
      </c>
      <c r="I834" s="9">
        <v>1</v>
      </c>
    </row>
    <row r="835" spans="1:9">
      <c r="A835" s="257" t="s">
        <v>1933</v>
      </c>
      <c r="B835" s="9">
        <v>9</v>
      </c>
      <c r="C835" s="257" t="s">
        <v>9855</v>
      </c>
      <c r="D835" s="9">
        <v>36996318787.338287</v>
      </c>
      <c r="E835" s="9">
        <v>1721642.4785900116</v>
      </c>
      <c r="F835" s="257" t="s">
        <v>14165</v>
      </c>
      <c r="G835" s="9"/>
      <c r="H835" s="257" t="s">
        <v>19001</v>
      </c>
      <c r="I835" s="9">
        <v>1</v>
      </c>
    </row>
    <row r="836" spans="1:9">
      <c r="A836" s="257" t="s">
        <v>1934</v>
      </c>
      <c r="B836" s="9">
        <v>9</v>
      </c>
      <c r="C836" s="257" t="s">
        <v>9856</v>
      </c>
      <c r="D836" s="9">
        <v>1</v>
      </c>
      <c r="E836" s="9">
        <v>1721642.4785900116</v>
      </c>
      <c r="F836" s="257" t="s">
        <v>14165</v>
      </c>
      <c r="G836" s="9"/>
      <c r="H836" s="257" t="s">
        <v>19002</v>
      </c>
      <c r="I836" s="9">
        <v>1</v>
      </c>
    </row>
    <row r="837" spans="1:9">
      <c r="A837" s="257" t="s">
        <v>1935</v>
      </c>
      <c r="B837" s="9">
        <v>9</v>
      </c>
      <c r="C837" s="257" t="s">
        <v>9857</v>
      </c>
      <c r="D837" s="9">
        <v>21488.967220207927</v>
      </c>
      <c r="E837" s="9">
        <v>1721642.4785900116</v>
      </c>
      <c r="F837" s="257" t="s">
        <v>14165</v>
      </c>
      <c r="G837" s="9"/>
      <c r="H837" s="257" t="s">
        <v>19003</v>
      </c>
      <c r="I837" s="9">
        <v>1</v>
      </c>
    </row>
    <row r="838" spans="1:9">
      <c r="A838" s="257" t="s">
        <v>1936</v>
      </c>
      <c r="B838" s="9">
        <v>9</v>
      </c>
      <c r="C838" s="257" t="s">
        <v>9858</v>
      </c>
      <c r="D838" s="9">
        <v>1721642.4785900116</v>
      </c>
      <c r="E838" s="9">
        <v>1721642.4785900116</v>
      </c>
      <c r="F838" s="257" t="s">
        <v>14166</v>
      </c>
      <c r="G838" s="9"/>
      <c r="H838" s="257" t="s">
        <v>19004</v>
      </c>
      <c r="I838" s="9">
        <v>1</v>
      </c>
    </row>
    <row r="839" spans="1:9">
      <c r="A839" s="257" t="s">
        <v>1937</v>
      </c>
      <c r="B839" s="9">
        <v>9</v>
      </c>
      <c r="C839" s="257" t="s">
        <v>9859</v>
      </c>
      <c r="D839" s="9">
        <v>36996318787.338287</v>
      </c>
      <c r="E839" s="9">
        <v>1721642.4785900116</v>
      </c>
      <c r="F839" s="257" t="s">
        <v>14166</v>
      </c>
      <c r="G839" s="9"/>
      <c r="H839" s="257" t="s">
        <v>19005</v>
      </c>
      <c r="I839" s="9">
        <v>1</v>
      </c>
    </row>
    <row r="840" spans="1:9">
      <c r="A840" s="257" t="s">
        <v>1938</v>
      </c>
      <c r="B840" s="9">
        <v>9</v>
      </c>
      <c r="C840" s="257" t="s">
        <v>9860</v>
      </c>
      <c r="D840" s="9">
        <v>1</v>
      </c>
      <c r="E840" s="9">
        <v>1721642.4785900116</v>
      </c>
      <c r="F840" s="257" t="s">
        <v>14166</v>
      </c>
      <c r="G840" s="9"/>
      <c r="H840" s="257" t="s">
        <v>19006</v>
      </c>
      <c r="I840" s="9">
        <v>1</v>
      </c>
    </row>
    <row r="841" spans="1:9">
      <c r="A841" s="257" t="s">
        <v>1939</v>
      </c>
      <c r="B841" s="9">
        <v>9</v>
      </c>
      <c r="C841" s="257" t="s">
        <v>9861</v>
      </c>
      <c r="D841" s="9">
        <v>21488.967220207927</v>
      </c>
      <c r="E841" s="9">
        <v>1721642.4785900116</v>
      </c>
      <c r="F841" s="257" t="s">
        <v>14166</v>
      </c>
      <c r="G841" s="9"/>
      <c r="H841" s="257" t="s">
        <v>19007</v>
      </c>
      <c r="I841" s="9">
        <v>1</v>
      </c>
    </row>
    <row r="842" spans="1:9">
      <c r="A842" s="257" t="s">
        <v>1940</v>
      </c>
      <c r="B842" s="9">
        <v>9</v>
      </c>
      <c r="C842" s="257" t="s">
        <v>9862</v>
      </c>
      <c r="D842" s="9">
        <v>1721642.4785900116</v>
      </c>
      <c r="E842" s="9">
        <v>1721642.4785900116</v>
      </c>
      <c r="F842" s="257" t="s">
        <v>14167</v>
      </c>
      <c r="G842" s="9"/>
      <c r="H842" s="257" t="s">
        <v>19008</v>
      </c>
      <c r="I842" s="9">
        <v>1</v>
      </c>
    </row>
    <row r="843" spans="1:9">
      <c r="A843" s="257" t="s">
        <v>1941</v>
      </c>
      <c r="B843" s="9">
        <v>9</v>
      </c>
      <c r="C843" s="257" t="s">
        <v>9863</v>
      </c>
      <c r="D843" s="9">
        <v>36996318787.338287</v>
      </c>
      <c r="E843" s="9">
        <v>1721642.4785900116</v>
      </c>
      <c r="F843" s="257" t="s">
        <v>14167</v>
      </c>
      <c r="G843" s="9"/>
      <c r="H843" s="257" t="s">
        <v>19009</v>
      </c>
      <c r="I843" s="9">
        <v>1</v>
      </c>
    </row>
    <row r="844" spans="1:9">
      <c r="A844" s="257" t="s">
        <v>1942</v>
      </c>
      <c r="B844" s="9">
        <v>9</v>
      </c>
      <c r="C844" s="257" t="s">
        <v>9864</v>
      </c>
      <c r="D844" s="9">
        <v>1</v>
      </c>
      <c r="E844" s="9">
        <v>1721642.4785900116</v>
      </c>
      <c r="F844" s="257" t="s">
        <v>14167</v>
      </c>
      <c r="G844" s="9"/>
      <c r="H844" s="257" t="s">
        <v>19010</v>
      </c>
      <c r="I844" s="9">
        <v>1</v>
      </c>
    </row>
    <row r="845" spans="1:9">
      <c r="A845" s="257" t="s">
        <v>1943</v>
      </c>
      <c r="B845" s="9">
        <v>9</v>
      </c>
      <c r="C845" s="257" t="s">
        <v>9865</v>
      </c>
      <c r="D845" s="9">
        <v>21488.967220207927</v>
      </c>
      <c r="E845" s="9">
        <v>1721642.4785900116</v>
      </c>
      <c r="F845" s="257" t="s">
        <v>14167</v>
      </c>
      <c r="G845" s="9"/>
      <c r="H845" s="257" t="s">
        <v>19011</v>
      </c>
      <c r="I845" s="9">
        <v>1</v>
      </c>
    </row>
    <row r="846" spans="1:9">
      <c r="A846" s="257" t="s">
        <v>1944</v>
      </c>
      <c r="B846" s="9">
        <v>9</v>
      </c>
      <c r="C846" s="257" t="s">
        <v>9866</v>
      </c>
      <c r="D846" s="9">
        <v>1721642.4785900116</v>
      </c>
      <c r="E846" s="9">
        <v>1721642.4785900116</v>
      </c>
      <c r="F846" s="257" t="s">
        <v>14168</v>
      </c>
      <c r="G846" s="9"/>
      <c r="H846" s="257" t="s">
        <v>19012</v>
      </c>
      <c r="I846" s="9">
        <v>1</v>
      </c>
    </row>
    <row r="847" spans="1:9">
      <c r="A847" s="257" t="s">
        <v>1945</v>
      </c>
      <c r="B847" s="9">
        <v>9</v>
      </c>
      <c r="C847" s="257" t="s">
        <v>9867</v>
      </c>
      <c r="D847" s="9">
        <v>6465347953.3376913</v>
      </c>
      <c r="E847" s="9">
        <v>1721642.4785900116</v>
      </c>
      <c r="F847" s="257" t="s">
        <v>14168</v>
      </c>
      <c r="G847" s="9"/>
      <c r="H847" s="257" t="s">
        <v>19013</v>
      </c>
      <c r="I847" s="9">
        <v>1</v>
      </c>
    </row>
    <row r="848" spans="1:9">
      <c r="A848" s="257" t="s">
        <v>1946</v>
      </c>
      <c r="B848" s="9">
        <v>9</v>
      </c>
      <c r="C848" s="257" t="s">
        <v>9868</v>
      </c>
      <c r="D848" s="9">
        <v>1</v>
      </c>
      <c r="E848" s="9">
        <v>1721642.4785900116</v>
      </c>
      <c r="F848" s="257" t="s">
        <v>14168</v>
      </c>
      <c r="G848" s="9"/>
      <c r="H848" s="257" t="s">
        <v>19014</v>
      </c>
      <c r="I848" s="9">
        <v>1</v>
      </c>
    </row>
    <row r="849" spans="1:9">
      <c r="A849" s="257" t="s">
        <v>1947</v>
      </c>
      <c r="B849" s="9">
        <v>9</v>
      </c>
      <c r="C849" s="257" t="s">
        <v>9869</v>
      </c>
      <c r="D849" s="9">
        <v>3755.3371467882653</v>
      </c>
      <c r="E849" s="9">
        <v>1721642.4785900116</v>
      </c>
      <c r="F849" s="257" t="s">
        <v>14168</v>
      </c>
      <c r="G849" s="9"/>
      <c r="H849" s="257" t="s">
        <v>19015</v>
      </c>
      <c r="I849" s="9">
        <v>1</v>
      </c>
    </row>
    <row r="850" spans="1:9">
      <c r="A850" s="257" t="s">
        <v>1948</v>
      </c>
      <c r="B850" s="9">
        <v>9</v>
      </c>
      <c r="C850" s="257" t="s">
        <v>9870</v>
      </c>
      <c r="D850" s="9">
        <v>1559742.609960556</v>
      </c>
      <c r="E850" s="9">
        <v>1721642.4785900116</v>
      </c>
      <c r="F850" s="257" t="s">
        <v>14169</v>
      </c>
      <c r="G850" s="9"/>
      <c r="H850" s="257" t="s">
        <v>19016</v>
      </c>
      <c r="I850" s="9">
        <v>1</v>
      </c>
    </row>
    <row r="851" spans="1:9">
      <c r="A851" s="257" t="s">
        <v>1949</v>
      </c>
      <c r="B851" s="9">
        <v>9</v>
      </c>
      <c r="C851" s="257" t="s">
        <v>9871</v>
      </c>
      <c r="D851" s="9">
        <v>6724927351.9334068</v>
      </c>
      <c r="E851" s="9">
        <v>1721642.4785900116</v>
      </c>
      <c r="F851" s="257" t="s">
        <v>14169</v>
      </c>
      <c r="G851" s="9"/>
      <c r="H851" s="257" t="s">
        <v>19017</v>
      </c>
      <c r="I851" s="9">
        <v>1</v>
      </c>
    </row>
    <row r="852" spans="1:9">
      <c r="A852" s="257" t="s">
        <v>1950</v>
      </c>
      <c r="B852" s="9">
        <v>9</v>
      </c>
      <c r="C852" s="257" t="s">
        <v>9872</v>
      </c>
      <c r="D852" s="9">
        <v>0.90596196908312343</v>
      </c>
      <c r="E852" s="9">
        <v>1721642.4785900116</v>
      </c>
      <c r="F852" s="257" t="s">
        <v>14169</v>
      </c>
      <c r="G852" s="9"/>
      <c r="H852" s="257" t="s">
        <v>19018</v>
      </c>
      <c r="I852" s="9">
        <v>1</v>
      </c>
    </row>
    <row r="853" spans="1:9">
      <c r="A853" s="257" t="s">
        <v>1951</v>
      </c>
      <c r="B853" s="9">
        <v>9</v>
      </c>
      <c r="C853" s="257" t="s">
        <v>9873</v>
      </c>
      <c r="D853" s="9">
        <v>3906.1114229947316</v>
      </c>
      <c r="E853" s="9">
        <v>1721642.4785900116</v>
      </c>
      <c r="F853" s="257" t="s">
        <v>14169</v>
      </c>
      <c r="G853" s="9"/>
      <c r="H853" s="257" t="s">
        <v>19019</v>
      </c>
      <c r="I853" s="9">
        <v>1</v>
      </c>
    </row>
    <row r="854" spans="1:9">
      <c r="A854" s="257" t="s">
        <v>1952</v>
      </c>
      <c r="B854" s="9">
        <v>9</v>
      </c>
      <c r="C854" s="257" t="s">
        <v>9874</v>
      </c>
      <c r="D854" s="9">
        <v>1721642.4785900116</v>
      </c>
      <c r="E854" s="9">
        <v>1721642.4785900116</v>
      </c>
      <c r="F854" s="257" t="s">
        <v>14170</v>
      </c>
      <c r="G854" s="9"/>
      <c r="H854" s="257" t="s">
        <v>19020</v>
      </c>
      <c r="I854" s="9">
        <v>1</v>
      </c>
    </row>
    <row r="855" spans="1:9">
      <c r="A855" s="257" t="s">
        <v>1953</v>
      </c>
      <c r="B855" s="9">
        <v>9</v>
      </c>
      <c r="C855" s="257" t="s">
        <v>9875</v>
      </c>
      <c r="D855" s="9">
        <v>43721246139.271698</v>
      </c>
      <c r="E855" s="9">
        <v>1721642.4785900116</v>
      </c>
      <c r="F855" s="257" t="s">
        <v>14170</v>
      </c>
      <c r="G855" s="9"/>
      <c r="H855" s="257" t="s">
        <v>19021</v>
      </c>
      <c r="I855" s="9">
        <v>1</v>
      </c>
    </row>
    <row r="856" spans="1:9">
      <c r="A856" s="257" t="s">
        <v>1954</v>
      </c>
      <c r="B856" s="9">
        <v>9</v>
      </c>
      <c r="C856" s="257" t="s">
        <v>9876</v>
      </c>
      <c r="D856" s="9">
        <v>1</v>
      </c>
      <c r="E856" s="9">
        <v>1721642.4785900116</v>
      </c>
      <c r="F856" s="257" t="s">
        <v>14170</v>
      </c>
      <c r="G856" s="9"/>
      <c r="H856" s="257" t="s">
        <v>19022</v>
      </c>
      <c r="I856" s="9">
        <v>1</v>
      </c>
    </row>
    <row r="857" spans="1:9">
      <c r="A857" s="257" t="s">
        <v>1955</v>
      </c>
      <c r="B857" s="9">
        <v>9</v>
      </c>
      <c r="C857" s="257" t="s">
        <v>9877</v>
      </c>
      <c r="D857" s="9">
        <v>25395.078643202662</v>
      </c>
      <c r="E857" s="9">
        <v>1721642.4785900116</v>
      </c>
      <c r="F857" s="257" t="s">
        <v>14170</v>
      </c>
      <c r="G857" s="9"/>
      <c r="H857" s="257" t="s">
        <v>19023</v>
      </c>
      <c r="I857" s="9">
        <v>1</v>
      </c>
    </row>
    <row r="858" spans="1:9">
      <c r="A858" s="257" t="s">
        <v>1956</v>
      </c>
      <c r="B858" s="9">
        <v>9</v>
      </c>
      <c r="C858" s="257" t="s">
        <v>9878</v>
      </c>
      <c r="D858" s="9">
        <v>1721642.4785900116</v>
      </c>
      <c r="E858" s="9">
        <v>1721642.4785900116</v>
      </c>
      <c r="F858" s="257" t="s">
        <v>14171</v>
      </c>
      <c r="G858" s="9"/>
      <c r="H858" s="257" t="s">
        <v>19024</v>
      </c>
      <c r="I858" s="9">
        <v>1</v>
      </c>
    </row>
    <row r="859" spans="1:9">
      <c r="A859" s="257" t="s">
        <v>1957</v>
      </c>
      <c r="B859" s="9">
        <v>9</v>
      </c>
      <c r="C859" s="257" t="s">
        <v>9879</v>
      </c>
      <c r="D859" s="9">
        <v>43721246139.271698</v>
      </c>
      <c r="E859" s="9">
        <v>1721642.4785900116</v>
      </c>
      <c r="F859" s="257" t="s">
        <v>14171</v>
      </c>
      <c r="G859" s="9"/>
      <c r="H859" s="257" t="s">
        <v>19025</v>
      </c>
      <c r="I859" s="9">
        <v>1</v>
      </c>
    </row>
    <row r="860" spans="1:9">
      <c r="A860" s="257" t="s">
        <v>1958</v>
      </c>
      <c r="B860" s="9">
        <v>9</v>
      </c>
      <c r="C860" s="257" t="s">
        <v>9880</v>
      </c>
      <c r="D860" s="9">
        <v>1</v>
      </c>
      <c r="E860" s="9">
        <v>1721642.4785900116</v>
      </c>
      <c r="F860" s="257" t="s">
        <v>14171</v>
      </c>
      <c r="G860" s="9"/>
      <c r="H860" s="257" t="s">
        <v>19026</v>
      </c>
      <c r="I860" s="9">
        <v>1</v>
      </c>
    </row>
    <row r="861" spans="1:9">
      <c r="A861" s="257" t="s">
        <v>1959</v>
      </c>
      <c r="B861" s="9">
        <v>9</v>
      </c>
      <c r="C861" s="257" t="s">
        <v>9881</v>
      </c>
      <c r="D861" s="9">
        <v>25395.078643202662</v>
      </c>
      <c r="E861" s="9">
        <v>1721642.4785900116</v>
      </c>
      <c r="F861" s="257" t="s">
        <v>14171</v>
      </c>
      <c r="G861" s="9"/>
      <c r="H861" s="257" t="s">
        <v>19027</v>
      </c>
      <c r="I861" s="9">
        <v>1</v>
      </c>
    </row>
    <row r="862" spans="1:9">
      <c r="A862" s="257" t="s">
        <v>1960</v>
      </c>
      <c r="B862" s="9">
        <v>9</v>
      </c>
      <c r="C862" s="257" t="s">
        <v>9882</v>
      </c>
      <c r="D862" s="9">
        <v>1721642.4785900116</v>
      </c>
      <c r="E862" s="9">
        <v>1721642.4785900116</v>
      </c>
      <c r="F862" s="257" t="s">
        <v>14172</v>
      </c>
      <c r="G862" s="9"/>
      <c r="H862" s="257" t="s">
        <v>19028</v>
      </c>
      <c r="I862" s="9">
        <v>1</v>
      </c>
    </row>
    <row r="863" spans="1:9">
      <c r="A863" s="257" t="s">
        <v>1961</v>
      </c>
      <c r="B863" s="9">
        <v>9</v>
      </c>
      <c r="C863" s="257" t="s">
        <v>9883</v>
      </c>
      <c r="D863" s="9">
        <v>24433811548.55759</v>
      </c>
      <c r="E863" s="9">
        <v>1721642.4785900116</v>
      </c>
      <c r="F863" s="257" t="s">
        <v>14172</v>
      </c>
      <c r="G863" s="9"/>
      <c r="H863" s="257" t="s">
        <v>19029</v>
      </c>
      <c r="I863" s="9">
        <v>1</v>
      </c>
    </row>
    <row r="864" spans="1:9">
      <c r="A864" s="257" t="s">
        <v>1962</v>
      </c>
      <c r="B864" s="9">
        <v>9</v>
      </c>
      <c r="C864" s="257" t="s">
        <v>9884</v>
      </c>
      <c r="D864" s="9">
        <v>1</v>
      </c>
      <c r="E864" s="9">
        <v>1721642.4785900116</v>
      </c>
      <c r="F864" s="257" t="s">
        <v>14172</v>
      </c>
      <c r="G864" s="9"/>
      <c r="H864" s="257" t="s">
        <v>19030</v>
      </c>
      <c r="I864" s="9">
        <v>1</v>
      </c>
    </row>
    <row r="865" spans="1:9">
      <c r="A865" s="257" t="s">
        <v>1963</v>
      </c>
      <c r="B865" s="9">
        <v>9</v>
      </c>
      <c r="C865" s="257" t="s">
        <v>9885</v>
      </c>
      <c r="D865" s="9">
        <v>14192.151885429988</v>
      </c>
      <c r="E865" s="9">
        <v>1721642.4785900116</v>
      </c>
      <c r="F865" s="257" t="s">
        <v>14172</v>
      </c>
      <c r="G865" s="9"/>
      <c r="H865" s="257" t="s">
        <v>19031</v>
      </c>
      <c r="I865" s="9">
        <v>1</v>
      </c>
    </row>
    <row r="866" spans="1:9">
      <c r="A866" s="257" t="s">
        <v>1964</v>
      </c>
      <c r="B866" s="9">
        <v>9</v>
      </c>
      <c r="C866" s="257" t="s">
        <v>9886</v>
      </c>
      <c r="D866" s="9">
        <v>1721642.4785900116</v>
      </c>
      <c r="E866" s="9">
        <v>1721642.4785900116</v>
      </c>
      <c r="F866" s="257" t="s">
        <v>14173</v>
      </c>
      <c r="G866" s="9"/>
      <c r="H866" s="257" t="s">
        <v>19032</v>
      </c>
      <c r="I866" s="9">
        <v>1</v>
      </c>
    </row>
    <row r="867" spans="1:9">
      <c r="A867" s="257" t="s">
        <v>1965</v>
      </c>
      <c r="B867" s="9">
        <v>9</v>
      </c>
      <c r="C867" s="257" t="s">
        <v>9887</v>
      </c>
      <c r="D867" s="9">
        <v>24433811548.55759</v>
      </c>
      <c r="E867" s="9">
        <v>1721642.4785900116</v>
      </c>
      <c r="F867" s="257" t="s">
        <v>14173</v>
      </c>
      <c r="G867" s="9"/>
      <c r="H867" s="257" t="s">
        <v>19033</v>
      </c>
      <c r="I867" s="9">
        <v>1</v>
      </c>
    </row>
    <row r="868" spans="1:9">
      <c r="A868" s="257" t="s">
        <v>1966</v>
      </c>
      <c r="B868" s="9">
        <v>9</v>
      </c>
      <c r="C868" s="257" t="s">
        <v>9888</v>
      </c>
      <c r="D868" s="9">
        <v>1</v>
      </c>
      <c r="E868" s="9">
        <v>1721642.4785900116</v>
      </c>
      <c r="F868" s="257" t="s">
        <v>14173</v>
      </c>
      <c r="G868" s="9"/>
      <c r="H868" s="257" t="s">
        <v>19034</v>
      </c>
      <c r="I868" s="9">
        <v>1</v>
      </c>
    </row>
    <row r="869" spans="1:9">
      <c r="A869" s="257" t="s">
        <v>1967</v>
      </c>
      <c r="B869" s="9">
        <v>9</v>
      </c>
      <c r="C869" s="257" t="s">
        <v>9889</v>
      </c>
      <c r="D869" s="9">
        <v>14192.151885429988</v>
      </c>
      <c r="E869" s="9">
        <v>1721642.4785900116</v>
      </c>
      <c r="F869" s="257" t="s">
        <v>14173</v>
      </c>
      <c r="G869" s="9"/>
      <c r="H869" s="257" t="s">
        <v>19035</v>
      </c>
      <c r="I869" s="9">
        <v>1</v>
      </c>
    </row>
    <row r="870" spans="1:9">
      <c r="A870" s="257" t="s">
        <v>1968</v>
      </c>
      <c r="B870" s="9">
        <v>9</v>
      </c>
      <c r="C870" s="257" t="s">
        <v>9890</v>
      </c>
      <c r="D870" s="9">
        <v>1721642.4785900116</v>
      </c>
      <c r="E870" s="9">
        <v>1721642.4785900116</v>
      </c>
      <c r="F870" s="257" t="s">
        <v>14174</v>
      </c>
      <c r="G870" s="9"/>
      <c r="H870" s="257" t="s">
        <v>19036</v>
      </c>
      <c r="I870" s="9">
        <v>1</v>
      </c>
    </row>
    <row r="871" spans="1:9">
      <c r="A871" s="257" t="s">
        <v>1969</v>
      </c>
      <c r="B871" s="9">
        <v>9</v>
      </c>
      <c r="C871" s="257" t="s">
        <v>9891</v>
      </c>
      <c r="D871" s="9">
        <v>12562507238.780697</v>
      </c>
      <c r="E871" s="9">
        <v>1721642.4785900116</v>
      </c>
      <c r="F871" s="257" t="s">
        <v>14174</v>
      </c>
      <c r="G871" s="9"/>
      <c r="H871" s="257" t="s">
        <v>19037</v>
      </c>
      <c r="I871" s="9">
        <v>1</v>
      </c>
    </row>
    <row r="872" spans="1:9">
      <c r="A872" s="257" t="s">
        <v>1970</v>
      </c>
      <c r="B872" s="9">
        <v>9</v>
      </c>
      <c r="C872" s="257" t="s">
        <v>9892</v>
      </c>
      <c r="D872" s="9">
        <v>1</v>
      </c>
      <c r="E872" s="9">
        <v>1721642.4785900116</v>
      </c>
      <c r="F872" s="257" t="s">
        <v>14174</v>
      </c>
      <c r="G872" s="9"/>
      <c r="H872" s="257" t="s">
        <v>19038</v>
      </c>
      <c r="I872" s="9">
        <v>1</v>
      </c>
    </row>
    <row r="873" spans="1:9">
      <c r="A873" s="257" t="s">
        <v>1971</v>
      </c>
      <c r="B873" s="9">
        <v>9</v>
      </c>
      <c r="C873" s="257" t="s">
        <v>9893</v>
      </c>
      <c r="D873" s="9">
        <v>7296.8153347779398</v>
      </c>
      <c r="E873" s="9">
        <v>1721642.4785900116</v>
      </c>
      <c r="F873" s="257" t="s">
        <v>14174</v>
      </c>
      <c r="G873" s="9"/>
      <c r="H873" s="257" t="s">
        <v>19039</v>
      </c>
      <c r="I873" s="9">
        <v>1</v>
      </c>
    </row>
    <row r="874" spans="1:9">
      <c r="A874" s="257" t="s">
        <v>1972</v>
      </c>
      <c r="B874" s="9">
        <v>9</v>
      </c>
      <c r="C874" s="257" t="s">
        <v>9894</v>
      </c>
      <c r="D874" s="9">
        <v>1721642.4785900116</v>
      </c>
      <c r="E874" s="9">
        <v>1721642.4785900116</v>
      </c>
      <c r="F874" s="257" t="s">
        <v>14175</v>
      </c>
      <c r="G874" s="9"/>
      <c r="H874" s="257" t="s">
        <v>19040</v>
      </c>
      <c r="I874" s="9">
        <v>1</v>
      </c>
    </row>
    <row r="875" spans="1:9">
      <c r="A875" s="257" t="s">
        <v>1973</v>
      </c>
      <c r="B875" s="9">
        <v>9</v>
      </c>
      <c r="C875" s="257" t="s">
        <v>9895</v>
      </c>
      <c r="D875" s="9">
        <v>18502225437.945137</v>
      </c>
      <c r="E875" s="9">
        <v>1721642.4785900116</v>
      </c>
      <c r="F875" s="257" t="s">
        <v>14175</v>
      </c>
      <c r="G875" s="9"/>
      <c r="H875" s="257" t="s">
        <v>19041</v>
      </c>
      <c r="I875" s="9">
        <v>1</v>
      </c>
    </row>
    <row r="876" spans="1:9">
      <c r="A876" s="257" t="s">
        <v>1974</v>
      </c>
      <c r="B876" s="9">
        <v>9</v>
      </c>
      <c r="C876" s="257" t="s">
        <v>9896</v>
      </c>
      <c r="D876" s="9">
        <v>1</v>
      </c>
      <c r="E876" s="9">
        <v>1721642.4785900116</v>
      </c>
      <c r="F876" s="257" t="s">
        <v>14175</v>
      </c>
      <c r="G876" s="9"/>
      <c r="H876" s="257" t="s">
        <v>19042</v>
      </c>
      <c r="I876" s="9">
        <v>1</v>
      </c>
    </row>
    <row r="877" spans="1:9">
      <c r="A877" s="257" t="s">
        <v>1975</v>
      </c>
      <c r="B877" s="9">
        <v>9</v>
      </c>
      <c r="C877" s="257" t="s">
        <v>9897</v>
      </c>
      <c r="D877" s="9">
        <v>10746.845334054527</v>
      </c>
      <c r="E877" s="9">
        <v>1721642.4785900116</v>
      </c>
      <c r="F877" s="257" t="s">
        <v>14175</v>
      </c>
      <c r="G877" s="9"/>
      <c r="H877" s="257" t="s">
        <v>19043</v>
      </c>
      <c r="I877" s="9">
        <v>1</v>
      </c>
    </row>
    <row r="878" spans="1:9">
      <c r="A878" s="257" t="s">
        <v>1976</v>
      </c>
      <c r="B878" s="9">
        <v>9</v>
      </c>
      <c r="C878" s="257" t="s">
        <v>9898</v>
      </c>
      <c r="D878" s="9">
        <v>1545424.5445251465</v>
      </c>
      <c r="E878" s="9">
        <v>1721642.4785900116</v>
      </c>
      <c r="F878" s="257" t="s">
        <v>14176</v>
      </c>
      <c r="G878" s="9"/>
      <c r="H878" s="257" t="s">
        <v>19044</v>
      </c>
      <c r="I878" s="9">
        <v>1</v>
      </c>
    </row>
    <row r="879" spans="1:9">
      <c r="A879" s="257" t="s">
        <v>1977</v>
      </c>
      <c r="B879" s="9">
        <v>9</v>
      </c>
      <c r="C879" s="257" t="s">
        <v>9899</v>
      </c>
      <c r="D879" s="9">
        <v>22081960428.445004</v>
      </c>
      <c r="E879" s="9">
        <v>1721642.4785900116</v>
      </c>
      <c r="F879" s="257" t="s">
        <v>14176</v>
      </c>
      <c r="G879" s="9"/>
      <c r="H879" s="257" t="s">
        <v>19045</v>
      </c>
      <c r="I879" s="9">
        <v>1</v>
      </c>
    </row>
    <row r="880" spans="1:9">
      <c r="A880" s="257" t="s">
        <v>1978</v>
      </c>
      <c r="B880" s="9">
        <v>9</v>
      </c>
      <c r="C880" s="257" t="s">
        <v>9900</v>
      </c>
      <c r="D880" s="9">
        <v>0.89764545411938035</v>
      </c>
      <c r="E880" s="9">
        <v>1721642.4785900116</v>
      </c>
      <c r="F880" s="257" t="s">
        <v>14176</v>
      </c>
      <c r="G880" s="9"/>
      <c r="H880" s="257" t="s">
        <v>19046</v>
      </c>
      <c r="I880" s="9">
        <v>1</v>
      </c>
    </row>
    <row r="881" spans="1:9">
      <c r="A881" s="257" t="s">
        <v>1979</v>
      </c>
      <c r="B881" s="9">
        <v>9</v>
      </c>
      <c r="C881" s="257" t="s">
        <v>9901</v>
      </c>
      <c r="D881" s="9">
        <v>12826.101065146613</v>
      </c>
      <c r="E881" s="9">
        <v>1721642.4785900116</v>
      </c>
      <c r="F881" s="257" t="s">
        <v>14176</v>
      </c>
      <c r="G881" s="9"/>
      <c r="H881" s="257" t="s">
        <v>19047</v>
      </c>
      <c r="I881" s="9">
        <v>1</v>
      </c>
    </row>
    <row r="882" spans="1:9">
      <c r="A882" s="257" t="s">
        <v>1980</v>
      </c>
      <c r="B882" s="9">
        <v>9</v>
      </c>
      <c r="C882" s="257" t="s">
        <v>9902</v>
      </c>
      <c r="D882" s="9">
        <v>1721642.4785900116</v>
      </c>
      <c r="E882" s="9">
        <v>1721642.4785900116</v>
      </c>
      <c r="F882" s="257" t="s">
        <v>14177</v>
      </c>
      <c r="G882" s="9"/>
      <c r="H882" s="257" t="s">
        <v>19048</v>
      </c>
      <c r="I882" s="9">
        <v>1</v>
      </c>
    </row>
    <row r="883" spans="1:9">
      <c r="A883" s="257" t="s">
        <v>1981</v>
      </c>
      <c r="B883" s="9">
        <v>9</v>
      </c>
      <c r="C883" s="257" t="s">
        <v>9903</v>
      </c>
      <c r="D883" s="9">
        <v>3137060272.8815532</v>
      </c>
      <c r="E883" s="9">
        <v>1721642.4785900116</v>
      </c>
      <c r="F883" s="257" t="s">
        <v>14177</v>
      </c>
      <c r="G883" s="9"/>
      <c r="H883" s="257" t="s">
        <v>19049</v>
      </c>
      <c r="I883" s="9">
        <v>1</v>
      </c>
    </row>
    <row r="884" spans="1:9">
      <c r="A884" s="257" t="s">
        <v>1982</v>
      </c>
      <c r="B884" s="9">
        <v>9</v>
      </c>
      <c r="C884" s="257" t="s">
        <v>9904</v>
      </c>
      <c r="D884" s="9">
        <v>1</v>
      </c>
      <c r="E884" s="9">
        <v>1721642.4785900116</v>
      </c>
      <c r="F884" s="257" t="s">
        <v>14177</v>
      </c>
      <c r="G884" s="9"/>
      <c r="H884" s="257" t="s">
        <v>19050</v>
      </c>
      <c r="I884" s="9">
        <v>1</v>
      </c>
    </row>
    <row r="885" spans="1:9">
      <c r="A885" s="257" t="s">
        <v>1983</v>
      </c>
      <c r="B885" s="9">
        <v>9</v>
      </c>
      <c r="C885" s="257" t="s">
        <v>9905</v>
      </c>
      <c r="D885" s="9">
        <v>1822.1322440015181</v>
      </c>
      <c r="E885" s="9">
        <v>1721642.4785900116</v>
      </c>
      <c r="F885" s="257" t="s">
        <v>14177</v>
      </c>
      <c r="G885" s="9"/>
      <c r="H885" s="257" t="s">
        <v>19051</v>
      </c>
      <c r="I885" s="9">
        <v>1</v>
      </c>
    </row>
    <row r="886" spans="1:9">
      <c r="A886" s="257" t="s">
        <v>1984</v>
      </c>
      <c r="B886" s="9">
        <v>9</v>
      </c>
      <c r="C886" s="257" t="s">
        <v>9906</v>
      </c>
      <c r="D886" s="9">
        <v>1721642.4785900116</v>
      </c>
      <c r="E886" s="9">
        <v>1721642.4785900116</v>
      </c>
      <c r="F886" s="257" t="s">
        <v>14178</v>
      </c>
      <c r="G886" s="9"/>
      <c r="H886" s="257" t="s">
        <v>19052</v>
      </c>
      <c r="I886" s="9">
        <v>1</v>
      </c>
    </row>
    <row r="887" spans="1:9">
      <c r="A887" s="257" t="s">
        <v>1985</v>
      </c>
      <c r="B887" s="9">
        <v>9</v>
      </c>
      <c r="C887" s="257" t="s">
        <v>9907</v>
      </c>
      <c r="D887" s="9">
        <v>25219020701.326557</v>
      </c>
      <c r="E887" s="9">
        <v>1721642.4785900116</v>
      </c>
      <c r="F887" s="257" t="s">
        <v>14178</v>
      </c>
      <c r="G887" s="9"/>
      <c r="H887" s="257" t="s">
        <v>19053</v>
      </c>
      <c r="I887" s="9">
        <v>1</v>
      </c>
    </row>
    <row r="888" spans="1:9">
      <c r="A888" s="257" t="s">
        <v>1986</v>
      </c>
      <c r="B888" s="9">
        <v>9</v>
      </c>
      <c r="C888" s="257" t="s">
        <v>9908</v>
      </c>
      <c r="D888" s="9">
        <v>1</v>
      </c>
      <c r="E888" s="9">
        <v>1721642.4785900116</v>
      </c>
      <c r="F888" s="257" t="s">
        <v>14178</v>
      </c>
      <c r="G888" s="9"/>
      <c r="H888" s="257" t="s">
        <v>19054</v>
      </c>
      <c r="I888" s="9">
        <v>1</v>
      </c>
    </row>
    <row r="889" spans="1:9">
      <c r="A889" s="257" t="s">
        <v>1987</v>
      </c>
      <c r="B889" s="9">
        <v>9</v>
      </c>
      <c r="C889" s="257" t="s">
        <v>9909</v>
      </c>
      <c r="D889" s="9">
        <v>14648.233309148132</v>
      </c>
      <c r="E889" s="9">
        <v>1721642.4785900116</v>
      </c>
      <c r="F889" s="257" t="s">
        <v>14178</v>
      </c>
      <c r="G889" s="9"/>
      <c r="H889" s="257" t="s">
        <v>19055</v>
      </c>
      <c r="I889" s="9">
        <v>1</v>
      </c>
    </row>
    <row r="890" spans="1:9">
      <c r="A890" s="257" t="s">
        <v>1988</v>
      </c>
      <c r="B890" s="9">
        <v>9</v>
      </c>
      <c r="C890" s="257" t="s">
        <v>9910</v>
      </c>
      <c r="D890" s="9">
        <v>526238.63017272949</v>
      </c>
      <c r="E890" s="9">
        <v>1721642.4785900116</v>
      </c>
      <c r="F890" s="257" t="s">
        <v>14179</v>
      </c>
      <c r="G890" s="9"/>
      <c r="H890" s="257" t="s">
        <v>19056</v>
      </c>
      <c r="I890" s="9">
        <v>1</v>
      </c>
    </row>
    <row r="891" spans="1:9">
      <c r="A891" s="257" t="s">
        <v>1989</v>
      </c>
      <c r="B891" s="9">
        <v>9</v>
      </c>
      <c r="C891" s="257" t="s">
        <v>9911</v>
      </c>
      <c r="D891" s="9">
        <v>785209152.76896811</v>
      </c>
      <c r="E891" s="9">
        <v>1721642.4785900116</v>
      </c>
      <c r="F891" s="257" t="s">
        <v>14179</v>
      </c>
      <c r="G891" s="9"/>
      <c r="H891" s="257" t="s">
        <v>19057</v>
      </c>
      <c r="I891" s="9">
        <v>1</v>
      </c>
    </row>
    <row r="892" spans="1:9">
      <c r="A892" s="257" t="s">
        <v>1990</v>
      </c>
      <c r="B892" s="9">
        <v>9</v>
      </c>
      <c r="C892" s="257" t="s">
        <v>9912</v>
      </c>
      <c r="D892" s="9">
        <v>0.30566080746550101</v>
      </c>
      <c r="E892" s="9">
        <v>1721642.4785900116</v>
      </c>
      <c r="F892" s="257" t="s">
        <v>14179</v>
      </c>
      <c r="G892" s="9"/>
      <c r="H892" s="257" t="s">
        <v>19058</v>
      </c>
      <c r="I892" s="9">
        <v>1</v>
      </c>
    </row>
    <row r="893" spans="1:9">
      <c r="A893" s="257" t="s">
        <v>1991</v>
      </c>
      <c r="B893" s="9">
        <v>9</v>
      </c>
      <c r="C893" s="257" t="s">
        <v>9913</v>
      </c>
      <c r="D893" s="9">
        <v>456.08142371814478</v>
      </c>
      <c r="E893" s="9">
        <v>1721642.4785900116</v>
      </c>
      <c r="F893" s="257" t="s">
        <v>14179</v>
      </c>
      <c r="G893" s="9"/>
      <c r="H893" s="257" t="s">
        <v>19059</v>
      </c>
      <c r="I893" s="9">
        <v>1</v>
      </c>
    </row>
    <row r="894" spans="1:9">
      <c r="A894" s="257" t="s">
        <v>1992</v>
      </c>
      <c r="B894" s="9">
        <v>9</v>
      </c>
      <c r="C894" s="257" t="s">
        <v>9914</v>
      </c>
      <c r="D894" s="9">
        <v>1539397.4216518402</v>
      </c>
      <c r="E894" s="9">
        <v>1721642.4785900116</v>
      </c>
      <c r="F894" s="257" t="s">
        <v>14180</v>
      </c>
      <c r="G894" s="9"/>
      <c r="H894" s="257" t="s">
        <v>19060</v>
      </c>
      <c r="I894" s="9">
        <v>1</v>
      </c>
    </row>
    <row r="895" spans="1:9">
      <c r="A895" s="257" t="s">
        <v>1993</v>
      </c>
      <c r="B895" s="9">
        <v>9</v>
      </c>
      <c r="C895" s="257" t="s">
        <v>9915</v>
      </c>
      <c r="D895" s="9">
        <v>5939718199.1644392</v>
      </c>
      <c r="E895" s="9">
        <v>1721642.4785900116</v>
      </c>
      <c r="F895" s="257" t="s">
        <v>14180</v>
      </c>
      <c r="G895" s="9"/>
      <c r="H895" s="257" t="s">
        <v>19061</v>
      </c>
      <c r="I895" s="9">
        <v>1</v>
      </c>
    </row>
    <row r="896" spans="1:9">
      <c r="A896" s="257" t="s">
        <v>1994</v>
      </c>
      <c r="B896" s="9">
        <v>9</v>
      </c>
      <c r="C896" s="257" t="s">
        <v>9916</v>
      </c>
      <c r="D896" s="9">
        <v>0.89414465592912984</v>
      </c>
      <c r="E896" s="9">
        <v>1721642.4785900116</v>
      </c>
      <c r="F896" s="257" t="s">
        <v>14180</v>
      </c>
      <c r="G896" s="9"/>
      <c r="H896" s="257" t="s">
        <v>19062</v>
      </c>
      <c r="I896" s="9">
        <v>1</v>
      </c>
    </row>
    <row r="897" spans="1:9">
      <c r="A897" s="257" t="s">
        <v>1995</v>
      </c>
      <c r="B897" s="9">
        <v>9</v>
      </c>
      <c r="C897" s="257" t="s">
        <v>9917</v>
      </c>
      <c r="D897" s="9">
        <v>3450.0299992765872</v>
      </c>
      <c r="E897" s="9">
        <v>1721642.4785900116</v>
      </c>
      <c r="F897" s="257" t="s">
        <v>14180</v>
      </c>
      <c r="G897" s="9"/>
      <c r="H897" s="257" t="s">
        <v>19063</v>
      </c>
      <c r="I897" s="9">
        <v>1</v>
      </c>
    </row>
    <row r="898" spans="1:9">
      <c r="A898" s="257" t="s">
        <v>1996</v>
      </c>
      <c r="B898" s="9">
        <v>9</v>
      </c>
      <c r="C898" s="257" t="s">
        <v>9918</v>
      </c>
      <c r="D898" s="9">
        <v>0</v>
      </c>
      <c r="E898" s="9">
        <v>1721642.4785900116</v>
      </c>
      <c r="F898" s="257" t="s">
        <v>14181</v>
      </c>
      <c r="G898" s="9"/>
      <c r="H898" s="257" t="s">
        <v>19064</v>
      </c>
      <c r="I898" s="9">
        <v>1</v>
      </c>
    </row>
    <row r="899" spans="1:9">
      <c r="A899" s="257" t="s">
        <v>1997</v>
      </c>
      <c r="B899" s="9">
        <v>9</v>
      </c>
      <c r="C899" s="257" t="s">
        <v>9919</v>
      </c>
      <c r="D899" s="9">
        <v>0</v>
      </c>
      <c r="E899" s="9">
        <v>1721642.4785900116</v>
      </c>
      <c r="F899" s="257" t="s">
        <v>14181</v>
      </c>
      <c r="G899" s="9"/>
      <c r="H899" s="257" t="s">
        <v>19065</v>
      </c>
      <c r="I899" s="9">
        <v>1</v>
      </c>
    </row>
    <row r="900" spans="1:9">
      <c r="A900" s="257" t="s">
        <v>1998</v>
      </c>
      <c r="B900" s="9">
        <v>9</v>
      </c>
      <c r="C900" s="257" t="s">
        <v>9920</v>
      </c>
      <c r="D900" s="9">
        <v>0</v>
      </c>
      <c r="E900" s="9">
        <v>1721642.4785900116</v>
      </c>
      <c r="F900" s="257" t="s">
        <v>14181</v>
      </c>
      <c r="G900" s="9"/>
      <c r="H900" s="257" t="s">
        <v>19066</v>
      </c>
      <c r="I900" s="9">
        <v>1</v>
      </c>
    </row>
    <row r="901" spans="1:9">
      <c r="A901" s="257" t="s">
        <v>1999</v>
      </c>
      <c r="B901" s="9">
        <v>9</v>
      </c>
      <c r="C901" s="257" t="s">
        <v>9921</v>
      </c>
      <c r="D901" s="9">
        <v>0</v>
      </c>
      <c r="E901" s="9">
        <v>1721642.4785900116</v>
      </c>
      <c r="F901" s="257" t="s">
        <v>14181</v>
      </c>
      <c r="G901" s="9"/>
      <c r="H901" s="257" t="s">
        <v>19067</v>
      </c>
      <c r="I901" s="9">
        <v>1</v>
      </c>
    </row>
    <row r="902" spans="1:9">
      <c r="A902" s="257" t="s">
        <v>2000</v>
      </c>
      <c r="B902" s="9">
        <v>10</v>
      </c>
      <c r="C902" s="257" t="s">
        <v>9922</v>
      </c>
      <c r="D902" s="9">
        <v>1585486.8079090118</v>
      </c>
      <c r="E902" s="9">
        <v>1732307.5169143677</v>
      </c>
      <c r="F902" s="257" t="s">
        <v>14182</v>
      </c>
      <c r="G902" s="9"/>
      <c r="H902" s="257" t="s">
        <v>19068</v>
      </c>
      <c r="I902" s="9">
        <v>1</v>
      </c>
    </row>
    <row r="903" spans="1:9">
      <c r="A903" s="257" t="s">
        <v>2001</v>
      </c>
      <c r="B903" s="9">
        <v>10</v>
      </c>
      <c r="C903" s="257" t="s">
        <v>9923</v>
      </c>
      <c r="D903" s="9">
        <v>30737086210.036396</v>
      </c>
      <c r="E903" s="9">
        <v>1732307.5169143677</v>
      </c>
      <c r="F903" s="257" t="s">
        <v>14182</v>
      </c>
      <c r="G903" s="9"/>
      <c r="H903" s="257" t="s">
        <v>19069</v>
      </c>
      <c r="I903" s="9">
        <v>1</v>
      </c>
    </row>
    <row r="904" spans="1:9">
      <c r="A904" s="257" t="s">
        <v>2002</v>
      </c>
      <c r="B904" s="9">
        <v>10</v>
      </c>
      <c r="C904" s="257" t="s">
        <v>9924</v>
      </c>
      <c r="D904" s="9">
        <v>0.91524558568742065</v>
      </c>
      <c r="E904" s="9">
        <v>1732307.5169143677</v>
      </c>
      <c r="F904" s="257" t="s">
        <v>14182</v>
      </c>
      <c r="G904" s="9"/>
      <c r="H904" s="257" t="s">
        <v>19070</v>
      </c>
      <c r="I904" s="9">
        <v>1</v>
      </c>
    </row>
    <row r="905" spans="1:9">
      <c r="A905" s="257" t="s">
        <v>2003</v>
      </c>
      <c r="B905" s="9">
        <v>10</v>
      </c>
      <c r="C905" s="257" t="s">
        <v>9925</v>
      </c>
      <c r="D905" s="9">
        <v>17743.435221470441</v>
      </c>
      <c r="E905" s="9">
        <v>1732307.5169143677</v>
      </c>
      <c r="F905" s="257" t="s">
        <v>14182</v>
      </c>
      <c r="G905" s="9"/>
      <c r="H905" s="257" t="s">
        <v>19071</v>
      </c>
      <c r="I905" s="9">
        <v>1</v>
      </c>
    </row>
    <row r="906" spans="1:9">
      <c r="A906" s="257" t="s">
        <v>2004</v>
      </c>
      <c r="B906" s="9">
        <v>10</v>
      </c>
      <c r="C906" s="257" t="s">
        <v>9926</v>
      </c>
      <c r="D906" s="9">
        <v>0</v>
      </c>
      <c r="E906" s="9">
        <v>1732307.5169143677</v>
      </c>
      <c r="F906" s="257" t="s">
        <v>14183</v>
      </c>
      <c r="G906" s="9"/>
      <c r="H906" s="257" t="s">
        <v>19072</v>
      </c>
      <c r="I906" s="9">
        <v>1</v>
      </c>
    </row>
    <row r="907" spans="1:9">
      <c r="A907" s="257" t="s">
        <v>2005</v>
      </c>
      <c r="B907" s="9">
        <v>10</v>
      </c>
      <c r="C907" s="257" t="s">
        <v>9927</v>
      </c>
      <c r="D907" s="9">
        <v>0</v>
      </c>
      <c r="E907" s="9">
        <v>1732307.5169143677</v>
      </c>
      <c r="F907" s="257" t="s">
        <v>14183</v>
      </c>
      <c r="G907" s="9"/>
      <c r="H907" s="257" t="s">
        <v>19073</v>
      </c>
      <c r="I907" s="9">
        <v>1</v>
      </c>
    </row>
    <row r="908" spans="1:9">
      <c r="A908" s="257" t="s">
        <v>2006</v>
      </c>
      <c r="B908" s="9">
        <v>10</v>
      </c>
      <c r="C908" s="257" t="s">
        <v>9928</v>
      </c>
      <c r="D908" s="9">
        <v>0</v>
      </c>
      <c r="E908" s="9">
        <v>1732307.5169143677</v>
      </c>
      <c r="F908" s="257" t="s">
        <v>14183</v>
      </c>
      <c r="G908" s="9"/>
      <c r="H908" s="257" t="s">
        <v>19074</v>
      </c>
      <c r="I908" s="9">
        <v>1</v>
      </c>
    </row>
    <row r="909" spans="1:9">
      <c r="A909" s="257" t="s">
        <v>2007</v>
      </c>
      <c r="B909" s="9">
        <v>10</v>
      </c>
      <c r="C909" s="257" t="s">
        <v>9929</v>
      </c>
      <c r="D909" s="9">
        <v>0</v>
      </c>
      <c r="E909" s="9">
        <v>1732307.5169143677</v>
      </c>
      <c r="F909" s="257" t="s">
        <v>14183</v>
      </c>
      <c r="G909" s="9"/>
      <c r="H909" s="257" t="s">
        <v>19075</v>
      </c>
      <c r="I909" s="9">
        <v>1</v>
      </c>
    </row>
    <row r="910" spans="1:9">
      <c r="A910" s="257" t="s">
        <v>2008</v>
      </c>
      <c r="B910" s="9">
        <v>10</v>
      </c>
      <c r="C910" s="257" t="s">
        <v>9930</v>
      </c>
      <c r="D910" s="9">
        <v>0</v>
      </c>
      <c r="E910" s="9">
        <v>1732307.5169143677</v>
      </c>
      <c r="F910" s="257" t="s">
        <v>14184</v>
      </c>
      <c r="G910" s="9"/>
      <c r="H910" s="257" t="s">
        <v>19076</v>
      </c>
      <c r="I910" s="9">
        <v>1</v>
      </c>
    </row>
    <row r="911" spans="1:9">
      <c r="A911" s="257" t="s">
        <v>2009</v>
      </c>
      <c r="B911" s="9">
        <v>10</v>
      </c>
      <c r="C911" s="257" t="s">
        <v>9931</v>
      </c>
      <c r="D911" s="9">
        <v>0</v>
      </c>
      <c r="E911" s="9">
        <v>1732307.5169143677</v>
      </c>
      <c r="F911" s="257" t="s">
        <v>14184</v>
      </c>
      <c r="G911" s="9"/>
      <c r="H911" s="257" t="s">
        <v>19077</v>
      </c>
      <c r="I911" s="9">
        <v>1</v>
      </c>
    </row>
    <row r="912" spans="1:9">
      <c r="A912" s="257" t="s">
        <v>2010</v>
      </c>
      <c r="B912" s="9">
        <v>10</v>
      </c>
      <c r="C912" s="257" t="s">
        <v>9932</v>
      </c>
      <c r="D912" s="9">
        <v>0</v>
      </c>
      <c r="E912" s="9">
        <v>1732307.5169143677</v>
      </c>
      <c r="F912" s="257" t="s">
        <v>14184</v>
      </c>
      <c r="G912" s="9"/>
      <c r="H912" s="257" t="s">
        <v>19078</v>
      </c>
      <c r="I912" s="9">
        <v>1</v>
      </c>
    </row>
    <row r="913" spans="1:9">
      <c r="A913" s="257" t="s">
        <v>2011</v>
      </c>
      <c r="B913" s="9">
        <v>10</v>
      </c>
      <c r="C913" s="257" t="s">
        <v>9933</v>
      </c>
      <c r="D913" s="9">
        <v>0</v>
      </c>
      <c r="E913" s="9">
        <v>1732307.5169143677</v>
      </c>
      <c r="F913" s="257" t="s">
        <v>14184</v>
      </c>
      <c r="G913" s="9"/>
      <c r="H913" s="257" t="s">
        <v>19079</v>
      </c>
      <c r="I913" s="9">
        <v>1</v>
      </c>
    </row>
    <row r="914" spans="1:9">
      <c r="A914" s="257" t="s">
        <v>2012</v>
      </c>
      <c r="B914" s="9">
        <v>10</v>
      </c>
      <c r="C914" s="257" t="s">
        <v>9934</v>
      </c>
      <c r="D914" s="9">
        <v>0</v>
      </c>
      <c r="E914" s="9">
        <v>1732307.5169143677</v>
      </c>
      <c r="F914" s="257" t="s">
        <v>14185</v>
      </c>
      <c r="G914" s="9"/>
      <c r="H914" s="257" t="s">
        <v>19080</v>
      </c>
      <c r="I914" s="9">
        <v>1</v>
      </c>
    </row>
    <row r="915" spans="1:9">
      <c r="A915" s="257" t="s">
        <v>2013</v>
      </c>
      <c r="B915" s="9">
        <v>10</v>
      </c>
      <c r="C915" s="257" t="s">
        <v>9935</v>
      </c>
      <c r="D915" s="9">
        <v>0</v>
      </c>
      <c r="E915" s="9">
        <v>1732307.5169143677</v>
      </c>
      <c r="F915" s="257" t="s">
        <v>14185</v>
      </c>
      <c r="G915" s="9"/>
      <c r="H915" s="257" t="s">
        <v>19081</v>
      </c>
      <c r="I915" s="9">
        <v>1</v>
      </c>
    </row>
    <row r="916" spans="1:9">
      <c r="A916" s="257" t="s">
        <v>2014</v>
      </c>
      <c r="B916" s="9">
        <v>10</v>
      </c>
      <c r="C916" s="257" t="s">
        <v>9936</v>
      </c>
      <c r="D916" s="9">
        <v>0</v>
      </c>
      <c r="E916" s="9">
        <v>1732307.5169143677</v>
      </c>
      <c r="F916" s="257" t="s">
        <v>14185</v>
      </c>
      <c r="G916" s="9"/>
      <c r="H916" s="257" t="s">
        <v>19082</v>
      </c>
      <c r="I916" s="9">
        <v>1</v>
      </c>
    </row>
    <row r="917" spans="1:9">
      <c r="A917" s="257" t="s">
        <v>2015</v>
      </c>
      <c r="B917" s="9">
        <v>10</v>
      </c>
      <c r="C917" s="257" t="s">
        <v>9937</v>
      </c>
      <c r="D917" s="9">
        <v>0</v>
      </c>
      <c r="E917" s="9">
        <v>1732307.5169143677</v>
      </c>
      <c r="F917" s="257" t="s">
        <v>14185</v>
      </c>
      <c r="G917" s="9"/>
      <c r="H917" s="257" t="s">
        <v>19083</v>
      </c>
      <c r="I917" s="9">
        <v>1</v>
      </c>
    </row>
    <row r="918" spans="1:9">
      <c r="A918" s="257" t="s">
        <v>2016</v>
      </c>
      <c r="B918" s="9">
        <v>10</v>
      </c>
      <c r="C918" s="257" t="s">
        <v>9938</v>
      </c>
      <c r="D918" s="9">
        <v>0</v>
      </c>
      <c r="E918" s="9">
        <v>1732307.5169143677</v>
      </c>
      <c r="F918" s="257" t="s">
        <v>14186</v>
      </c>
      <c r="G918" s="9"/>
      <c r="H918" s="257" t="s">
        <v>19084</v>
      </c>
      <c r="I918" s="9">
        <v>1</v>
      </c>
    </row>
    <row r="919" spans="1:9">
      <c r="A919" s="257" t="s">
        <v>2017</v>
      </c>
      <c r="B919" s="9">
        <v>10</v>
      </c>
      <c r="C919" s="257" t="s">
        <v>9939</v>
      </c>
      <c r="D919" s="9">
        <v>0</v>
      </c>
      <c r="E919" s="9">
        <v>1732307.5169143677</v>
      </c>
      <c r="F919" s="257" t="s">
        <v>14186</v>
      </c>
      <c r="G919" s="9"/>
      <c r="H919" s="257" t="s">
        <v>19085</v>
      </c>
      <c r="I919" s="9">
        <v>1</v>
      </c>
    </row>
    <row r="920" spans="1:9">
      <c r="A920" s="257" t="s">
        <v>2018</v>
      </c>
      <c r="B920" s="9">
        <v>10</v>
      </c>
      <c r="C920" s="257" t="s">
        <v>9940</v>
      </c>
      <c r="D920" s="9">
        <v>0</v>
      </c>
      <c r="E920" s="9">
        <v>1732307.5169143677</v>
      </c>
      <c r="F920" s="257" t="s">
        <v>14186</v>
      </c>
      <c r="G920" s="9"/>
      <c r="H920" s="257" t="s">
        <v>19086</v>
      </c>
      <c r="I920" s="9">
        <v>1</v>
      </c>
    </row>
    <row r="921" spans="1:9">
      <c r="A921" s="257" t="s">
        <v>2019</v>
      </c>
      <c r="B921" s="9">
        <v>10</v>
      </c>
      <c r="C921" s="257" t="s">
        <v>9941</v>
      </c>
      <c r="D921" s="9">
        <v>0</v>
      </c>
      <c r="E921" s="9">
        <v>1732307.5169143677</v>
      </c>
      <c r="F921" s="257" t="s">
        <v>14186</v>
      </c>
      <c r="G921" s="9"/>
      <c r="H921" s="257" t="s">
        <v>19087</v>
      </c>
      <c r="I921" s="9">
        <v>1</v>
      </c>
    </row>
    <row r="922" spans="1:9">
      <c r="A922" s="257" t="s">
        <v>2020</v>
      </c>
      <c r="B922" s="9">
        <v>10</v>
      </c>
      <c r="C922" s="257" t="s">
        <v>9942</v>
      </c>
      <c r="D922" s="9">
        <v>0</v>
      </c>
      <c r="E922" s="9">
        <v>1732307.5169143677</v>
      </c>
      <c r="F922" s="257" t="s">
        <v>14187</v>
      </c>
      <c r="G922" s="9"/>
      <c r="H922" s="257" t="s">
        <v>19088</v>
      </c>
      <c r="I922" s="9">
        <v>1</v>
      </c>
    </row>
    <row r="923" spans="1:9">
      <c r="A923" s="257" t="s">
        <v>2021</v>
      </c>
      <c r="B923" s="9">
        <v>10</v>
      </c>
      <c r="C923" s="257" t="s">
        <v>9943</v>
      </c>
      <c r="D923" s="9">
        <v>0</v>
      </c>
      <c r="E923" s="9">
        <v>1732307.5169143677</v>
      </c>
      <c r="F923" s="257" t="s">
        <v>14187</v>
      </c>
      <c r="G923" s="9"/>
      <c r="H923" s="257" t="s">
        <v>19089</v>
      </c>
      <c r="I923" s="9">
        <v>1</v>
      </c>
    </row>
    <row r="924" spans="1:9">
      <c r="A924" s="257" t="s">
        <v>2022</v>
      </c>
      <c r="B924" s="9">
        <v>10</v>
      </c>
      <c r="C924" s="257" t="s">
        <v>9944</v>
      </c>
      <c r="D924" s="9">
        <v>0</v>
      </c>
      <c r="E924" s="9">
        <v>1732307.5169143677</v>
      </c>
      <c r="F924" s="257" t="s">
        <v>14187</v>
      </c>
      <c r="G924" s="9"/>
      <c r="H924" s="257" t="s">
        <v>19090</v>
      </c>
      <c r="I924" s="9">
        <v>1</v>
      </c>
    </row>
    <row r="925" spans="1:9">
      <c r="A925" s="257" t="s">
        <v>2023</v>
      </c>
      <c r="B925" s="9">
        <v>10</v>
      </c>
      <c r="C925" s="257" t="s">
        <v>9945</v>
      </c>
      <c r="D925" s="9">
        <v>0</v>
      </c>
      <c r="E925" s="9">
        <v>1732307.5169143677</v>
      </c>
      <c r="F925" s="257" t="s">
        <v>14187</v>
      </c>
      <c r="G925" s="9"/>
      <c r="H925" s="257" t="s">
        <v>19091</v>
      </c>
      <c r="I925" s="9">
        <v>1</v>
      </c>
    </row>
    <row r="926" spans="1:9">
      <c r="A926" s="257" t="s">
        <v>2024</v>
      </c>
      <c r="B926" s="9">
        <v>10</v>
      </c>
      <c r="C926" s="257" t="s">
        <v>9946</v>
      </c>
      <c r="D926" s="9">
        <v>0</v>
      </c>
      <c r="E926" s="9">
        <v>1732307.5169143677</v>
      </c>
      <c r="F926" s="257" t="s">
        <v>14188</v>
      </c>
      <c r="G926" s="9"/>
      <c r="H926" s="257" t="s">
        <v>19092</v>
      </c>
      <c r="I926" s="9">
        <v>1</v>
      </c>
    </row>
    <row r="927" spans="1:9">
      <c r="A927" s="257" t="s">
        <v>2025</v>
      </c>
      <c r="B927" s="9">
        <v>10</v>
      </c>
      <c r="C927" s="257" t="s">
        <v>9947</v>
      </c>
      <c r="D927" s="9">
        <v>0</v>
      </c>
      <c r="E927" s="9">
        <v>1732307.5169143677</v>
      </c>
      <c r="F927" s="257" t="s">
        <v>14188</v>
      </c>
      <c r="G927" s="9"/>
      <c r="H927" s="257" t="s">
        <v>19093</v>
      </c>
      <c r="I927" s="9">
        <v>1</v>
      </c>
    </row>
    <row r="928" spans="1:9">
      <c r="A928" s="257" t="s">
        <v>2026</v>
      </c>
      <c r="B928" s="9">
        <v>10</v>
      </c>
      <c r="C928" s="257" t="s">
        <v>9948</v>
      </c>
      <c r="D928" s="9">
        <v>0</v>
      </c>
      <c r="E928" s="9">
        <v>1732307.5169143677</v>
      </c>
      <c r="F928" s="257" t="s">
        <v>14188</v>
      </c>
      <c r="G928" s="9"/>
      <c r="H928" s="257" t="s">
        <v>19094</v>
      </c>
      <c r="I928" s="9">
        <v>1</v>
      </c>
    </row>
    <row r="929" spans="1:9">
      <c r="A929" s="257" t="s">
        <v>2027</v>
      </c>
      <c r="B929" s="9">
        <v>10</v>
      </c>
      <c r="C929" s="257" t="s">
        <v>9949</v>
      </c>
      <c r="D929" s="9">
        <v>0</v>
      </c>
      <c r="E929" s="9">
        <v>1732307.5169143677</v>
      </c>
      <c r="F929" s="257" t="s">
        <v>14188</v>
      </c>
      <c r="G929" s="9"/>
      <c r="H929" s="257" t="s">
        <v>19095</v>
      </c>
      <c r="I929" s="9">
        <v>1</v>
      </c>
    </row>
    <row r="930" spans="1:9">
      <c r="A930" s="257" t="s">
        <v>2028</v>
      </c>
      <c r="B930" s="9">
        <v>10</v>
      </c>
      <c r="C930" s="257" t="s">
        <v>9950</v>
      </c>
      <c r="D930" s="9">
        <v>0</v>
      </c>
      <c r="E930" s="9">
        <v>1732307.5169143677</v>
      </c>
      <c r="F930" s="257" t="s">
        <v>14189</v>
      </c>
      <c r="G930" s="9"/>
      <c r="H930" s="257" t="s">
        <v>19096</v>
      </c>
      <c r="I930" s="9">
        <v>1</v>
      </c>
    </row>
    <row r="931" spans="1:9">
      <c r="A931" s="257" t="s">
        <v>2029</v>
      </c>
      <c r="B931" s="9">
        <v>10</v>
      </c>
      <c r="C931" s="257" t="s">
        <v>9951</v>
      </c>
      <c r="D931" s="9">
        <v>0</v>
      </c>
      <c r="E931" s="9">
        <v>1732307.5169143677</v>
      </c>
      <c r="F931" s="257" t="s">
        <v>14189</v>
      </c>
      <c r="G931" s="9"/>
      <c r="H931" s="257" t="s">
        <v>19097</v>
      </c>
      <c r="I931" s="9">
        <v>1</v>
      </c>
    </row>
    <row r="932" spans="1:9">
      <c r="A932" s="257" t="s">
        <v>2030</v>
      </c>
      <c r="B932" s="9">
        <v>10</v>
      </c>
      <c r="C932" s="257" t="s">
        <v>9952</v>
      </c>
      <c r="D932" s="9">
        <v>0</v>
      </c>
      <c r="E932" s="9">
        <v>1732307.5169143677</v>
      </c>
      <c r="F932" s="257" t="s">
        <v>14189</v>
      </c>
      <c r="G932" s="9"/>
      <c r="H932" s="257" t="s">
        <v>19098</v>
      </c>
      <c r="I932" s="9">
        <v>1</v>
      </c>
    </row>
    <row r="933" spans="1:9">
      <c r="A933" s="257" t="s">
        <v>2031</v>
      </c>
      <c r="B933" s="9">
        <v>10</v>
      </c>
      <c r="C933" s="257" t="s">
        <v>9953</v>
      </c>
      <c r="D933" s="9">
        <v>0</v>
      </c>
      <c r="E933" s="9">
        <v>1732307.5169143677</v>
      </c>
      <c r="F933" s="257" t="s">
        <v>14189</v>
      </c>
      <c r="G933" s="9"/>
      <c r="H933" s="257" t="s">
        <v>19099</v>
      </c>
      <c r="I933" s="9">
        <v>1</v>
      </c>
    </row>
    <row r="934" spans="1:9">
      <c r="A934" s="257" t="s">
        <v>2032</v>
      </c>
      <c r="B934" s="9">
        <v>10</v>
      </c>
      <c r="C934" s="257" t="s">
        <v>9954</v>
      </c>
      <c r="D934" s="9">
        <v>1732307.5169143677</v>
      </c>
      <c r="E934" s="9">
        <v>1732307.5169143677</v>
      </c>
      <c r="F934" s="257" t="s">
        <v>14190</v>
      </c>
      <c r="G934" s="9"/>
      <c r="H934" s="257" t="s">
        <v>19100</v>
      </c>
      <c r="I934" s="9">
        <v>1</v>
      </c>
    </row>
    <row r="935" spans="1:9">
      <c r="A935" s="257" t="s">
        <v>2033</v>
      </c>
      <c r="B935" s="9">
        <v>10</v>
      </c>
      <c r="C935" s="257" t="s">
        <v>9955</v>
      </c>
      <c r="D935" s="9">
        <v>76073504583.462799</v>
      </c>
      <c r="E935" s="9">
        <v>1732307.5169143677</v>
      </c>
      <c r="F935" s="257" t="s">
        <v>14190</v>
      </c>
      <c r="G935" s="9"/>
      <c r="H935" s="257" t="s">
        <v>19101</v>
      </c>
      <c r="I935" s="9">
        <v>1</v>
      </c>
    </row>
    <row r="936" spans="1:9">
      <c r="A936" s="257" t="s">
        <v>2034</v>
      </c>
      <c r="B936" s="9">
        <v>10</v>
      </c>
      <c r="C936" s="257" t="s">
        <v>9956</v>
      </c>
      <c r="D936" s="9">
        <v>1</v>
      </c>
      <c r="E936" s="9">
        <v>1732307.5169143677</v>
      </c>
      <c r="F936" s="257" t="s">
        <v>14190</v>
      </c>
      <c r="G936" s="9"/>
      <c r="H936" s="257" t="s">
        <v>19102</v>
      </c>
      <c r="I936" s="9">
        <v>1</v>
      </c>
    </row>
    <row r="937" spans="1:9">
      <c r="A937" s="257" t="s">
        <v>2035</v>
      </c>
      <c r="B937" s="9">
        <v>10</v>
      </c>
      <c r="C937" s="257" t="s">
        <v>9957</v>
      </c>
      <c r="D937" s="9">
        <v>43914.549720921925</v>
      </c>
      <c r="E937" s="9">
        <v>1732307.5169143677</v>
      </c>
      <c r="F937" s="257" t="s">
        <v>14190</v>
      </c>
      <c r="G937" s="9"/>
      <c r="H937" s="257" t="s">
        <v>19103</v>
      </c>
      <c r="I937" s="9">
        <v>1</v>
      </c>
    </row>
    <row r="938" spans="1:9">
      <c r="A938" s="257" t="s">
        <v>2036</v>
      </c>
      <c r="B938" s="9">
        <v>10</v>
      </c>
      <c r="C938" s="257" t="s">
        <v>9958</v>
      </c>
      <c r="D938" s="9">
        <v>1732307.5169143677</v>
      </c>
      <c r="E938" s="9">
        <v>1732307.5169143677</v>
      </c>
      <c r="F938" s="257" t="s">
        <v>14191</v>
      </c>
      <c r="G938" s="9"/>
      <c r="H938" s="257" t="s">
        <v>19104</v>
      </c>
      <c r="I938" s="9">
        <v>1</v>
      </c>
    </row>
    <row r="939" spans="1:9">
      <c r="A939" s="257" t="s">
        <v>2037</v>
      </c>
      <c r="B939" s="9">
        <v>10</v>
      </c>
      <c r="C939" s="257" t="s">
        <v>9959</v>
      </c>
      <c r="D939" s="9">
        <v>76073504583.462799</v>
      </c>
      <c r="E939" s="9">
        <v>1732307.5169143677</v>
      </c>
      <c r="F939" s="257" t="s">
        <v>14191</v>
      </c>
      <c r="G939" s="9"/>
      <c r="H939" s="257" t="s">
        <v>19105</v>
      </c>
      <c r="I939" s="9">
        <v>1</v>
      </c>
    </row>
    <row r="940" spans="1:9">
      <c r="A940" s="257" t="s">
        <v>2038</v>
      </c>
      <c r="B940" s="9">
        <v>10</v>
      </c>
      <c r="C940" s="257" t="s">
        <v>9960</v>
      </c>
      <c r="D940" s="9">
        <v>1</v>
      </c>
      <c r="E940" s="9">
        <v>1732307.5169143677</v>
      </c>
      <c r="F940" s="257" t="s">
        <v>14191</v>
      </c>
      <c r="G940" s="9"/>
      <c r="H940" s="257" t="s">
        <v>19106</v>
      </c>
      <c r="I940" s="9">
        <v>1</v>
      </c>
    </row>
    <row r="941" spans="1:9">
      <c r="A941" s="257" t="s">
        <v>2039</v>
      </c>
      <c r="B941" s="9">
        <v>10</v>
      </c>
      <c r="C941" s="257" t="s">
        <v>9961</v>
      </c>
      <c r="D941" s="9">
        <v>43914.549720921925</v>
      </c>
      <c r="E941" s="9">
        <v>1732307.5169143677</v>
      </c>
      <c r="F941" s="257" t="s">
        <v>14191</v>
      </c>
      <c r="G941" s="9"/>
      <c r="H941" s="257" t="s">
        <v>19107</v>
      </c>
      <c r="I941" s="9">
        <v>1</v>
      </c>
    </row>
    <row r="942" spans="1:9">
      <c r="A942" s="257" t="s">
        <v>2040</v>
      </c>
      <c r="B942" s="9">
        <v>10</v>
      </c>
      <c r="C942" s="257" t="s">
        <v>9962</v>
      </c>
      <c r="D942" s="9">
        <v>1732307.5169143677</v>
      </c>
      <c r="E942" s="9">
        <v>1732307.5169143677</v>
      </c>
      <c r="F942" s="257" t="s">
        <v>14192</v>
      </c>
      <c r="G942" s="9"/>
      <c r="H942" s="257" t="s">
        <v>19108</v>
      </c>
      <c r="I942" s="9">
        <v>1</v>
      </c>
    </row>
    <row r="943" spans="1:9">
      <c r="A943" s="257" t="s">
        <v>2041</v>
      </c>
      <c r="B943" s="9">
        <v>10</v>
      </c>
      <c r="C943" s="257" t="s">
        <v>9963</v>
      </c>
      <c r="D943" s="9">
        <v>76073504583.462799</v>
      </c>
      <c r="E943" s="9">
        <v>1732307.5169143677</v>
      </c>
      <c r="F943" s="257" t="s">
        <v>14192</v>
      </c>
      <c r="G943" s="9"/>
      <c r="H943" s="257" t="s">
        <v>19109</v>
      </c>
      <c r="I943" s="9">
        <v>1</v>
      </c>
    </row>
    <row r="944" spans="1:9">
      <c r="A944" s="257" t="s">
        <v>2042</v>
      </c>
      <c r="B944" s="9">
        <v>10</v>
      </c>
      <c r="C944" s="257" t="s">
        <v>9964</v>
      </c>
      <c r="D944" s="9">
        <v>1</v>
      </c>
      <c r="E944" s="9">
        <v>1732307.5169143677</v>
      </c>
      <c r="F944" s="257" t="s">
        <v>14192</v>
      </c>
      <c r="G944" s="9"/>
      <c r="H944" s="257" t="s">
        <v>19110</v>
      </c>
      <c r="I944" s="9">
        <v>1</v>
      </c>
    </row>
    <row r="945" spans="1:9">
      <c r="A945" s="257" t="s">
        <v>2043</v>
      </c>
      <c r="B945" s="9">
        <v>10</v>
      </c>
      <c r="C945" s="257" t="s">
        <v>9965</v>
      </c>
      <c r="D945" s="9">
        <v>43914.549720921925</v>
      </c>
      <c r="E945" s="9">
        <v>1732307.5169143677</v>
      </c>
      <c r="F945" s="257" t="s">
        <v>14192</v>
      </c>
      <c r="G945" s="9"/>
      <c r="H945" s="257" t="s">
        <v>19111</v>
      </c>
      <c r="I945" s="9">
        <v>1</v>
      </c>
    </row>
    <row r="946" spans="1:9">
      <c r="A946" s="257" t="s">
        <v>2044</v>
      </c>
      <c r="B946" s="9">
        <v>10</v>
      </c>
      <c r="C946" s="257" t="s">
        <v>9966</v>
      </c>
      <c r="D946" s="9">
        <v>1732307.5169143677</v>
      </c>
      <c r="E946" s="9">
        <v>1732307.5169143677</v>
      </c>
      <c r="F946" s="257" t="s">
        <v>14193</v>
      </c>
      <c r="G946" s="9"/>
      <c r="H946" s="257" t="s">
        <v>19112</v>
      </c>
      <c r="I946" s="9">
        <v>1</v>
      </c>
    </row>
    <row r="947" spans="1:9">
      <c r="A947" s="257" t="s">
        <v>2045</v>
      </c>
      <c r="B947" s="9">
        <v>10</v>
      </c>
      <c r="C947" s="257" t="s">
        <v>9967</v>
      </c>
      <c r="D947" s="9">
        <v>12693757020.903364</v>
      </c>
      <c r="E947" s="9">
        <v>1732307.5169143677</v>
      </c>
      <c r="F947" s="257" t="s">
        <v>14193</v>
      </c>
      <c r="G947" s="9"/>
      <c r="H947" s="257" t="s">
        <v>19113</v>
      </c>
      <c r="I947" s="9">
        <v>1</v>
      </c>
    </row>
    <row r="948" spans="1:9">
      <c r="A948" s="257" t="s">
        <v>2046</v>
      </c>
      <c r="B948" s="9">
        <v>10</v>
      </c>
      <c r="C948" s="257" t="s">
        <v>9968</v>
      </c>
      <c r="D948" s="9">
        <v>1</v>
      </c>
      <c r="E948" s="9">
        <v>1732307.5169143677</v>
      </c>
      <c r="F948" s="257" t="s">
        <v>14193</v>
      </c>
      <c r="G948" s="9"/>
      <c r="H948" s="257" t="s">
        <v>19114</v>
      </c>
      <c r="I948" s="9">
        <v>1</v>
      </c>
    </row>
    <row r="949" spans="1:9">
      <c r="A949" s="257" t="s">
        <v>2047</v>
      </c>
      <c r="B949" s="9">
        <v>10</v>
      </c>
      <c r="C949" s="257" t="s">
        <v>9969</v>
      </c>
      <c r="D949" s="9">
        <v>7327.6579919908345</v>
      </c>
      <c r="E949" s="9">
        <v>1732307.5169143677</v>
      </c>
      <c r="F949" s="257" t="s">
        <v>14193</v>
      </c>
      <c r="G949" s="9"/>
      <c r="H949" s="257" t="s">
        <v>19115</v>
      </c>
      <c r="I949" s="9">
        <v>1</v>
      </c>
    </row>
    <row r="950" spans="1:9">
      <c r="A950" s="257" t="s">
        <v>2048</v>
      </c>
      <c r="B950" s="9">
        <v>10</v>
      </c>
      <c r="C950" s="257" t="s">
        <v>9970</v>
      </c>
      <c r="D950" s="9">
        <v>1613816.9870243073</v>
      </c>
      <c r="E950" s="9">
        <v>1732307.5169143677</v>
      </c>
      <c r="F950" s="257" t="s">
        <v>14194</v>
      </c>
      <c r="G950" s="9"/>
      <c r="H950" s="257" t="s">
        <v>19116</v>
      </c>
      <c r="I950" s="9">
        <v>1</v>
      </c>
    </row>
    <row r="951" spans="1:9">
      <c r="A951" s="257" t="s">
        <v>2049</v>
      </c>
      <c r="B951" s="9">
        <v>10</v>
      </c>
      <c r="C951" s="257" t="s">
        <v>9971</v>
      </c>
      <c r="D951" s="9">
        <v>18844249027.374847</v>
      </c>
      <c r="E951" s="9">
        <v>1732307.5169143677</v>
      </c>
      <c r="F951" s="257" t="s">
        <v>14194</v>
      </c>
      <c r="G951" s="9"/>
      <c r="H951" s="257" t="s">
        <v>19117</v>
      </c>
      <c r="I951" s="9">
        <v>1</v>
      </c>
    </row>
    <row r="952" spans="1:9">
      <c r="A952" s="257" t="s">
        <v>2050</v>
      </c>
      <c r="B952" s="9">
        <v>10</v>
      </c>
      <c r="C952" s="257" t="s">
        <v>9972</v>
      </c>
      <c r="D952" s="9">
        <v>0.93159959837782214</v>
      </c>
      <c r="E952" s="9">
        <v>1732307.5169143677</v>
      </c>
      <c r="F952" s="257" t="s">
        <v>14194</v>
      </c>
      <c r="G952" s="9"/>
      <c r="H952" s="257" t="s">
        <v>19118</v>
      </c>
      <c r="I952" s="9">
        <v>1</v>
      </c>
    </row>
    <row r="953" spans="1:9">
      <c r="A953" s="257" t="s">
        <v>2051</v>
      </c>
      <c r="B953" s="9">
        <v>10</v>
      </c>
      <c r="C953" s="257" t="s">
        <v>9973</v>
      </c>
      <c r="D953" s="9">
        <v>10878.119989308092</v>
      </c>
      <c r="E953" s="9">
        <v>1732307.5169143677</v>
      </c>
      <c r="F953" s="257" t="s">
        <v>14194</v>
      </c>
      <c r="G953" s="9"/>
      <c r="H953" s="257" t="s">
        <v>19119</v>
      </c>
      <c r="I953" s="9">
        <v>1</v>
      </c>
    </row>
    <row r="954" spans="1:9">
      <c r="A954" s="257" t="s">
        <v>2052</v>
      </c>
      <c r="B954" s="9">
        <v>10</v>
      </c>
      <c r="C954" s="257" t="s">
        <v>9974</v>
      </c>
      <c r="D954" s="9">
        <v>1732307.5169143677</v>
      </c>
      <c r="E954" s="9">
        <v>1732307.5169143677</v>
      </c>
      <c r="F954" s="257" t="s">
        <v>14195</v>
      </c>
      <c r="G954" s="9"/>
      <c r="H954" s="257" t="s">
        <v>19120</v>
      </c>
      <c r="I954" s="9">
        <v>1</v>
      </c>
    </row>
    <row r="955" spans="1:9">
      <c r="A955" s="257" t="s">
        <v>2053</v>
      </c>
      <c r="B955" s="9">
        <v>10</v>
      </c>
      <c r="C955" s="257" t="s">
        <v>9975</v>
      </c>
      <c r="D955" s="9">
        <v>94917753610.837646</v>
      </c>
      <c r="E955" s="9">
        <v>1732307.5169143677</v>
      </c>
      <c r="F955" s="257" t="s">
        <v>14195</v>
      </c>
      <c r="G955" s="9"/>
      <c r="H955" s="257" t="s">
        <v>19121</v>
      </c>
      <c r="I955" s="9">
        <v>1</v>
      </c>
    </row>
    <row r="956" spans="1:9">
      <c r="A956" s="257" t="s">
        <v>2054</v>
      </c>
      <c r="B956" s="9">
        <v>10</v>
      </c>
      <c r="C956" s="257" t="s">
        <v>9976</v>
      </c>
      <c r="D956" s="9">
        <v>1</v>
      </c>
      <c r="E956" s="9">
        <v>1732307.5169143677</v>
      </c>
      <c r="F956" s="257" t="s">
        <v>14195</v>
      </c>
      <c r="G956" s="9"/>
      <c r="H956" s="257" t="s">
        <v>19122</v>
      </c>
      <c r="I956" s="9">
        <v>1</v>
      </c>
    </row>
    <row r="957" spans="1:9">
      <c r="A957" s="257" t="s">
        <v>2055</v>
      </c>
      <c r="B957" s="9">
        <v>10</v>
      </c>
      <c r="C957" s="257" t="s">
        <v>9977</v>
      </c>
      <c r="D957" s="9">
        <v>54792.669710230017</v>
      </c>
      <c r="E957" s="9">
        <v>1732307.5169143677</v>
      </c>
      <c r="F957" s="257" t="s">
        <v>14195</v>
      </c>
      <c r="G957" s="9"/>
      <c r="H957" s="257" t="s">
        <v>19123</v>
      </c>
      <c r="I957" s="9">
        <v>1</v>
      </c>
    </row>
    <row r="958" spans="1:9">
      <c r="A958" s="257" t="s">
        <v>2056</v>
      </c>
      <c r="B958" s="9">
        <v>10</v>
      </c>
      <c r="C958" s="257" t="s">
        <v>9978</v>
      </c>
      <c r="D958" s="9">
        <v>1732307.5169143677</v>
      </c>
      <c r="E958" s="9">
        <v>1732307.5169143677</v>
      </c>
      <c r="F958" s="257" t="s">
        <v>14196</v>
      </c>
      <c r="G958" s="9"/>
      <c r="H958" s="257" t="s">
        <v>19124</v>
      </c>
      <c r="I958" s="9">
        <v>1</v>
      </c>
    </row>
    <row r="959" spans="1:9">
      <c r="A959" s="257" t="s">
        <v>2057</v>
      </c>
      <c r="B959" s="9">
        <v>10</v>
      </c>
      <c r="C959" s="257" t="s">
        <v>9979</v>
      </c>
      <c r="D959" s="9">
        <v>94917753610.837646</v>
      </c>
      <c r="E959" s="9">
        <v>1732307.5169143677</v>
      </c>
      <c r="F959" s="257" t="s">
        <v>14196</v>
      </c>
      <c r="G959" s="9"/>
      <c r="H959" s="257" t="s">
        <v>19125</v>
      </c>
      <c r="I959" s="9">
        <v>1</v>
      </c>
    </row>
    <row r="960" spans="1:9">
      <c r="A960" s="257" t="s">
        <v>2058</v>
      </c>
      <c r="B960" s="9">
        <v>10</v>
      </c>
      <c r="C960" s="257" t="s">
        <v>9980</v>
      </c>
      <c r="D960" s="9">
        <v>1</v>
      </c>
      <c r="E960" s="9">
        <v>1732307.5169143677</v>
      </c>
      <c r="F960" s="257" t="s">
        <v>14196</v>
      </c>
      <c r="G960" s="9"/>
      <c r="H960" s="257" t="s">
        <v>19126</v>
      </c>
      <c r="I960" s="9">
        <v>1</v>
      </c>
    </row>
    <row r="961" spans="1:9">
      <c r="A961" s="257" t="s">
        <v>2059</v>
      </c>
      <c r="B961" s="9">
        <v>10</v>
      </c>
      <c r="C961" s="257" t="s">
        <v>9981</v>
      </c>
      <c r="D961" s="9">
        <v>54792.669710230017</v>
      </c>
      <c r="E961" s="9">
        <v>1732307.5169143677</v>
      </c>
      <c r="F961" s="257" t="s">
        <v>14196</v>
      </c>
      <c r="G961" s="9"/>
      <c r="H961" s="257" t="s">
        <v>19127</v>
      </c>
      <c r="I961" s="9">
        <v>1</v>
      </c>
    </row>
    <row r="962" spans="1:9">
      <c r="A962" s="257" t="s">
        <v>2060</v>
      </c>
      <c r="B962" s="9">
        <v>10</v>
      </c>
      <c r="C962" s="257" t="s">
        <v>9982</v>
      </c>
      <c r="D962" s="9">
        <v>1732307.5169143677</v>
      </c>
      <c r="E962" s="9">
        <v>1732307.5169143677</v>
      </c>
      <c r="F962" s="257" t="s">
        <v>14197</v>
      </c>
      <c r="G962" s="9"/>
      <c r="H962" s="257" t="s">
        <v>19128</v>
      </c>
      <c r="I962" s="9">
        <v>1</v>
      </c>
    </row>
    <row r="963" spans="1:9">
      <c r="A963" s="257" t="s">
        <v>2061</v>
      </c>
      <c r="B963" s="9">
        <v>10</v>
      </c>
      <c r="C963" s="257" t="s">
        <v>9983</v>
      </c>
      <c r="D963" s="9">
        <v>47490472661.66198</v>
      </c>
      <c r="E963" s="9">
        <v>1732307.5169143677</v>
      </c>
      <c r="F963" s="257" t="s">
        <v>14197</v>
      </c>
      <c r="G963" s="9"/>
      <c r="H963" s="257" t="s">
        <v>19129</v>
      </c>
      <c r="I963" s="9">
        <v>1</v>
      </c>
    </row>
    <row r="964" spans="1:9">
      <c r="A964" s="257" t="s">
        <v>2062</v>
      </c>
      <c r="B964" s="9">
        <v>10</v>
      </c>
      <c r="C964" s="257" t="s">
        <v>9984</v>
      </c>
      <c r="D964" s="9">
        <v>1</v>
      </c>
      <c r="E964" s="9">
        <v>1732307.5169143677</v>
      </c>
      <c r="F964" s="257" t="s">
        <v>14197</v>
      </c>
      <c r="G964" s="9"/>
      <c r="H964" s="257" t="s">
        <v>19130</v>
      </c>
      <c r="I964" s="9">
        <v>1</v>
      </c>
    </row>
    <row r="965" spans="1:9">
      <c r="A965" s="257" t="s">
        <v>2063</v>
      </c>
      <c r="B965" s="9">
        <v>10</v>
      </c>
      <c r="C965" s="257" t="s">
        <v>9985</v>
      </c>
      <c r="D965" s="9">
        <v>27414.574027972398</v>
      </c>
      <c r="E965" s="9">
        <v>1732307.5169143677</v>
      </c>
      <c r="F965" s="257" t="s">
        <v>14197</v>
      </c>
      <c r="G965" s="9"/>
      <c r="H965" s="257" t="s">
        <v>19131</v>
      </c>
      <c r="I965" s="9">
        <v>1</v>
      </c>
    </row>
    <row r="966" spans="1:9">
      <c r="A966" s="257" t="s">
        <v>2064</v>
      </c>
      <c r="B966" s="9">
        <v>10</v>
      </c>
      <c r="C966" s="257" t="s">
        <v>9986</v>
      </c>
      <c r="D966" s="9">
        <v>1732307.5169143677</v>
      </c>
      <c r="E966" s="9">
        <v>1732307.5169143677</v>
      </c>
      <c r="F966" s="257" t="s">
        <v>14198</v>
      </c>
      <c r="G966" s="9"/>
      <c r="H966" s="257" t="s">
        <v>19132</v>
      </c>
      <c r="I966" s="9">
        <v>1</v>
      </c>
    </row>
    <row r="967" spans="1:9">
      <c r="A967" s="257" t="s">
        <v>2065</v>
      </c>
      <c r="B967" s="9">
        <v>10</v>
      </c>
      <c r="C967" s="257" t="s">
        <v>9987</v>
      </c>
      <c r="D967" s="9">
        <v>47490472661.66198</v>
      </c>
      <c r="E967" s="9">
        <v>1732307.5169143677</v>
      </c>
      <c r="F967" s="257" t="s">
        <v>14198</v>
      </c>
      <c r="G967" s="9"/>
      <c r="H967" s="257" t="s">
        <v>19133</v>
      </c>
      <c r="I967" s="9">
        <v>1</v>
      </c>
    </row>
    <row r="968" spans="1:9">
      <c r="A968" s="257" t="s">
        <v>2066</v>
      </c>
      <c r="B968" s="9">
        <v>10</v>
      </c>
      <c r="C968" s="257" t="s">
        <v>9988</v>
      </c>
      <c r="D968" s="9">
        <v>1</v>
      </c>
      <c r="E968" s="9">
        <v>1732307.5169143677</v>
      </c>
      <c r="F968" s="257" t="s">
        <v>14198</v>
      </c>
      <c r="G968" s="9"/>
      <c r="H968" s="257" t="s">
        <v>19134</v>
      </c>
      <c r="I968" s="9">
        <v>1</v>
      </c>
    </row>
    <row r="969" spans="1:9">
      <c r="A969" s="257" t="s">
        <v>2067</v>
      </c>
      <c r="B969" s="9">
        <v>10</v>
      </c>
      <c r="C969" s="257" t="s">
        <v>9989</v>
      </c>
      <c r="D969" s="9">
        <v>27414.574027972398</v>
      </c>
      <c r="E969" s="9">
        <v>1732307.5169143677</v>
      </c>
      <c r="F969" s="257" t="s">
        <v>14198</v>
      </c>
      <c r="G969" s="9"/>
      <c r="H969" s="257" t="s">
        <v>19135</v>
      </c>
      <c r="I969" s="9">
        <v>1</v>
      </c>
    </row>
    <row r="970" spans="1:9">
      <c r="A970" s="257" t="s">
        <v>2068</v>
      </c>
      <c r="B970" s="9">
        <v>10</v>
      </c>
      <c r="C970" s="257" t="s">
        <v>9990</v>
      </c>
      <c r="D970" s="9">
        <v>1732307.5169143677</v>
      </c>
      <c r="E970" s="9">
        <v>1732307.5169143677</v>
      </c>
      <c r="F970" s="257" t="s">
        <v>14199</v>
      </c>
      <c r="G970" s="9"/>
      <c r="H970" s="257" t="s">
        <v>19136</v>
      </c>
      <c r="I970" s="9">
        <v>1</v>
      </c>
    </row>
    <row r="971" spans="1:9">
      <c r="A971" s="257" t="s">
        <v>2069</v>
      </c>
      <c r="B971" s="9">
        <v>10</v>
      </c>
      <c r="C971" s="257" t="s">
        <v>9991</v>
      </c>
      <c r="D971" s="9">
        <v>28583031921.800823</v>
      </c>
      <c r="E971" s="9">
        <v>1732307.5169143677</v>
      </c>
      <c r="F971" s="257" t="s">
        <v>14199</v>
      </c>
      <c r="G971" s="9"/>
      <c r="H971" s="257" t="s">
        <v>19137</v>
      </c>
      <c r="I971" s="9">
        <v>1</v>
      </c>
    </row>
    <row r="972" spans="1:9">
      <c r="A972" s="257" t="s">
        <v>2070</v>
      </c>
      <c r="B972" s="9">
        <v>10</v>
      </c>
      <c r="C972" s="257" t="s">
        <v>9992</v>
      </c>
      <c r="D972" s="9">
        <v>1</v>
      </c>
      <c r="E972" s="9">
        <v>1732307.5169143677</v>
      </c>
      <c r="F972" s="257" t="s">
        <v>14199</v>
      </c>
      <c r="G972" s="9"/>
      <c r="H972" s="257" t="s">
        <v>19138</v>
      </c>
      <c r="I972" s="9">
        <v>1</v>
      </c>
    </row>
    <row r="973" spans="1:9">
      <c r="A973" s="257" t="s">
        <v>2071</v>
      </c>
      <c r="B973" s="9">
        <v>10</v>
      </c>
      <c r="C973" s="257" t="s">
        <v>9993</v>
      </c>
      <c r="D973" s="9">
        <v>16499.975692949531</v>
      </c>
      <c r="E973" s="9">
        <v>1732307.5169143677</v>
      </c>
      <c r="F973" s="257" t="s">
        <v>14199</v>
      </c>
      <c r="G973" s="9"/>
      <c r="H973" s="257" t="s">
        <v>19139</v>
      </c>
      <c r="I973" s="9">
        <v>1</v>
      </c>
    </row>
    <row r="974" spans="1:9">
      <c r="A974" s="257" t="s">
        <v>2072</v>
      </c>
      <c r="B974" s="9">
        <v>10</v>
      </c>
      <c r="C974" s="257" t="s">
        <v>9994</v>
      </c>
      <c r="D974" s="9">
        <v>1732307.5169143677</v>
      </c>
      <c r="E974" s="9">
        <v>1732307.5169143677</v>
      </c>
      <c r="F974" s="257" t="s">
        <v>14200</v>
      </c>
      <c r="G974" s="9"/>
      <c r="H974" s="257" t="s">
        <v>19140</v>
      </c>
      <c r="I974" s="9">
        <v>1</v>
      </c>
    </row>
    <row r="975" spans="1:9">
      <c r="A975" s="257" t="s">
        <v>2073</v>
      </c>
      <c r="B975" s="9">
        <v>10</v>
      </c>
      <c r="C975" s="257" t="s">
        <v>9995</v>
      </c>
      <c r="D975" s="9">
        <v>43430843230.939758</v>
      </c>
      <c r="E975" s="9">
        <v>1732307.5169143677</v>
      </c>
      <c r="F975" s="257" t="s">
        <v>14200</v>
      </c>
      <c r="G975" s="9"/>
      <c r="H975" s="257" t="s">
        <v>19141</v>
      </c>
      <c r="I975" s="9">
        <v>1</v>
      </c>
    </row>
    <row r="976" spans="1:9">
      <c r="A976" s="257" t="s">
        <v>2074</v>
      </c>
      <c r="B976" s="9">
        <v>10</v>
      </c>
      <c r="C976" s="257" t="s">
        <v>9996</v>
      </c>
      <c r="D976" s="9">
        <v>1</v>
      </c>
      <c r="E976" s="9">
        <v>1732307.5169143677</v>
      </c>
      <c r="F976" s="257" t="s">
        <v>14200</v>
      </c>
      <c r="G976" s="9"/>
      <c r="H976" s="257" t="s">
        <v>19142</v>
      </c>
      <c r="I976" s="9">
        <v>1</v>
      </c>
    </row>
    <row r="977" spans="1:9">
      <c r="A977" s="257" t="s">
        <v>2075</v>
      </c>
      <c r="B977" s="9">
        <v>10</v>
      </c>
      <c r="C977" s="257" t="s">
        <v>9997</v>
      </c>
      <c r="D977" s="9">
        <v>25071.093213461278</v>
      </c>
      <c r="E977" s="9">
        <v>1732307.5169143677</v>
      </c>
      <c r="F977" s="257" t="s">
        <v>14200</v>
      </c>
      <c r="G977" s="9"/>
      <c r="H977" s="257" t="s">
        <v>19143</v>
      </c>
      <c r="I977" s="9">
        <v>1</v>
      </c>
    </row>
    <row r="978" spans="1:9">
      <c r="A978" s="257" t="s">
        <v>2076</v>
      </c>
      <c r="B978" s="9">
        <v>10</v>
      </c>
      <c r="C978" s="257" t="s">
        <v>9998</v>
      </c>
      <c r="D978" s="9">
        <v>1650453.2440738678</v>
      </c>
      <c r="E978" s="9">
        <v>1732307.5169143677</v>
      </c>
      <c r="F978" s="257" t="s">
        <v>14201</v>
      </c>
      <c r="G978" s="9"/>
      <c r="H978" s="257" t="s">
        <v>19144</v>
      </c>
      <c r="I978" s="9">
        <v>1</v>
      </c>
    </row>
    <row r="979" spans="1:9">
      <c r="A979" s="257" t="s">
        <v>2077</v>
      </c>
      <c r="B979" s="9">
        <v>10</v>
      </c>
      <c r="C979" s="257" t="s">
        <v>9999</v>
      </c>
      <c r="D979" s="9">
        <v>45427057869.775871</v>
      </c>
      <c r="E979" s="9">
        <v>1732307.5169143677</v>
      </c>
      <c r="F979" s="257" t="s">
        <v>14201</v>
      </c>
      <c r="G979" s="9"/>
      <c r="H979" s="257" t="s">
        <v>19145</v>
      </c>
      <c r="I979" s="9">
        <v>1</v>
      </c>
    </row>
    <row r="980" spans="1:9">
      <c r="A980" s="257" t="s">
        <v>2078</v>
      </c>
      <c r="B980" s="9">
        <v>10</v>
      </c>
      <c r="C980" s="257" t="s">
        <v>10000</v>
      </c>
      <c r="D980" s="9">
        <v>0.95274841675553024</v>
      </c>
      <c r="E980" s="9">
        <v>1732307.5169143677</v>
      </c>
      <c r="F980" s="257" t="s">
        <v>14201</v>
      </c>
      <c r="G980" s="9"/>
      <c r="H980" s="257" t="s">
        <v>19146</v>
      </c>
      <c r="I980" s="9">
        <v>1</v>
      </c>
    </row>
    <row r="981" spans="1:9">
      <c r="A981" s="257" t="s">
        <v>2079</v>
      </c>
      <c r="B981" s="9">
        <v>10</v>
      </c>
      <c r="C981" s="257" t="s">
        <v>10001</v>
      </c>
      <c r="D981" s="9">
        <v>26223.43748221549</v>
      </c>
      <c r="E981" s="9">
        <v>1732307.5169143677</v>
      </c>
      <c r="F981" s="257" t="s">
        <v>14201</v>
      </c>
      <c r="G981" s="9"/>
      <c r="H981" s="257" t="s">
        <v>19147</v>
      </c>
      <c r="I981" s="9">
        <v>1</v>
      </c>
    </row>
    <row r="982" spans="1:9">
      <c r="A982" s="257" t="s">
        <v>2080</v>
      </c>
      <c r="B982" s="9">
        <v>10</v>
      </c>
      <c r="C982" s="257" t="s">
        <v>10002</v>
      </c>
      <c r="D982" s="9">
        <v>1732307.5169143677</v>
      </c>
      <c r="E982" s="9">
        <v>1732307.5169143677</v>
      </c>
      <c r="F982" s="257" t="s">
        <v>14202</v>
      </c>
      <c r="G982" s="9"/>
      <c r="H982" s="257" t="s">
        <v>19148</v>
      </c>
      <c r="I982" s="9">
        <v>1</v>
      </c>
    </row>
    <row r="983" spans="1:9">
      <c r="A983" s="257" t="s">
        <v>2081</v>
      </c>
      <c r="B983" s="9">
        <v>10</v>
      </c>
      <c r="C983" s="257" t="s">
        <v>10003</v>
      </c>
      <c r="D983" s="9">
        <v>6059852510.122016</v>
      </c>
      <c r="E983" s="9">
        <v>1732307.5169143677</v>
      </c>
      <c r="F983" s="257" t="s">
        <v>14202</v>
      </c>
      <c r="G983" s="9"/>
      <c r="H983" s="257" t="s">
        <v>19149</v>
      </c>
      <c r="I983" s="9">
        <v>1</v>
      </c>
    </row>
    <row r="984" spans="1:9">
      <c r="A984" s="257" t="s">
        <v>2082</v>
      </c>
      <c r="B984" s="9">
        <v>10</v>
      </c>
      <c r="C984" s="257" t="s">
        <v>10004</v>
      </c>
      <c r="D984" s="9">
        <v>1</v>
      </c>
      <c r="E984" s="9">
        <v>1732307.5169143677</v>
      </c>
      <c r="F984" s="257" t="s">
        <v>14202</v>
      </c>
      <c r="G984" s="9"/>
      <c r="H984" s="257" t="s">
        <v>19150</v>
      </c>
      <c r="I984" s="9">
        <v>1</v>
      </c>
    </row>
    <row r="985" spans="1:9">
      <c r="A985" s="257" t="s">
        <v>2083</v>
      </c>
      <c r="B985" s="9">
        <v>10</v>
      </c>
      <c r="C985" s="257" t="s">
        <v>10005</v>
      </c>
      <c r="D985" s="9">
        <v>3498.1390145532514</v>
      </c>
      <c r="E985" s="9">
        <v>1732307.5169143677</v>
      </c>
      <c r="F985" s="257" t="s">
        <v>14202</v>
      </c>
      <c r="G985" s="9"/>
      <c r="H985" s="257" t="s">
        <v>19151</v>
      </c>
      <c r="I985" s="9">
        <v>1</v>
      </c>
    </row>
    <row r="986" spans="1:9">
      <c r="A986" s="257" t="s">
        <v>2084</v>
      </c>
      <c r="B986" s="9">
        <v>10</v>
      </c>
      <c r="C986" s="257" t="s">
        <v>10006</v>
      </c>
      <c r="D986" s="9">
        <v>1732307.5169143677</v>
      </c>
      <c r="E986" s="9">
        <v>1732307.5169143677</v>
      </c>
      <c r="F986" s="257" t="s">
        <v>14203</v>
      </c>
      <c r="G986" s="9"/>
      <c r="H986" s="257" t="s">
        <v>19152</v>
      </c>
      <c r="I986" s="9">
        <v>1</v>
      </c>
    </row>
    <row r="987" spans="1:9">
      <c r="A987" s="257" t="s">
        <v>2085</v>
      </c>
      <c r="B987" s="9">
        <v>10</v>
      </c>
      <c r="C987" s="257" t="s">
        <v>10007</v>
      </c>
      <c r="D987" s="9">
        <v>51486910379.897888</v>
      </c>
      <c r="E987" s="9">
        <v>1732307.5169143677</v>
      </c>
      <c r="F987" s="257" t="s">
        <v>14203</v>
      </c>
      <c r="G987" s="9"/>
      <c r="H987" s="257" t="s">
        <v>19153</v>
      </c>
      <c r="I987" s="9">
        <v>1</v>
      </c>
    </row>
    <row r="988" spans="1:9">
      <c r="A988" s="257" t="s">
        <v>2086</v>
      </c>
      <c r="B988" s="9">
        <v>10</v>
      </c>
      <c r="C988" s="257" t="s">
        <v>10008</v>
      </c>
      <c r="D988" s="9">
        <v>1</v>
      </c>
      <c r="E988" s="9">
        <v>1732307.5169143677</v>
      </c>
      <c r="F988" s="257" t="s">
        <v>14203</v>
      </c>
      <c r="G988" s="9"/>
      <c r="H988" s="257" t="s">
        <v>19154</v>
      </c>
      <c r="I988" s="9">
        <v>1</v>
      </c>
    </row>
    <row r="989" spans="1:9">
      <c r="A989" s="257" t="s">
        <v>2087</v>
      </c>
      <c r="B989" s="9">
        <v>10</v>
      </c>
      <c r="C989" s="257" t="s">
        <v>10009</v>
      </c>
      <c r="D989" s="9">
        <v>29721.576496768739</v>
      </c>
      <c r="E989" s="9">
        <v>1732307.5169143677</v>
      </c>
      <c r="F989" s="257" t="s">
        <v>14203</v>
      </c>
      <c r="G989" s="9"/>
      <c r="H989" s="257" t="s">
        <v>19155</v>
      </c>
      <c r="I989" s="9">
        <v>1</v>
      </c>
    </row>
    <row r="990" spans="1:9">
      <c r="A990" s="257" t="s">
        <v>2088</v>
      </c>
      <c r="B990" s="9">
        <v>10</v>
      </c>
      <c r="C990" s="257" t="s">
        <v>10010</v>
      </c>
      <c r="D990" s="9">
        <v>773112.82204818726</v>
      </c>
      <c r="E990" s="9">
        <v>1732307.5169143677</v>
      </c>
      <c r="F990" s="257" t="s">
        <v>14204</v>
      </c>
      <c r="G990" s="9"/>
      <c r="H990" s="257" t="s">
        <v>19156</v>
      </c>
      <c r="I990" s="9">
        <v>1</v>
      </c>
    </row>
    <row r="991" spans="1:9">
      <c r="A991" s="257" t="s">
        <v>2089</v>
      </c>
      <c r="B991" s="9">
        <v>10</v>
      </c>
      <c r="C991" s="257" t="s">
        <v>10011</v>
      </c>
      <c r="D991" s="9">
        <v>3996437718.235909</v>
      </c>
      <c r="E991" s="9">
        <v>1732307.5169143677</v>
      </c>
      <c r="F991" s="257" t="s">
        <v>14204</v>
      </c>
      <c r="G991" s="9"/>
      <c r="H991" s="257" t="s">
        <v>19157</v>
      </c>
      <c r="I991" s="9">
        <v>1</v>
      </c>
    </row>
    <row r="992" spans="1:9">
      <c r="A992" s="257" t="s">
        <v>2090</v>
      </c>
      <c r="B992" s="9">
        <v>10</v>
      </c>
      <c r="C992" s="257" t="s">
        <v>10012</v>
      </c>
      <c r="D992" s="9">
        <v>0.44629075063143314</v>
      </c>
      <c r="E992" s="9">
        <v>1732307.5169143677</v>
      </c>
      <c r="F992" s="257" t="s">
        <v>14204</v>
      </c>
      <c r="G992" s="9"/>
      <c r="H992" s="257" t="s">
        <v>19158</v>
      </c>
      <c r="I992" s="9">
        <v>1</v>
      </c>
    </row>
    <row r="993" spans="1:9">
      <c r="A993" s="257" t="s">
        <v>2091</v>
      </c>
      <c r="B993" s="9">
        <v>10</v>
      </c>
      <c r="C993" s="257" t="s">
        <v>10013</v>
      </c>
      <c r="D993" s="9">
        <v>2307.0024687963432</v>
      </c>
      <c r="E993" s="9">
        <v>1732307.5169143677</v>
      </c>
      <c r="F993" s="257" t="s">
        <v>14204</v>
      </c>
      <c r="G993" s="9"/>
      <c r="H993" s="257" t="s">
        <v>19159</v>
      </c>
      <c r="I993" s="9">
        <v>1</v>
      </c>
    </row>
    <row r="994" spans="1:9">
      <c r="A994" s="257" t="s">
        <v>2092</v>
      </c>
      <c r="B994" s="9">
        <v>10</v>
      </c>
      <c r="C994" s="257" t="s">
        <v>10014</v>
      </c>
      <c r="D994" s="9">
        <v>1585486.8079090118</v>
      </c>
      <c r="E994" s="9">
        <v>1732307.5169143677</v>
      </c>
      <c r="F994" s="257" t="s">
        <v>14205</v>
      </c>
      <c r="G994" s="9"/>
      <c r="H994" s="257" t="s">
        <v>19160</v>
      </c>
      <c r="I994" s="9">
        <v>1</v>
      </c>
    </row>
    <row r="995" spans="1:9">
      <c r="A995" s="257" t="s">
        <v>2093</v>
      </c>
      <c r="B995" s="9">
        <v>10</v>
      </c>
      <c r="C995" s="257" t="s">
        <v>10015</v>
      </c>
      <c r="D995" s="9">
        <v>14847811309.138937</v>
      </c>
      <c r="E995" s="9">
        <v>1732307.5169143677</v>
      </c>
      <c r="F995" s="257" t="s">
        <v>14205</v>
      </c>
      <c r="G995" s="9"/>
      <c r="H995" s="257" t="s">
        <v>19161</v>
      </c>
      <c r="I995" s="9">
        <v>1</v>
      </c>
    </row>
    <row r="996" spans="1:9">
      <c r="A996" s="257" t="s">
        <v>2094</v>
      </c>
      <c r="B996" s="9">
        <v>10</v>
      </c>
      <c r="C996" s="257" t="s">
        <v>10016</v>
      </c>
      <c r="D996" s="9">
        <v>0.91524558568742065</v>
      </c>
      <c r="E996" s="9">
        <v>1732307.5169143677</v>
      </c>
      <c r="F996" s="257" t="s">
        <v>14205</v>
      </c>
      <c r="G996" s="9"/>
      <c r="H996" s="257" t="s">
        <v>19162</v>
      </c>
      <c r="I996" s="9">
        <v>1</v>
      </c>
    </row>
    <row r="997" spans="1:9">
      <c r="A997" s="257" t="s">
        <v>2095</v>
      </c>
      <c r="B997" s="9">
        <v>10</v>
      </c>
      <c r="C997" s="257" t="s">
        <v>10017</v>
      </c>
      <c r="D997" s="9">
        <v>8571.117520511747</v>
      </c>
      <c r="E997" s="9">
        <v>1732307.5169143677</v>
      </c>
      <c r="F997" s="257" t="s">
        <v>14205</v>
      </c>
      <c r="G997" s="9"/>
      <c r="H997" s="257" t="s">
        <v>19163</v>
      </c>
      <c r="I997" s="9">
        <v>1</v>
      </c>
    </row>
    <row r="998" spans="1:9">
      <c r="A998" s="257" t="s">
        <v>2096</v>
      </c>
      <c r="B998" s="9">
        <v>10</v>
      </c>
      <c r="C998" s="257" t="s">
        <v>10018</v>
      </c>
      <c r="D998" s="9">
        <v>0</v>
      </c>
      <c r="E998" s="9">
        <v>1732307.5169143677</v>
      </c>
      <c r="F998" s="257" t="s">
        <v>14206</v>
      </c>
      <c r="G998" s="9"/>
      <c r="H998" s="257" t="s">
        <v>19164</v>
      </c>
      <c r="I998" s="9">
        <v>1</v>
      </c>
    </row>
    <row r="999" spans="1:9">
      <c r="A999" s="257" t="s">
        <v>2097</v>
      </c>
      <c r="B999" s="9">
        <v>10</v>
      </c>
      <c r="C999" s="257" t="s">
        <v>10019</v>
      </c>
      <c r="D999" s="9">
        <v>0</v>
      </c>
      <c r="E999" s="9">
        <v>1732307.5169143677</v>
      </c>
      <c r="F999" s="257" t="s">
        <v>14206</v>
      </c>
      <c r="G999" s="9"/>
      <c r="H999" s="257" t="s">
        <v>19165</v>
      </c>
      <c r="I999" s="9">
        <v>1</v>
      </c>
    </row>
    <row r="1000" spans="1:9">
      <c r="A1000" s="257" t="s">
        <v>2098</v>
      </c>
      <c r="B1000" s="9">
        <v>10</v>
      </c>
      <c r="C1000" s="257" t="s">
        <v>10020</v>
      </c>
      <c r="D1000" s="9">
        <v>0</v>
      </c>
      <c r="E1000" s="9">
        <v>1732307.5169143677</v>
      </c>
      <c r="F1000" s="257" t="s">
        <v>14206</v>
      </c>
      <c r="G1000" s="9"/>
      <c r="H1000" s="257" t="s">
        <v>19166</v>
      </c>
      <c r="I1000" s="9">
        <v>1</v>
      </c>
    </row>
    <row r="1001" spans="1:9">
      <c r="A1001" s="257" t="s">
        <v>2099</v>
      </c>
      <c r="B1001" s="9">
        <v>10</v>
      </c>
      <c r="C1001" s="257" t="s">
        <v>10021</v>
      </c>
      <c r="D1001" s="9">
        <v>0</v>
      </c>
      <c r="E1001" s="9">
        <v>1732307.5169143677</v>
      </c>
      <c r="F1001" s="257" t="s">
        <v>14206</v>
      </c>
      <c r="G1001" s="9"/>
      <c r="H1001" s="257" t="s">
        <v>19167</v>
      </c>
      <c r="I1001" s="9">
        <v>1</v>
      </c>
    </row>
    <row r="1002" spans="1:9">
      <c r="A1002" s="257" t="s">
        <v>2100</v>
      </c>
      <c r="B1002" s="9">
        <v>1</v>
      </c>
      <c r="C1002" s="257" t="s">
        <v>10022</v>
      </c>
      <c r="D1002" s="9">
        <v>4.6789708187496533E-3</v>
      </c>
      <c r="E1002" s="9"/>
      <c r="F1002" s="257" t="s">
        <v>14207</v>
      </c>
      <c r="G1002" s="9"/>
      <c r="H1002" s="257" t="s">
        <v>19168</v>
      </c>
      <c r="I1002" s="9">
        <v>1</v>
      </c>
    </row>
    <row r="1003" spans="1:9">
      <c r="A1003" s="257" t="s">
        <v>2101</v>
      </c>
      <c r="B1003" s="9">
        <v>1</v>
      </c>
      <c r="C1003" s="257" t="s">
        <v>10022</v>
      </c>
      <c r="D1003" s="9">
        <v>4.6789708187496533E-3</v>
      </c>
      <c r="E1003" s="9"/>
      <c r="F1003" s="257" t="s">
        <v>14208</v>
      </c>
      <c r="G1003" s="9"/>
      <c r="H1003" s="257" t="s">
        <v>19169</v>
      </c>
      <c r="I1003" s="9">
        <v>1</v>
      </c>
    </row>
    <row r="1004" spans="1:9">
      <c r="A1004" s="257" t="s">
        <v>2102</v>
      </c>
      <c r="B1004" s="9">
        <v>1</v>
      </c>
      <c r="C1004" s="257" t="s">
        <v>10022</v>
      </c>
      <c r="D1004" s="9">
        <v>4.7686837134229953E-3</v>
      </c>
      <c r="E1004" s="9"/>
      <c r="F1004" s="257" t="s">
        <v>14209</v>
      </c>
      <c r="G1004" s="9"/>
      <c r="H1004" s="257" t="s">
        <v>19170</v>
      </c>
      <c r="I1004" s="9">
        <v>1</v>
      </c>
    </row>
    <row r="1005" spans="1:9">
      <c r="A1005" s="257" t="s">
        <v>2103</v>
      </c>
      <c r="B1005" s="9">
        <v>1</v>
      </c>
      <c r="C1005" s="257" t="s">
        <v>10022</v>
      </c>
      <c r="D1005" s="9">
        <v>0</v>
      </c>
      <c r="E1005" s="9"/>
      <c r="F1005" s="257" t="s">
        <v>14210</v>
      </c>
      <c r="G1005" s="9"/>
      <c r="H1005" s="257" t="s">
        <v>19171</v>
      </c>
      <c r="I1005" s="9">
        <v>1</v>
      </c>
    </row>
    <row r="1006" spans="1:9">
      <c r="A1006" s="257" t="s">
        <v>2104</v>
      </c>
      <c r="B1006" s="9">
        <v>1</v>
      </c>
      <c r="C1006" s="257" t="s">
        <v>10022</v>
      </c>
      <c r="D1006" s="9">
        <v>0</v>
      </c>
      <c r="E1006" s="9"/>
      <c r="F1006" s="257" t="s">
        <v>14211</v>
      </c>
      <c r="G1006" s="9"/>
      <c r="H1006" s="257" t="s">
        <v>19172</v>
      </c>
      <c r="I1006" s="9">
        <v>1</v>
      </c>
    </row>
    <row r="1007" spans="1:9">
      <c r="A1007" s="257" t="s">
        <v>2105</v>
      </c>
      <c r="B1007" s="9">
        <v>1</v>
      </c>
      <c r="C1007" s="257" t="s">
        <v>10022</v>
      </c>
      <c r="D1007" s="9">
        <v>9.4476545321726495E-3</v>
      </c>
      <c r="E1007" s="9"/>
      <c r="F1007" s="257" t="s">
        <v>14212</v>
      </c>
      <c r="G1007" s="9"/>
      <c r="H1007" s="257" t="s">
        <v>19173</v>
      </c>
      <c r="I1007" s="9">
        <v>1</v>
      </c>
    </row>
    <row r="1008" spans="1:9">
      <c r="A1008" s="257" t="s">
        <v>2106</v>
      </c>
      <c r="B1008" s="9">
        <v>1</v>
      </c>
      <c r="C1008" s="257" t="s">
        <v>10022</v>
      </c>
      <c r="D1008" s="9">
        <v>9.4476545321726495E-3</v>
      </c>
      <c r="E1008" s="9"/>
      <c r="F1008" s="257" t="s">
        <v>14213</v>
      </c>
      <c r="G1008" s="9"/>
      <c r="H1008" s="257" t="s">
        <v>19174</v>
      </c>
      <c r="I1008" s="9">
        <v>1</v>
      </c>
    </row>
    <row r="1009" spans="1:9">
      <c r="A1009" s="257" t="s">
        <v>2107</v>
      </c>
      <c r="B1009" s="9">
        <v>1</v>
      </c>
      <c r="C1009" s="257" t="s">
        <v>10022</v>
      </c>
      <c r="D1009" s="9">
        <v>9.4476545321726495E-3</v>
      </c>
      <c r="E1009" s="9"/>
      <c r="F1009" s="257" t="s">
        <v>14214</v>
      </c>
      <c r="G1009" s="9"/>
      <c r="H1009" s="257" t="s">
        <v>19175</v>
      </c>
      <c r="I1009" s="9">
        <v>1</v>
      </c>
    </row>
    <row r="1010" spans="1:9">
      <c r="A1010" s="257" t="s">
        <v>2108</v>
      </c>
      <c r="B1010" s="9">
        <v>1</v>
      </c>
      <c r="C1010" s="257" t="s">
        <v>10022</v>
      </c>
      <c r="D1010" s="9">
        <v>1.0723070051712131E-2</v>
      </c>
      <c r="E1010" s="9"/>
      <c r="F1010" s="257" t="s">
        <v>14215</v>
      </c>
      <c r="G1010" s="9"/>
      <c r="H1010" s="257" t="s">
        <v>19176</v>
      </c>
      <c r="I1010" s="9">
        <v>1</v>
      </c>
    </row>
    <row r="1011" spans="1:9">
      <c r="A1011" s="257" t="s">
        <v>2109</v>
      </c>
      <c r="B1011" s="9">
        <v>1</v>
      </c>
      <c r="C1011" s="257" t="s">
        <v>10022</v>
      </c>
      <c r="D1011" s="9">
        <v>1.0723070051712131E-2</v>
      </c>
      <c r="E1011" s="9"/>
      <c r="F1011" s="257" t="s">
        <v>14216</v>
      </c>
      <c r="G1011" s="9"/>
      <c r="H1011" s="257" t="s">
        <v>19177</v>
      </c>
      <c r="I1011" s="9">
        <v>1</v>
      </c>
    </row>
    <row r="1012" spans="1:9">
      <c r="A1012" s="257" t="s">
        <v>2110</v>
      </c>
      <c r="B1012" s="9">
        <v>1</v>
      </c>
      <c r="C1012" s="257" t="s">
        <v>10022</v>
      </c>
      <c r="D1012" s="9">
        <v>-1.2754155195394822E-3</v>
      </c>
      <c r="E1012" s="9"/>
      <c r="F1012" s="257" t="s">
        <v>14217</v>
      </c>
      <c r="G1012" s="9"/>
      <c r="H1012" s="257" t="s">
        <v>19178</v>
      </c>
      <c r="I1012" s="9">
        <v>1</v>
      </c>
    </row>
    <row r="1013" spans="1:9">
      <c r="A1013" s="257" t="s">
        <v>2111</v>
      </c>
      <c r="B1013" s="9">
        <v>1</v>
      </c>
      <c r="C1013" s="257" t="s">
        <v>10022</v>
      </c>
      <c r="D1013" s="9">
        <v>0</v>
      </c>
      <c r="E1013" s="9"/>
      <c r="F1013" s="257" t="s">
        <v>14218</v>
      </c>
      <c r="G1013" s="9"/>
      <c r="H1013" s="257" t="s">
        <v>19179</v>
      </c>
      <c r="I1013" s="9">
        <v>1</v>
      </c>
    </row>
    <row r="1014" spans="1:9">
      <c r="A1014" s="257" t="s">
        <v>2112</v>
      </c>
      <c r="B1014" s="9">
        <v>1</v>
      </c>
      <c r="C1014" s="257" t="s">
        <v>10022</v>
      </c>
      <c r="D1014" s="9">
        <v>0</v>
      </c>
      <c r="E1014" s="9"/>
      <c r="F1014" s="257" t="s">
        <v>14219</v>
      </c>
      <c r="G1014" s="9"/>
      <c r="H1014" s="257" t="s">
        <v>19180</v>
      </c>
      <c r="I1014" s="9">
        <v>1</v>
      </c>
    </row>
    <row r="1015" spans="1:9">
      <c r="A1015" s="257" t="s">
        <v>2113</v>
      </c>
      <c r="B1015" s="9">
        <v>1</v>
      </c>
      <c r="C1015" s="257" t="s">
        <v>10022</v>
      </c>
      <c r="D1015" s="9">
        <v>0</v>
      </c>
      <c r="E1015" s="9"/>
      <c r="F1015" s="257" t="s">
        <v>14220</v>
      </c>
      <c r="G1015" s="9"/>
      <c r="H1015" s="257" t="s">
        <v>19181</v>
      </c>
      <c r="I1015" s="9">
        <v>1</v>
      </c>
    </row>
    <row r="1016" spans="1:9">
      <c r="A1016" s="257" t="s">
        <v>2114</v>
      </c>
      <c r="B1016" s="9">
        <v>1</v>
      </c>
      <c r="C1016" s="257" t="s">
        <v>10022</v>
      </c>
      <c r="D1016" s="9">
        <v>0</v>
      </c>
      <c r="E1016" s="9"/>
      <c r="F1016" s="257" t="s">
        <v>14221</v>
      </c>
      <c r="G1016" s="9"/>
      <c r="H1016" s="257" t="s">
        <v>19182</v>
      </c>
      <c r="I1016" s="9">
        <v>1</v>
      </c>
    </row>
    <row r="1017" spans="1:9">
      <c r="A1017" s="257" t="s">
        <v>2115</v>
      </c>
      <c r="B1017" s="9">
        <v>1</v>
      </c>
      <c r="C1017" s="257" t="s">
        <v>10022</v>
      </c>
      <c r="D1017" s="9">
        <v>0</v>
      </c>
      <c r="E1017" s="9"/>
      <c r="F1017" s="257" t="s">
        <v>14222</v>
      </c>
      <c r="G1017" s="9"/>
      <c r="H1017" s="257" t="s">
        <v>19183</v>
      </c>
      <c r="I1017" s="9">
        <v>1</v>
      </c>
    </row>
    <row r="1018" spans="1:9">
      <c r="A1018" s="257" t="s">
        <v>2116</v>
      </c>
      <c r="B1018" s="9">
        <v>1</v>
      </c>
      <c r="C1018" s="257" t="s">
        <v>10022</v>
      </c>
      <c r="D1018" s="9">
        <v>0</v>
      </c>
      <c r="E1018" s="9"/>
      <c r="F1018" s="257" t="s">
        <v>14223</v>
      </c>
      <c r="G1018" s="9"/>
      <c r="H1018" s="257" t="s">
        <v>19184</v>
      </c>
      <c r="I1018" s="9">
        <v>1</v>
      </c>
    </row>
    <row r="1019" spans="1:9">
      <c r="A1019" s="257" t="s">
        <v>2117</v>
      </c>
      <c r="B1019" s="9">
        <v>1</v>
      </c>
      <c r="C1019" s="257" t="s">
        <v>10022</v>
      </c>
      <c r="D1019" s="9">
        <v>3.1177406984371271E-3</v>
      </c>
      <c r="E1019" s="9"/>
      <c r="F1019" s="257" t="s">
        <v>14224</v>
      </c>
      <c r="G1019" s="9"/>
      <c r="H1019" s="257" t="s">
        <v>19185</v>
      </c>
      <c r="I1019" s="9">
        <v>1</v>
      </c>
    </row>
    <row r="1020" spans="1:9">
      <c r="A1020" s="257" t="s">
        <v>2118</v>
      </c>
      <c r="B1020" s="9">
        <v>1</v>
      </c>
      <c r="C1020" s="257" t="s">
        <v>10022</v>
      </c>
      <c r="D1020" s="9">
        <v>1.5854670130420459E-3</v>
      </c>
      <c r="E1020" s="9"/>
      <c r="F1020" s="257" t="s">
        <v>14225</v>
      </c>
      <c r="G1020" s="9"/>
      <c r="H1020" s="257" t="s">
        <v>19186</v>
      </c>
      <c r="I1020" s="9">
        <v>1</v>
      </c>
    </row>
    <row r="1021" spans="1:9">
      <c r="A1021" s="257" t="s">
        <v>2119</v>
      </c>
      <c r="B1021" s="9">
        <v>1</v>
      </c>
      <c r="C1021" s="257" t="s">
        <v>10022</v>
      </c>
      <c r="D1021" s="9">
        <v>4.7032077114791734E-3</v>
      </c>
      <c r="E1021" s="9"/>
      <c r="F1021" s="257" t="s">
        <v>14226</v>
      </c>
      <c r="G1021" s="9"/>
      <c r="H1021" s="257" t="s">
        <v>19187</v>
      </c>
      <c r="I1021" s="9">
        <v>1</v>
      </c>
    </row>
    <row r="1022" spans="1:9">
      <c r="A1022" s="257" t="s">
        <v>2120</v>
      </c>
      <c r="B1022" s="9">
        <v>1</v>
      </c>
      <c r="C1022" s="257" t="s">
        <v>10022</v>
      </c>
      <c r="D1022" s="9">
        <v>2.7306197122921169E-3</v>
      </c>
      <c r="E1022" s="9"/>
      <c r="F1022" s="257" t="s">
        <v>14227</v>
      </c>
      <c r="G1022" s="9"/>
      <c r="H1022" s="257" t="s">
        <v>19188</v>
      </c>
      <c r="I1022" s="9">
        <v>1</v>
      </c>
    </row>
    <row r="1023" spans="1:9">
      <c r="A1023" s="257" t="s">
        <v>2121</v>
      </c>
      <c r="B1023" s="9">
        <v>1</v>
      </c>
      <c r="C1023" s="257" t="s">
        <v>10022</v>
      </c>
      <c r="D1023" s="9">
        <v>3.2892426279408408E-3</v>
      </c>
      <c r="E1023" s="9"/>
      <c r="F1023" s="257" t="s">
        <v>14228</v>
      </c>
      <c r="G1023" s="9"/>
      <c r="H1023" s="257" t="s">
        <v>19189</v>
      </c>
      <c r="I1023" s="9">
        <v>1</v>
      </c>
    </row>
    <row r="1024" spans="1:9">
      <c r="A1024" s="257" t="s">
        <v>2122</v>
      </c>
      <c r="B1024" s="9">
        <v>1</v>
      </c>
      <c r="C1024" s="257" t="s">
        <v>10022</v>
      </c>
      <c r="D1024" s="9">
        <v>6.0198623402329581E-3</v>
      </c>
      <c r="E1024" s="9"/>
      <c r="F1024" s="257" t="s">
        <v>14229</v>
      </c>
      <c r="G1024" s="9"/>
      <c r="H1024" s="257" t="s">
        <v>19190</v>
      </c>
      <c r="I1024" s="9">
        <v>1</v>
      </c>
    </row>
    <row r="1025" spans="1:9">
      <c r="A1025" s="257" t="s">
        <v>2123</v>
      </c>
      <c r="B1025" s="9">
        <v>1</v>
      </c>
      <c r="C1025" s="257" t="s">
        <v>10022</v>
      </c>
      <c r="D1025" s="9">
        <v>-2.4236892729519231E-5</v>
      </c>
      <c r="E1025" s="9"/>
      <c r="F1025" s="257" t="s">
        <v>14230</v>
      </c>
      <c r="G1025" s="9"/>
      <c r="H1025" s="257" t="s">
        <v>19191</v>
      </c>
      <c r="I1025" s="9">
        <v>1</v>
      </c>
    </row>
    <row r="1026" spans="1:9">
      <c r="A1026" s="257" t="s">
        <v>2124</v>
      </c>
      <c r="B1026" s="9">
        <v>1</v>
      </c>
      <c r="C1026" s="257" t="s">
        <v>10022</v>
      </c>
      <c r="D1026" s="9">
        <v>-1.251178626809963E-3</v>
      </c>
      <c r="E1026" s="9"/>
      <c r="F1026" s="257" t="s">
        <v>14231</v>
      </c>
      <c r="G1026" s="9"/>
      <c r="H1026" s="257" t="s">
        <v>19192</v>
      </c>
      <c r="I1026" s="9">
        <v>1</v>
      </c>
    </row>
    <row r="1027" spans="1:9">
      <c r="A1027" s="257" t="s">
        <v>2125</v>
      </c>
      <c r="B1027" s="9">
        <v>2</v>
      </c>
      <c r="C1027" s="257" t="s">
        <v>10022</v>
      </c>
      <c r="D1027" s="9">
        <v>6.0515493362848826E-3</v>
      </c>
      <c r="E1027" s="9"/>
      <c r="F1027" s="257" t="s">
        <v>14232</v>
      </c>
      <c r="G1027" s="9"/>
      <c r="H1027" s="257" t="s">
        <v>19193</v>
      </c>
      <c r="I1027" s="9">
        <v>1</v>
      </c>
    </row>
    <row r="1028" spans="1:9">
      <c r="A1028" s="257" t="s">
        <v>2126</v>
      </c>
      <c r="B1028" s="9">
        <v>2</v>
      </c>
      <c r="C1028" s="257" t="s">
        <v>10022</v>
      </c>
      <c r="D1028" s="9">
        <v>6.0515493362848826E-3</v>
      </c>
      <c r="E1028" s="9"/>
      <c r="F1028" s="257" t="s">
        <v>14233</v>
      </c>
      <c r="G1028" s="9"/>
      <c r="H1028" s="257" t="s">
        <v>19194</v>
      </c>
      <c r="I1028" s="9">
        <v>1</v>
      </c>
    </row>
    <row r="1029" spans="1:9">
      <c r="A1029" s="257" t="s">
        <v>2127</v>
      </c>
      <c r="B1029" s="9">
        <v>2</v>
      </c>
      <c r="C1029" s="257" t="s">
        <v>10022</v>
      </c>
      <c r="D1029" s="9">
        <v>5.6365738098876706E-3</v>
      </c>
      <c r="E1029" s="9"/>
      <c r="F1029" s="257" t="s">
        <v>14234</v>
      </c>
      <c r="G1029" s="9"/>
      <c r="H1029" s="257" t="s">
        <v>19195</v>
      </c>
      <c r="I1029" s="9">
        <v>1</v>
      </c>
    </row>
    <row r="1030" spans="1:9">
      <c r="A1030" s="257" t="s">
        <v>2128</v>
      </c>
      <c r="B1030" s="9">
        <v>2</v>
      </c>
      <c r="C1030" s="257" t="s">
        <v>10022</v>
      </c>
      <c r="D1030" s="9">
        <v>0</v>
      </c>
      <c r="E1030" s="9"/>
      <c r="F1030" s="257" t="s">
        <v>14235</v>
      </c>
      <c r="G1030" s="9"/>
      <c r="H1030" s="257" t="s">
        <v>19196</v>
      </c>
      <c r="I1030" s="9">
        <v>1</v>
      </c>
    </row>
    <row r="1031" spans="1:9">
      <c r="A1031" s="257" t="s">
        <v>2129</v>
      </c>
      <c r="B1031" s="9">
        <v>2</v>
      </c>
      <c r="C1031" s="257" t="s">
        <v>10022</v>
      </c>
      <c r="D1031" s="9">
        <v>0</v>
      </c>
      <c r="E1031" s="9"/>
      <c r="F1031" s="257" t="s">
        <v>14236</v>
      </c>
      <c r="G1031" s="9"/>
      <c r="H1031" s="257" t="s">
        <v>19197</v>
      </c>
      <c r="I1031" s="9">
        <v>1</v>
      </c>
    </row>
    <row r="1032" spans="1:9">
      <c r="A1032" s="257" t="s">
        <v>2130</v>
      </c>
      <c r="B1032" s="9">
        <v>2</v>
      </c>
      <c r="C1032" s="257" t="s">
        <v>10022</v>
      </c>
      <c r="D1032" s="9">
        <v>1.1688123146172553E-2</v>
      </c>
      <c r="E1032" s="9"/>
      <c r="F1032" s="257" t="s">
        <v>14237</v>
      </c>
      <c r="G1032" s="9"/>
      <c r="H1032" s="257" t="s">
        <v>19198</v>
      </c>
      <c r="I1032" s="9">
        <v>1</v>
      </c>
    </row>
    <row r="1033" spans="1:9">
      <c r="A1033" s="257" t="s">
        <v>2131</v>
      </c>
      <c r="B1033" s="9">
        <v>2</v>
      </c>
      <c r="C1033" s="257" t="s">
        <v>10022</v>
      </c>
      <c r="D1033" s="9">
        <v>1.1688123146172553E-2</v>
      </c>
      <c r="E1033" s="9"/>
      <c r="F1033" s="257" t="s">
        <v>14238</v>
      </c>
      <c r="G1033" s="9"/>
      <c r="H1033" s="257" t="s">
        <v>19199</v>
      </c>
      <c r="I1033" s="9">
        <v>1</v>
      </c>
    </row>
    <row r="1034" spans="1:9">
      <c r="A1034" s="257" t="s">
        <v>2132</v>
      </c>
      <c r="B1034" s="9">
        <v>2</v>
      </c>
      <c r="C1034" s="257" t="s">
        <v>10022</v>
      </c>
      <c r="D1034" s="9">
        <v>1.1688123146172553E-2</v>
      </c>
      <c r="E1034" s="9"/>
      <c r="F1034" s="257" t="s">
        <v>14239</v>
      </c>
      <c r="G1034" s="9"/>
      <c r="H1034" s="257" t="s">
        <v>19200</v>
      </c>
      <c r="I1034" s="9">
        <v>1</v>
      </c>
    </row>
    <row r="1035" spans="1:9">
      <c r="A1035" s="257" t="s">
        <v>2133</v>
      </c>
      <c r="B1035" s="9">
        <v>2</v>
      </c>
      <c r="C1035" s="257" t="s">
        <v>10022</v>
      </c>
      <c r="D1035" s="9">
        <v>1.358179120828381E-2</v>
      </c>
      <c r="E1035" s="9"/>
      <c r="F1035" s="257" t="s">
        <v>14240</v>
      </c>
      <c r="G1035" s="9"/>
      <c r="H1035" s="257" t="s">
        <v>19201</v>
      </c>
      <c r="I1035" s="9">
        <v>1</v>
      </c>
    </row>
    <row r="1036" spans="1:9">
      <c r="A1036" s="257" t="s">
        <v>2134</v>
      </c>
      <c r="B1036" s="9">
        <v>2</v>
      </c>
      <c r="C1036" s="257" t="s">
        <v>10022</v>
      </c>
      <c r="D1036" s="9">
        <v>1.358179120828381E-2</v>
      </c>
      <c r="E1036" s="9"/>
      <c r="F1036" s="257" t="s">
        <v>14241</v>
      </c>
      <c r="G1036" s="9"/>
      <c r="H1036" s="257" t="s">
        <v>19202</v>
      </c>
      <c r="I1036" s="9">
        <v>1</v>
      </c>
    </row>
    <row r="1037" spans="1:9">
      <c r="A1037" s="257" t="s">
        <v>2135</v>
      </c>
      <c r="B1037" s="9">
        <v>2</v>
      </c>
      <c r="C1037" s="257" t="s">
        <v>10022</v>
      </c>
      <c r="D1037" s="9">
        <v>-1.8936680621112567E-3</v>
      </c>
      <c r="E1037" s="9"/>
      <c r="F1037" s="257" t="s">
        <v>14242</v>
      </c>
      <c r="G1037" s="9"/>
      <c r="H1037" s="257" t="s">
        <v>19203</v>
      </c>
      <c r="I1037" s="9">
        <v>1</v>
      </c>
    </row>
    <row r="1038" spans="1:9">
      <c r="A1038" s="257" t="s">
        <v>2136</v>
      </c>
      <c r="B1038" s="9">
        <v>2</v>
      </c>
      <c r="C1038" s="257" t="s">
        <v>10022</v>
      </c>
      <c r="D1038" s="9">
        <v>0</v>
      </c>
      <c r="E1038" s="9"/>
      <c r="F1038" s="257" t="s">
        <v>14243</v>
      </c>
      <c r="G1038" s="9"/>
      <c r="H1038" s="257" t="s">
        <v>19204</v>
      </c>
      <c r="I1038" s="9">
        <v>1</v>
      </c>
    </row>
    <row r="1039" spans="1:9">
      <c r="A1039" s="257" t="s">
        <v>2137</v>
      </c>
      <c r="B1039" s="9">
        <v>2</v>
      </c>
      <c r="C1039" s="257" t="s">
        <v>10022</v>
      </c>
      <c r="D1039" s="9">
        <v>0</v>
      </c>
      <c r="E1039" s="9"/>
      <c r="F1039" s="257" t="s">
        <v>14244</v>
      </c>
      <c r="G1039" s="9"/>
      <c r="H1039" s="257" t="s">
        <v>19205</v>
      </c>
      <c r="I1039" s="9">
        <v>1</v>
      </c>
    </row>
    <row r="1040" spans="1:9">
      <c r="A1040" s="257" t="s">
        <v>2138</v>
      </c>
      <c r="B1040" s="9">
        <v>2</v>
      </c>
      <c r="C1040" s="257" t="s">
        <v>10022</v>
      </c>
      <c r="D1040" s="9">
        <v>0</v>
      </c>
      <c r="E1040" s="9"/>
      <c r="F1040" s="257" t="s">
        <v>14245</v>
      </c>
      <c r="G1040" s="9"/>
      <c r="H1040" s="257" t="s">
        <v>19206</v>
      </c>
      <c r="I1040" s="9">
        <v>1</v>
      </c>
    </row>
    <row r="1041" spans="1:9">
      <c r="A1041" s="257" t="s">
        <v>2139</v>
      </c>
      <c r="B1041" s="9">
        <v>2</v>
      </c>
      <c r="C1041" s="257" t="s">
        <v>10022</v>
      </c>
      <c r="D1041" s="9">
        <v>0</v>
      </c>
      <c r="E1041" s="9"/>
      <c r="F1041" s="257" t="s">
        <v>14246</v>
      </c>
      <c r="G1041" s="9"/>
      <c r="H1041" s="257" t="s">
        <v>19207</v>
      </c>
      <c r="I1041" s="9">
        <v>1</v>
      </c>
    </row>
    <row r="1042" spans="1:9">
      <c r="A1042" s="257" t="s">
        <v>2140</v>
      </c>
      <c r="B1042" s="9">
        <v>2</v>
      </c>
      <c r="C1042" s="257" t="s">
        <v>10022</v>
      </c>
      <c r="D1042" s="9">
        <v>0</v>
      </c>
      <c r="E1042" s="9"/>
      <c r="F1042" s="257" t="s">
        <v>14247</v>
      </c>
      <c r="G1042" s="9"/>
      <c r="H1042" s="257" t="s">
        <v>19208</v>
      </c>
      <c r="I1042" s="9">
        <v>1</v>
      </c>
    </row>
    <row r="1043" spans="1:9">
      <c r="A1043" s="257" t="s">
        <v>2141</v>
      </c>
      <c r="B1043" s="9">
        <v>2</v>
      </c>
      <c r="C1043" s="257" t="s">
        <v>10022</v>
      </c>
      <c r="D1043" s="9">
        <v>0</v>
      </c>
      <c r="E1043" s="9"/>
      <c r="F1043" s="257" t="s">
        <v>14248</v>
      </c>
      <c r="G1043" s="9"/>
      <c r="H1043" s="257" t="s">
        <v>19209</v>
      </c>
      <c r="I1043" s="9">
        <v>1</v>
      </c>
    </row>
    <row r="1044" spans="1:9">
      <c r="A1044" s="257" t="s">
        <v>2142</v>
      </c>
      <c r="B1044" s="9">
        <v>2</v>
      </c>
      <c r="C1044" s="257" t="s">
        <v>10022</v>
      </c>
      <c r="D1044" s="9">
        <v>4.4544740130908426E-3</v>
      </c>
      <c r="E1044" s="9"/>
      <c r="F1044" s="257" t="s">
        <v>14249</v>
      </c>
      <c r="G1044" s="9"/>
      <c r="H1044" s="257" t="s">
        <v>19210</v>
      </c>
      <c r="I1044" s="9">
        <v>1</v>
      </c>
    </row>
    <row r="1045" spans="1:9">
      <c r="A1045" s="257" t="s">
        <v>2143</v>
      </c>
      <c r="B1045" s="9">
        <v>2</v>
      </c>
      <c r="C1045" s="257" t="s">
        <v>10022</v>
      </c>
      <c r="D1045" s="9">
        <v>1.7168898408505401E-3</v>
      </c>
      <c r="E1045" s="9"/>
      <c r="F1045" s="257" t="s">
        <v>14250</v>
      </c>
      <c r="G1045" s="9"/>
      <c r="H1045" s="257" t="s">
        <v>19211</v>
      </c>
      <c r="I1045" s="9">
        <v>1</v>
      </c>
    </row>
    <row r="1046" spans="1:9">
      <c r="A1046" s="257" t="s">
        <v>2144</v>
      </c>
      <c r="B1046" s="9">
        <v>2</v>
      </c>
      <c r="C1046" s="257" t="s">
        <v>10022</v>
      </c>
      <c r="D1046" s="9">
        <v>6.1713638539413829E-3</v>
      </c>
      <c r="E1046" s="9"/>
      <c r="F1046" s="257" t="s">
        <v>14251</v>
      </c>
      <c r="G1046" s="9"/>
      <c r="H1046" s="257" t="s">
        <v>19212</v>
      </c>
      <c r="I1046" s="9">
        <v>1</v>
      </c>
    </row>
    <row r="1047" spans="1:9">
      <c r="A1047" s="257" t="s">
        <v>2145</v>
      </c>
      <c r="B1047" s="9">
        <v>2</v>
      </c>
      <c r="C1047" s="257" t="s">
        <v>10022</v>
      </c>
      <c r="D1047" s="9">
        <v>3.8075674211330963E-3</v>
      </c>
      <c r="E1047" s="9"/>
      <c r="F1047" s="257" t="s">
        <v>14252</v>
      </c>
      <c r="G1047" s="9"/>
      <c r="H1047" s="257" t="s">
        <v>19213</v>
      </c>
      <c r="I1047" s="9">
        <v>1</v>
      </c>
    </row>
    <row r="1048" spans="1:9">
      <c r="A1048" s="257" t="s">
        <v>2146</v>
      </c>
      <c r="B1048" s="9">
        <v>2</v>
      </c>
      <c r="C1048" s="257" t="s">
        <v>10022</v>
      </c>
      <c r="D1048" s="9">
        <v>3.6028599332093313E-3</v>
      </c>
      <c r="E1048" s="9"/>
      <c r="F1048" s="257" t="s">
        <v>14253</v>
      </c>
      <c r="G1048" s="9"/>
      <c r="H1048" s="257" t="s">
        <v>19214</v>
      </c>
      <c r="I1048" s="9">
        <v>1</v>
      </c>
    </row>
    <row r="1049" spans="1:9">
      <c r="A1049" s="257" t="s">
        <v>2147</v>
      </c>
      <c r="B1049" s="9">
        <v>2</v>
      </c>
      <c r="C1049" s="257" t="s">
        <v>10022</v>
      </c>
      <c r="D1049" s="9">
        <v>7.4104273543424276E-3</v>
      </c>
      <c r="E1049" s="9"/>
      <c r="F1049" s="257" t="s">
        <v>14254</v>
      </c>
      <c r="G1049" s="9"/>
      <c r="H1049" s="257" t="s">
        <v>19215</v>
      </c>
      <c r="I1049" s="9">
        <v>1</v>
      </c>
    </row>
    <row r="1050" spans="1:9">
      <c r="A1050" s="257" t="s">
        <v>2148</v>
      </c>
      <c r="B1050" s="9">
        <v>2</v>
      </c>
      <c r="C1050" s="257" t="s">
        <v>10022</v>
      </c>
      <c r="D1050" s="9">
        <v>-1.1981451765649964E-4</v>
      </c>
      <c r="E1050" s="9"/>
      <c r="F1050" s="257" t="s">
        <v>14255</v>
      </c>
      <c r="G1050" s="9"/>
      <c r="H1050" s="257" t="s">
        <v>19216</v>
      </c>
      <c r="I1050" s="9">
        <v>1</v>
      </c>
    </row>
    <row r="1051" spans="1:9">
      <c r="A1051" s="257" t="s">
        <v>2149</v>
      </c>
      <c r="B1051" s="9">
        <v>2</v>
      </c>
      <c r="C1051" s="257" t="s">
        <v>10022</v>
      </c>
      <c r="D1051" s="9">
        <v>-1.773853544454757E-3</v>
      </c>
      <c r="E1051" s="9"/>
      <c r="F1051" s="257" t="s">
        <v>14256</v>
      </c>
      <c r="G1051" s="9"/>
      <c r="H1051" s="257" t="s">
        <v>19217</v>
      </c>
      <c r="I1051" s="9">
        <v>1</v>
      </c>
    </row>
    <row r="1052" spans="1:9">
      <c r="A1052" s="257" t="s">
        <v>2150</v>
      </c>
      <c r="B1052" s="9">
        <v>3</v>
      </c>
      <c r="C1052" s="257" t="s">
        <v>10022</v>
      </c>
      <c r="D1052" s="9">
        <v>7.4800499724115297E-3</v>
      </c>
      <c r="E1052" s="9"/>
      <c r="F1052" s="257" t="s">
        <v>14257</v>
      </c>
      <c r="G1052" s="9"/>
      <c r="H1052" s="257" t="s">
        <v>19218</v>
      </c>
      <c r="I1052" s="9">
        <v>1</v>
      </c>
    </row>
    <row r="1053" spans="1:9">
      <c r="A1053" s="257" t="s">
        <v>2151</v>
      </c>
      <c r="B1053" s="9">
        <v>3</v>
      </c>
      <c r="C1053" s="257" t="s">
        <v>10022</v>
      </c>
      <c r="D1053" s="9">
        <v>7.4800499724115297E-3</v>
      </c>
      <c r="E1053" s="9"/>
      <c r="F1053" s="257" t="s">
        <v>14258</v>
      </c>
      <c r="G1053" s="9"/>
      <c r="H1053" s="257" t="s">
        <v>19219</v>
      </c>
      <c r="I1053" s="9">
        <v>1</v>
      </c>
    </row>
    <row r="1054" spans="1:9">
      <c r="A1054" s="257" t="s">
        <v>2152</v>
      </c>
      <c r="B1054" s="9">
        <v>3</v>
      </c>
      <c r="C1054" s="257" t="s">
        <v>10022</v>
      </c>
      <c r="D1054" s="9">
        <v>5.2980348805541887E-3</v>
      </c>
      <c r="E1054" s="9"/>
      <c r="F1054" s="257" t="s">
        <v>14259</v>
      </c>
      <c r="G1054" s="9"/>
      <c r="H1054" s="257" t="s">
        <v>19220</v>
      </c>
      <c r="I1054" s="9">
        <v>1</v>
      </c>
    </row>
    <row r="1055" spans="1:9">
      <c r="A1055" s="257" t="s">
        <v>2153</v>
      </c>
      <c r="B1055" s="9">
        <v>3</v>
      </c>
      <c r="C1055" s="257" t="s">
        <v>10022</v>
      </c>
      <c r="D1055" s="9">
        <v>0</v>
      </c>
      <c r="E1055" s="9"/>
      <c r="F1055" s="257" t="s">
        <v>14260</v>
      </c>
      <c r="G1055" s="9"/>
      <c r="H1055" s="257" t="s">
        <v>19221</v>
      </c>
      <c r="I1055" s="9">
        <v>1</v>
      </c>
    </row>
    <row r="1056" spans="1:9">
      <c r="A1056" s="257" t="s">
        <v>2154</v>
      </c>
      <c r="B1056" s="9">
        <v>3</v>
      </c>
      <c r="C1056" s="257" t="s">
        <v>10022</v>
      </c>
      <c r="D1056" s="9">
        <v>0</v>
      </c>
      <c r="E1056" s="9"/>
      <c r="F1056" s="257" t="s">
        <v>14261</v>
      </c>
      <c r="G1056" s="9"/>
      <c r="H1056" s="257" t="s">
        <v>19222</v>
      </c>
      <c r="I1056" s="9">
        <v>1</v>
      </c>
    </row>
    <row r="1057" spans="1:9">
      <c r="A1057" s="257" t="s">
        <v>2155</v>
      </c>
      <c r="B1057" s="9">
        <v>3</v>
      </c>
      <c r="C1057" s="257" t="s">
        <v>10022</v>
      </c>
      <c r="D1057" s="9">
        <v>1.2778084852965719E-2</v>
      </c>
      <c r="E1057" s="9"/>
      <c r="F1057" s="257" t="s">
        <v>14262</v>
      </c>
      <c r="G1057" s="9"/>
      <c r="H1057" s="257" t="s">
        <v>19223</v>
      </c>
      <c r="I1057" s="9">
        <v>1</v>
      </c>
    </row>
    <row r="1058" spans="1:9">
      <c r="A1058" s="257" t="s">
        <v>2156</v>
      </c>
      <c r="B1058" s="9">
        <v>3</v>
      </c>
      <c r="C1058" s="257" t="s">
        <v>10022</v>
      </c>
      <c r="D1058" s="9">
        <v>1.2778084852965719E-2</v>
      </c>
      <c r="E1058" s="9"/>
      <c r="F1058" s="257" t="s">
        <v>14263</v>
      </c>
      <c r="G1058" s="9"/>
      <c r="H1058" s="257" t="s">
        <v>19224</v>
      </c>
      <c r="I1058" s="9">
        <v>1</v>
      </c>
    </row>
    <row r="1059" spans="1:9">
      <c r="A1059" s="257" t="s">
        <v>2157</v>
      </c>
      <c r="B1059" s="9">
        <v>3</v>
      </c>
      <c r="C1059" s="257" t="s">
        <v>10022</v>
      </c>
      <c r="D1059" s="9">
        <v>1.2778084852965719E-2</v>
      </c>
      <c r="E1059" s="9"/>
      <c r="F1059" s="257" t="s">
        <v>14264</v>
      </c>
      <c r="G1059" s="9"/>
      <c r="H1059" s="257" t="s">
        <v>19225</v>
      </c>
      <c r="I1059" s="9">
        <v>1</v>
      </c>
    </row>
    <row r="1060" spans="1:9">
      <c r="A1060" s="257" t="s">
        <v>2158</v>
      </c>
      <c r="B1060" s="9">
        <v>3</v>
      </c>
      <c r="C1060" s="257" t="s">
        <v>10022</v>
      </c>
      <c r="D1060" s="9">
        <v>1.4479918854156774E-2</v>
      </c>
      <c r="E1060" s="9"/>
      <c r="F1060" s="257" t="s">
        <v>14265</v>
      </c>
      <c r="G1060" s="9"/>
      <c r="H1060" s="257" t="s">
        <v>19226</v>
      </c>
      <c r="I1060" s="9">
        <v>1</v>
      </c>
    </row>
    <row r="1061" spans="1:9">
      <c r="A1061" s="257" t="s">
        <v>2159</v>
      </c>
      <c r="B1061" s="9">
        <v>3</v>
      </c>
      <c r="C1061" s="257" t="s">
        <v>10022</v>
      </c>
      <c r="D1061" s="9">
        <v>1.4479918854156774E-2</v>
      </c>
      <c r="E1061" s="9"/>
      <c r="F1061" s="257" t="s">
        <v>14266</v>
      </c>
      <c r="G1061" s="9"/>
      <c r="H1061" s="257" t="s">
        <v>19227</v>
      </c>
      <c r="I1061" s="9">
        <v>1</v>
      </c>
    </row>
    <row r="1062" spans="1:9">
      <c r="A1062" s="257" t="s">
        <v>2160</v>
      </c>
      <c r="B1062" s="9">
        <v>3</v>
      </c>
      <c r="C1062" s="257" t="s">
        <v>10022</v>
      </c>
      <c r="D1062" s="9">
        <v>-1.7018340011910541E-3</v>
      </c>
      <c r="E1062" s="9"/>
      <c r="F1062" s="257" t="s">
        <v>14267</v>
      </c>
      <c r="G1062" s="9"/>
      <c r="H1062" s="257" t="s">
        <v>19228</v>
      </c>
      <c r="I1062" s="9">
        <v>1</v>
      </c>
    </row>
    <row r="1063" spans="1:9">
      <c r="A1063" s="257" t="s">
        <v>2161</v>
      </c>
      <c r="B1063" s="9">
        <v>3</v>
      </c>
      <c r="C1063" s="257" t="s">
        <v>10022</v>
      </c>
      <c r="D1063" s="9">
        <v>0</v>
      </c>
      <c r="E1063" s="9"/>
      <c r="F1063" s="257" t="s">
        <v>14268</v>
      </c>
      <c r="G1063" s="9"/>
      <c r="H1063" s="257" t="s">
        <v>19229</v>
      </c>
      <c r="I1063" s="9">
        <v>1</v>
      </c>
    </row>
    <row r="1064" spans="1:9">
      <c r="A1064" s="257" t="s">
        <v>2162</v>
      </c>
      <c r="B1064" s="9">
        <v>3</v>
      </c>
      <c r="C1064" s="257" t="s">
        <v>10022</v>
      </c>
      <c r="D1064" s="9">
        <v>0</v>
      </c>
      <c r="E1064" s="9"/>
      <c r="F1064" s="257" t="s">
        <v>14269</v>
      </c>
      <c r="G1064" s="9"/>
      <c r="H1064" s="257" t="s">
        <v>19230</v>
      </c>
      <c r="I1064" s="9">
        <v>1</v>
      </c>
    </row>
    <row r="1065" spans="1:9">
      <c r="A1065" s="257" t="s">
        <v>2163</v>
      </c>
      <c r="B1065" s="9">
        <v>3</v>
      </c>
      <c r="C1065" s="257" t="s">
        <v>10022</v>
      </c>
      <c r="D1065" s="9">
        <v>0</v>
      </c>
      <c r="E1065" s="9"/>
      <c r="F1065" s="257" t="s">
        <v>14270</v>
      </c>
      <c r="G1065" s="9"/>
      <c r="H1065" s="257" t="s">
        <v>19231</v>
      </c>
      <c r="I1065" s="9">
        <v>1</v>
      </c>
    </row>
    <row r="1066" spans="1:9">
      <c r="A1066" s="257" t="s">
        <v>2164</v>
      </c>
      <c r="B1066" s="9">
        <v>3</v>
      </c>
      <c r="C1066" s="257" t="s">
        <v>10022</v>
      </c>
      <c r="D1066" s="9">
        <v>0</v>
      </c>
      <c r="E1066" s="9"/>
      <c r="F1066" s="257" t="s">
        <v>14271</v>
      </c>
      <c r="G1066" s="9"/>
      <c r="H1066" s="257" t="s">
        <v>19232</v>
      </c>
      <c r="I1066" s="9">
        <v>1</v>
      </c>
    </row>
    <row r="1067" spans="1:9">
      <c r="A1067" s="257" t="s">
        <v>2165</v>
      </c>
      <c r="B1067" s="9">
        <v>3</v>
      </c>
      <c r="C1067" s="257" t="s">
        <v>10022</v>
      </c>
      <c r="D1067" s="9">
        <v>0</v>
      </c>
      <c r="E1067" s="9"/>
      <c r="F1067" s="257" t="s">
        <v>14272</v>
      </c>
      <c r="G1067" s="9"/>
      <c r="H1067" s="257" t="s">
        <v>19233</v>
      </c>
      <c r="I1067" s="9">
        <v>1</v>
      </c>
    </row>
    <row r="1068" spans="1:9">
      <c r="A1068" s="257" t="s">
        <v>2166</v>
      </c>
      <c r="B1068" s="9">
        <v>3</v>
      </c>
      <c r="C1068" s="257" t="s">
        <v>10022</v>
      </c>
      <c r="D1068" s="9">
        <v>0</v>
      </c>
      <c r="E1068" s="9"/>
      <c r="F1068" s="257" t="s">
        <v>14273</v>
      </c>
      <c r="G1068" s="9"/>
      <c r="H1068" s="257" t="s">
        <v>19234</v>
      </c>
      <c r="I1068" s="9">
        <v>1</v>
      </c>
    </row>
    <row r="1069" spans="1:9">
      <c r="A1069" s="257" t="s">
        <v>2167</v>
      </c>
      <c r="B1069" s="9">
        <v>3</v>
      </c>
      <c r="C1069" s="257" t="s">
        <v>10022</v>
      </c>
      <c r="D1069" s="9">
        <v>5.9219185328734571E-3</v>
      </c>
      <c r="E1069" s="9"/>
      <c r="F1069" s="257" t="s">
        <v>14274</v>
      </c>
      <c r="G1069" s="9"/>
      <c r="H1069" s="257" t="s">
        <v>19235</v>
      </c>
      <c r="I1069" s="9">
        <v>1</v>
      </c>
    </row>
    <row r="1070" spans="1:9">
      <c r="A1070" s="257" t="s">
        <v>2168</v>
      </c>
      <c r="B1070" s="9">
        <v>3</v>
      </c>
      <c r="C1070" s="257" t="s">
        <v>10022</v>
      </c>
      <c r="D1070" s="9">
        <v>1.726251399049285E-3</v>
      </c>
      <c r="E1070" s="9"/>
      <c r="F1070" s="257" t="s">
        <v>14275</v>
      </c>
      <c r="G1070" s="9"/>
      <c r="H1070" s="257" t="s">
        <v>19236</v>
      </c>
      <c r="I1070" s="9">
        <v>1</v>
      </c>
    </row>
    <row r="1071" spans="1:9">
      <c r="A1071" s="257" t="s">
        <v>2169</v>
      </c>
      <c r="B1071" s="9">
        <v>3</v>
      </c>
      <c r="C1071" s="257" t="s">
        <v>10022</v>
      </c>
      <c r="D1071" s="9">
        <v>7.648169931922741E-3</v>
      </c>
      <c r="E1071" s="9"/>
      <c r="F1071" s="257" t="s">
        <v>14276</v>
      </c>
      <c r="G1071" s="9"/>
      <c r="H1071" s="257" t="s">
        <v>19237</v>
      </c>
      <c r="I1071" s="9">
        <v>1</v>
      </c>
    </row>
    <row r="1072" spans="1:9">
      <c r="A1072" s="257" t="s">
        <v>2170</v>
      </c>
      <c r="B1072" s="9">
        <v>3</v>
      </c>
      <c r="C1072" s="257" t="s">
        <v>10022</v>
      </c>
      <c r="D1072" s="9">
        <v>3.1611845255830927E-3</v>
      </c>
      <c r="E1072" s="9"/>
      <c r="F1072" s="257" t="s">
        <v>14277</v>
      </c>
      <c r="G1072" s="9"/>
      <c r="H1072" s="257" t="s">
        <v>19238</v>
      </c>
      <c r="I1072" s="9">
        <v>1</v>
      </c>
    </row>
    <row r="1073" spans="1:9">
      <c r="A1073" s="257" t="s">
        <v>2171</v>
      </c>
      <c r="B1073" s="9">
        <v>3</v>
      </c>
      <c r="C1073" s="257" t="s">
        <v>10022</v>
      </c>
      <c r="D1073" s="9">
        <v>3.6705643966509385E-3</v>
      </c>
      <c r="E1073" s="9"/>
      <c r="F1073" s="257" t="s">
        <v>14278</v>
      </c>
      <c r="G1073" s="9"/>
      <c r="H1073" s="257" t="s">
        <v>19239</v>
      </c>
      <c r="I1073" s="9">
        <v>1</v>
      </c>
    </row>
    <row r="1074" spans="1:9">
      <c r="A1074" s="257" t="s">
        <v>2172</v>
      </c>
      <c r="B1074" s="9">
        <v>3</v>
      </c>
      <c r="C1074" s="257" t="s">
        <v>10022</v>
      </c>
      <c r="D1074" s="9">
        <v>6.8317489222340317E-3</v>
      </c>
      <c r="E1074" s="9"/>
      <c r="F1074" s="257" t="s">
        <v>14279</v>
      </c>
      <c r="G1074" s="9"/>
      <c r="H1074" s="257" t="s">
        <v>19240</v>
      </c>
      <c r="I1074" s="9">
        <v>1</v>
      </c>
    </row>
    <row r="1075" spans="1:9">
      <c r="A1075" s="257" t="s">
        <v>2173</v>
      </c>
      <c r="B1075" s="9">
        <v>3</v>
      </c>
      <c r="C1075" s="257" t="s">
        <v>10022</v>
      </c>
      <c r="D1075" s="9">
        <v>-1.6811995951121145E-4</v>
      </c>
      <c r="E1075" s="9"/>
      <c r="F1075" s="257" t="s">
        <v>14280</v>
      </c>
      <c r="G1075" s="9"/>
      <c r="H1075" s="257" t="s">
        <v>19241</v>
      </c>
      <c r="I1075" s="9">
        <v>1</v>
      </c>
    </row>
    <row r="1076" spans="1:9">
      <c r="A1076" s="257" t="s">
        <v>2174</v>
      </c>
      <c r="B1076" s="9">
        <v>3</v>
      </c>
      <c r="C1076" s="257" t="s">
        <v>10022</v>
      </c>
      <c r="D1076" s="9">
        <v>-1.5337140416798428E-3</v>
      </c>
      <c r="E1076" s="9"/>
      <c r="F1076" s="257" t="s">
        <v>14281</v>
      </c>
      <c r="G1076" s="9"/>
      <c r="H1076" s="257" t="s">
        <v>19242</v>
      </c>
      <c r="I1076" s="9">
        <v>1</v>
      </c>
    </row>
    <row r="1077" spans="1:9">
      <c r="A1077" s="257" t="s">
        <v>2175</v>
      </c>
      <c r="B1077" s="9">
        <v>4</v>
      </c>
      <c r="C1077" s="257" t="s">
        <v>10022</v>
      </c>
      <c r="D1077" s="9">
        <v>9.091629882304806E-3</v>
      </c>
      <c r="E1077" s="9"/>
      <c r="F1077" s="257" t="s">
        <v>14282</v>
      </c>
      <c r="G1077" s="9"/>
      <c r="H1077" s="257" t="s">
        <v>19243</v>
      </c>
      <c r="I1077" s="9">
        <v>1</v>
      </c>
    </row>
    <row r="1078" spans="1:9">
      <c r="A1078" s="257" t="s">
        <v>2176</v>
      </c>
      <c r="B1078" s="9">
        <v>4</v>
      </c>
      <c r="C1078" s="257" t="s">
        <v>10022</v>
      </c>
      <c r="D1078" s="9">
        <v>9.091629882304806E-3</v>
      </c>
      <c r="E1078" s="9"/>
      <c r="F1078" s="257" t="s">
        <v>14283</v>
      </c>
      <c r="G1078" s="9"/>
      <c r="H1078" s="257" t="s">
        <v>19244</v>
      </c>
      <c r="I1078" s="9">
        <v>1</v>
      </c>
    </row>
    <row r="1079" spans="1:9">
      <c r="A1079" s="257" t="s">
        <v>2177</v>
      </c>
      <c r="B1079" s="9">
        <v>4</v>
      </c>
      <c r="C1079" s="257" t="s">
        <v>10022</v>
      </c>
      <c r="D1079" s="9">
        <v>5.7053693849708842E-3</v>
      </c>
      <c r="E1079" s="9"/>
      <c r="F1079" s="257" t="s">
        <v>14284</v>
      </c>
      <c r="G1079" s="9"/>
      <c r="H1079" s="257" t="s">
        <v>19245</v>
      </c>
      <c r="I1079" s="9">
        <v>1</v>
      </c>
    </row>
    <row r="1080" spans="1:9">
      <c r="A1080" s="257" t="s">
        <v>2178</v>
      </c>
      <c r="B1080" s="9">
        <v>4</v>
      </c>
      <c r="C1080" s="257" t="s">
        <v>10022</v>
      </c>
      <c r="D1080" s="9">
        <v>0</v>
      </c>
      <c r="E1080" s="9"/>
      <c r="F1080" s="257" t="s">
        <v>14285</v>
      </c>
      <c r="G1080" s="9"/>
      <c r="H1080" s="257" t="s">
        <v>19246</v>
      </c>
      <c r="I1080" s="9">
        <v>1</v>
      </c>
    </row>
    <row r="1081" spans="1:9">
      <c r="A1081" s="257" t="s">
        <v>2179</v>
      </c>
      <c r="B1081" s="9">
        <v>4</v>
      </c>
      <c r="C1081" s="257" t="s">
        <v>10022</v>
      </c>
      <c r="D1081" s="9">
        <v>0</v>
      </c>
      <c r="E1081" s="9"/>
      <c r="F1081" s="257" t="s">
        <v>14286</v>
      </c>
      <c r="G1081" s="9"/>
      <c r="H1081" s="257" t="s">
        <v>19247</v>
      </c>
      <c r="I1081" s="9">
        <v>1</v>
      </c>
    </row>
    <row r="1082" spans="1:9">
      <c r="A1082" s="257" t="s">
        <v>2180</v>
      </c>
      <c r="B1082" s="9">
        <v>4</v>
      </c>
      <c r="C1082" s="257" t="s">
        <v>10022</v>
      </c>
      <c r="D1082" s="9">
        <v>1.4796999267275691E-2</v>
      </c>
      <c r="E1082" s="9"/>
      <c r="F1082" s="257" t="s">
        <v>14287</v>
      </c>
      <c r="G1082" s="9"/>
      <c r="H1082" s="257" t="s">
        <v>19248</v>
      </c>
      <c r="I1082" s="9">
        <v>1</v>
      </c>
    </row>
    <row r="1083" spans="1:9">
      <c r="A1083" s="257" t="s">
        <v>2181</v>
      </c>
      <c r="B1083" s="9">
        <v>4</v>
      </c>
      <c r="C1083" s="257" t="s">
        <v>10022</v>
      </c>
      <c r="D1083" s="9">
        <v>1.4796999267275691E-2</v>
      </c>
      <c r="E1083" s="9"/>
      <c r="F1083" s="257" t="s">
        <v>14288</v>
      </c>
      <c r="G1083" s="9"/>
      <c r="H1083" s="257" t="s">
        <v>19249</v>
      </c>
      <c r="I1083" s="9">
        <v>1</v>
      </c>
    </row>
    <row r="1084" spans="1:9">
      <c r="A1084" s="257" t="s">
        <v>2182</v>
      </c>
      <c r="B1084" s="9">
        <v>4</v>
      </c>
      <c r="C1084" s="257" t="s">
        <v>10022</v>
      </c>
      <c r="D1084" s="9">
        <v>1.4796999267275691E-2</v>
      </c>
      <c r="E1084" s="9"/>
      <c r="F1084" s="257" t="s">
        <v>14289</v>
      </c>
      <c r="G1084" s="9"/>
      <c r="H1084" s="257" t="s">
        <v>19250</v>
      </c>
      <c r="I1084" s="9">
        <v>1</v>
      </c>
    </row>
    <row r="1085" spans="1:9">
      <c r="A1085" s="257" t="s">
        <v>2183</v>
      </c>
      <c r="B1085" s="9">
        <v>4</v>
      </c>
      <c r="C1085" s="257" t="s">
        <v>10022</v>
      </c>
      <c r="D1085" s="9">
        <v>1.6639129851506878E-2</v>
      </c>
      <c r="E1085" s="9"/>
      <c r="F1085" s="257" t="s">
        <v>14290</v>
      </c>
      <c r="G1085" s="9"/>
      <c r="H1085" s="257" t="s">
        <v>19251</v>
      </c>
      <c r="I1085" s="9">
        <v>1</v>
      </c>
    </row>
    <row r="1086" spans="1:9">
      <c r="A1086" s="257" t="s">
        <v>2184</v>
      </c>
      <c r="B1086" s="9">
        <v>4</v>
      </c>
      <c r="C1086" s="257" t="s">
        <v>10022</v>
      </c>
      <c r="D1086" s="9">
        <v>1.6639129851506878E-2</v>
      </c>
      <c r="E1086" s="9"/>
      <c r="F1086" s="257" t="s">
        <v>14291</v>
      </c>
      <c r="G1086" s="9"/>
      <c r="H1086" s="257" t="s">
        <v>19252</v>
      </c>
      <c r="I1086" s="9">
        <v>1</v>
      </c>
    </row>
    <row r="1087" spans="1:9">
      <c r="A1087" s="257" t="s">
        <v>2185</v>
      </c>
      <c r="B1087" s="9">
        <v>4</v>
      </c>
      <c r="C1087" s="257" t="s">
        <v>10022</v>
      </c>
      <c r="D1087" s="9">
        <v>-1.8421305842311892E-3</v>
      </c>
      <c r="E1087" s="9"/>
      <c r="F1087" s="257" t="s">
        <v>14292</v>
      </c>
      <c r="G1087" s="9"/>
      <c r="H1087" s="257" t="s">
        <v>19253</v>
      </c>
      <c r="I1087" s="9">
        <v>1</v>
      </c>
    </row>
    <row r="1088" spans="1:9">
      <c r="A1088" s="257" t="s">
        <v>2186</v>
      </c>
      <c r="B1088" s="9">
        <v>4</v>
      </c>
      <c r="C1088" s="257" t="s">
        <v>10022</v>
      </c>
      <c r="D1088" s="9">
        <v>0</v>
      </c>
      <c r="E1088" s="9"/>
      <c r="F1088" s="257" t="s">
        <v>14293</v>
      </c>
      <c r="G1088" s="9"/>
      <c r="H1088" s="257" t="s">
        <v>19254</v>
      </c>
      <c r="I1088" s="9">
        <v>1</v>
      </c>
    </row>
    <row r="1089" spans="1:9">
      <c r="A1089" s="257" t="s">
        <v>2187</v>
      </c>
      <c r="B1089" s="9">
        <v>4</v>
      </c>
      <c r="C1089" s="257" t="s">
        <v>10022</v>
      </c>
      <c r="D1089" s="9">
        <v>0</v>
      </c>
      <c r="E1089" s="9"/>
      <c r="F1089" s="257" t="s">
        <v>14294</v>
      </c>
      <c r="G1089" s="9"/>
      <c r="H1089" s="257" t="s">
        <v>19255</v>
      </c>
      <c r="I1089" s="9">
        <v>1</v>
      </c>
    </row>
    <row r="1090" spans="1:9">
      <c r="A1090" s="257" t="s">
        <v>2188</v>
      </c>
      <c r="B1090" s="9">
        <v>4</v>
      </c>
      <c r="C1090" s="257" t="s">
        <v>10022</v>
      </c>
      <c r="D1090" s="9">
        <v>0</v>
      </c>
      <c r="E1090" s="9"/>
      <c r="F1090" s="257" t="s">
        <v>14295</v>
      </c>
      <c r="G1090" s="9"/>
      <c r="H1090" s="257" t="s">
        <v>19256</v>
      </c>
      <c r="I1090" s="9">
        <v>1</v>
      </c>
    </row>
    <row r="1091" spans="1:9">
      <c r="A1091" s="257" t="s">
        <v>2189</v>
      </c>
      <c r="B1091" s="9">
        <v>4</v>
      </c>
      <c r="C1091" s="257" t="s">
        <v>10022</v>
      </c>
      <c r="D1091" s="9">
        <v>0</v>
      </c>
      <c r="E1091" s="9"/>
      <c r="F1091" s="257" t="s">
        <v>14296</v>
      </c>
      <c r="G1091" s="9"/>
      <c r="H1091" s="257" t="s">
        <v>19257</v>
      </c>
      <c r="I1091" s="9">
        <v>1</v>
      </c>
    </row>
    <row r="1092" spans="1:9">
      <c r="A1092" s="257" t="s">
        <v>2190</v>
      </c>
      <c r="B1092" s="9">
        <v>4</v>
      </c>
      <c r="C1092" s="257" t="s">
        <v>10022</v>
      </c>
      <c r="D1092" s="9">
        <v>0</v>
      </c>
      <c r="E1092" s="9"/>
      <c r="F1092" s="257" t="s">
        <v>14297</v>
      </c>
      <c r="G1092" s="9"/>
      <c r="H1092" s="257" t="s">
        <v>19258</v>
      </c>
      <c r="I1092" s="9">
        <v>1</v>
      </c>
    </row>
    <row r="1093" spans="1:9">
      <c r="A1093" s="257" t="s">
        <v>2191</v>
      </c>
      <c r="B1093" s="9">
        <v>4</v>
      </c>
      <c r="C1093" s="257" t="s">
        <v>10022</v>
      </c>
      <c r="D1093" s="9">
        <v>0</v>
      </c>
      <c r="E1093" s="9"/>
      <c r="F1093" s="257" t="s">
        <v>14298</v>
      </c>
      <c r="G1093" s="9"/>
      <c r="H1093" s="257" t="s">
        <v>19259</v>
      </c>
      <c r="I1093" s="9">
        <v>1</v>
      </c>
    </row>
    <row r="1094" spans="1:9">
      <c r="A1094" s="257" t="s">
        <v>2192</v>
      </c>
      <c r="B1094" s="9">
        <v>4</v>
      </c>
      <c r="C1094" s="257" t="s">
        <v>10022</v>
      </c>
      <c r="D1094" s="9">
        <v>7.4348868329534318E-3</v>
      </c>
      <c r="E1094" s="9"/>
      <c r="F1094" s="257" t="s">
        <v>14299</v>
      </c>
      <c r="G1094" s="9"/>
      <c r="H1094" s="257" t="s">
        <v>19260</v>
      </c>
      <c r="I1094" s="9">
        <v>1</v>
      </c>
    </row>
    <row r="1095" spans="1:9">
      <c r="A1095" s="257" t="s">
        <v>2193</v>
      </c>
      <c r="B1095" s="9">
        <v>4</v>
      </c>
      <c r="C1095" s="257" t="s">
        <v>10022</v>
      </c>
      <c r="D1095" s="9">
        <v>1.7679003253680801E-3</v>
      </c>
      <c r="E1095" s="9"/>
      <c r="F1095" s="257" t="s">
        <v>14300</v>
      </c>
      <c r="G1095" s="9"/>
      <c r="H1095" s="257" t="s">
        <v>19261</v>
      </c>
      <c r="I1095" s="9">
        <v>1</v>
      </c>
    </row>
    <row r="1096" spans="1:9">
      <c r="A1096" s="257" t="s">
        <v>2194</v>
      </c>
      <c r="B1096" s="9">
        <v>4</v>
      </c>
      <c r="C1096" s="257" t="s">
        <v>10022</v>
      </c>
      <c r="D1096" s="9">
        <v>9.2027871583215109E-3</v>
      </c>
      <c r="E1096" s="9"/>
      <c r="F1096" s="257" t="s">
        <v>14301</v>
      </c>
      <c r="G1096" s="9"/>
      <c r="H1096" s="257" t="s">
        <v>19262</v>
      </c>
      <c r="I1096" s="9">
        <v>1</v>
      </c>
    </row>
    <row r="1097" spans="1:9">
      <c r="A1097" s="257" t="s">
        <v>2195</v>
      </c>
      <c r="B1097" s="9">
        <v>4</v>
      </c>
      <c r="C1097" s="257" t="s">
        <v>10022</v>
      </c>
      <c r="D1097" s="9">
        <v>3.5497759472974699E-3</v>
      </c>
      <c r="E1097" s="9"/>
      <c r="F1097" s="257" t="s">
        <v>14302</v>
      </c>
      <c r="G1097" s="9"/>
      <c r="H1097" s="257" t="s">
        <v>19263</v>
      </c>
      <c r="I1097" s="9">
        <v>1</v>
      </c>
    </row>
    <row r="1098" spans="1:9">
      <c r="A1098" s="257" t="s">
        <v>2196</v>
      </c>
      <c r="B1098" s="9">
        <v>4</v>
      </c>
      <c r="C1098" s="257" t="s">
        <v>10022</v>
      </c>
      <c r="D1098" s="9">
        <v>3.8865667458878972E-3</v>
      </c>
      <c r="E1098" s="9"/>
      <c r="F1098" s="257" t="s">
        <v>14303</v>
      </c>
      <c r="G1098" s="9"/>
      <c r="H1098" s="257" t="s">
        <v>19264</v>
      </c>
      <c r="I1098" s="9">
        <v>1</v>
      </c>
    </row>
    <row r="1099" spans="1:9">
      <c r="A1099" s="257" t="s">
        <v>2197</v>
      </c>
      <c r="B1099" s="9">
        <v>4</v>
      </c>
      <c r="C1099" s="257" t="s">
        <v>10022</v>
      </c>
      <c r="D1099" s="9">
        <v>7.436342693185367E-3</v>
      </c>
      <c r="E1099" s="9"/>
      <c r="F1099" s="257" t="s">
        <v>14304</v>
      </c>
      <c r="G1099" s="9"/>
      <c r="H1099" s="257" t="s">
        <v>19265</v>
      </c>
      <c r="I1099" s="9">
        <v>1</v>
      </c>
    </row>
    <row r="1100" spans="1:9">
      <c r="A1100" s="257" t="s">
        <v>2198</v>
      </c>
      <c r="B1100" s="9">
        <v>4</v>
      </c>
      <c r="C1100" s="257" t="s">
        <v>10022</v>
      </c>
      <c r="D1100" s="9">
        <v>-1.1115727601670593E-4</v>
      </c>
      <c r="E1100" s="9"/>
      <c r="F1100" s="257" t="s">
        <v>14305</v>
      </c>
      <c r="G1100" s="9"/>
      <c r="H1100" s="257" t="s">
        <v>19266</v>
      </c>
      <c r="I1100" s="9">
        <v>1</v>
      </c>
    </row>
    <row r="1101" spans="1:9">
      <c r="A1101" s="257" t="s">
        <v>2199</v>
      </c>
      <c r="B1101" s="9">
        <v>4</v>
      </c>
      <c r="C1101" s="257" t="s">
        <v>10022</v>
      </c>
      <c r="D1101" s="9">
        <v>-1.7309733082144832E-3</v>
      </c>
      <c r="E1101" s="9"/>
      <c r="F1101" s="257" t="s">
        <v>14306</v>
      </c>
      <c r="G1101" s="9"/>
      <c r="H1101" s="257" t="s">
        <v>19267</v>
      </c>
      <c r="I1101" s="9">
        <v>1</v>
      </c>
    </row>
    <row r="1102" spans="1:9">
      <c r="A1102" s="257" t="s">
        <v>2200</v>
      </c>
      <c r="B1102" s="9">
        <v>5</v>
      </c>
      <c r="C1102" s="257" t="s">
        <v>10022</v>
      </c>
      <c r="D1102" s="9">
        <v>9.6285887415555466E-3</v>
      </c>
      <c r="E1102" s="9"/>
      <c r="F1102" s="257" t="s">
        <v>14307</v>
      </c>
      <c r="G1102" s="9"/>
      <c r="H1102" s="257" t="s">
        <v>19268</v>
      </c>
      <c r="I1102" s="9">
        <v>1</v>
      </c>
    </row>
    <row r="1103" spans="1:9">
      <c r="A1103" s="257" t="s">
        <v>2201</v>
      </c>
      <c r="B1103" s="9">
        <v>5</v>
      </c>
      <c r="C1103" s="257" t="s">
        <v>10022</v>
      </c>
      <c r="D1103" s="9">
        <v>9.6285887415555466E-3</v>
      </c>
      <c r="E1103" s="9"/>
      <c r="F1103" s="257" t="s">
        <v>14308</v>
      </c>
      <c r="G1103" s="9"/>
      <c r="H1103" s="257" t="s">
        <v>19269</v>
      </c>
      <c r="I1103" s="9">
        <v>1</v>
      </c>
    </row>
    <row r="1104" spans="1:9">
      <c r="A1104" s="257" t="s">
        <v>2202</v>
      </c>
      <c r="B1104" s="9">
        <v>5</v>
      </c>
      <c r="C1104" s="257" t="s">
        <v>10022</v>
      </c>
      <c r="D1104" s="9">
        <v>6.1802609594837294E-3</v>
      </c>
      <c r="E1104" s="9"/>
      <c r="F1104" s="257" t="s">
        <v>14309</v>
      </c>
      <c r="G1104" s="9"/>
      <c r="H1104" s="257" t="s">
        <v>19270</v>
      </c>
      <c r="I1104" s="9">
        <v>1</v>
      </c>
    </row>
    <row r="1105" spans="1:9">
      <c r="A1105" s="257" t="s">
        <v>2203</v>
      </c>
      <c r="B1105" s="9">
        <v>5</v>
      </c>
      <c r="C1105" s="257" t="s">
        <v>10022</v>
      </c>
      <c r="D1105" s="9">
        <v>0</v>
      </c>
      <c r="E1105" s="9"/>
      <c r="F1105" s="257" t="s">
        <v>14310</v>
      </c>
      <c r="G1105" s="9"/>
      <c r="H1105" s="257" t="s">
        <v>19271</v>
      </c>
      <c r="I1105" s="9">
        <v>1</v>
      </c>
    </row>
    <row r="1106" spans="1:9">
      <c r="A1106" s="257" t="s">
        <v>2204</v>
      </c>
      <c r="B1106" s="9">
        <v>5</v>
      </c>
      <c r="C1106" s="257" t="s">
        <v>10022</v>
      </c>
      <c r="D1106" s="9">
        <v>0</v>
      </c>
      <c r="E1106" s="9"/>
      <c r="F1106" s="257" t="s">
        <v>14311</v>
      </c>
      <c r="G1106" s="9"/>
      <c r="H1106" s="257" t="s">
        <v>19272</v>
      </c>
      <c r="I1106" s="9">
        <v>1</v>
      </c>
    </row>
    <row r="1107" spans="1:9">
      <c r="A1107" s="257" t="s">
        <v>2205</v>
      </c>
      <c r="B1107" s="9">
        <v>5</v>
      </c>
      <c r="C1107" s="257" t="s">
        <v>10022</v>
      </c>
      <c r="D1107" s="9">
        <v>1.5808849701039275E-2</v>
      </c>
      <c r="E1107" s="9"/>
      <c r="F1107" s="257" t="s">
        <v>14312</v>
      </c>
      <c r="G1107" s="9"/>
      <c r="H1107" s="257" t="s">
        <v>19273</v>
      </c>
      <c r="I1107" s="9">
        <v>1</v>
      </c>
    </row>
    <row r="1108" spans="1:9">
      <c r="A1108" s="257" t="s">
        <v>2206</v>
      </c>
      <c r="B1108" s="9">
        <v>5</v>
      </c>
      <c r="C1108" s="257" t="s">
        <v>10022</v>
      </c>
      <c r="D1108" s="9">
        <v>1.5808849701039275E-2</v>
      </c>
      <c r="E1108" s="9"/>
      <c r="F1108" s="257" t="s">
        <v>14313</v>
      </c>
      <c r="G1108" s="9"/>
      <c r="H1108" s="257" t="s">
        <v>19274</v>
      </c>
      <c r="I1108" s="9">
        <v>1</v>
      </c>
    </row>
    <row r="1109" spans="1:9">
      <c r="A1109" s="257" t="s">
        <v>2207</v>
      </c>
      <c r="B1109" s="9">
        <v>5</v>
      </c>
      <c r="C1109" s="257" t="s">
        <v>10022</v>
      </c>
      <c r="D1109" s="9">
        <v>1.5808849701039275E-2</v>
      </c>
      <c r="E1109" s="9"/>
      <c r="F1109" s="257" t="s">
        <v>14314</v>
      </c>
      <c r="G1109" s="9"/>
      <c r="H1109" s="257" t="s">
        <v>19275</v>
      </c>
      <c r="I1109" s="9">
        <v>1</v>
      </c>
    </row>
    <row r="1110" spans="1:9">
      <c r="A1110" s="257" t="s">
        <v>2208</v>
      </c>
      <c r="B1110" s="9">
        <v>5</v>
      </c>
      <c r="C1110" s="257" t="s">
        <v>10022</v>
      </c>
      <c r="D1110" s="9">
        <v>1.8028633914648231E-2</v>
      </c>
      <c r="E1110" s="9"/>
      <c r="F1110" s="257" t="s">
        <v>14315</v>
      </c>
      <c r="G1110" s="9"/>
      <c r="H1110" s="257" t="s">
        <v>19276</v>
      </c>
      <c r="I1110" s="9">
        <v>1</v>
      </c>
    </row>
    <row r="1111" spans="1:9">
      <c r="A1111" s="257" t="s">
        <v>2209</v>
      </c>
      <c r="B1111" s="9">
        <v>5</v>
      </c>
      <c r="C1111" s="257" t="s">
        <v>10022</v>
      </c>
      <c r="D1111" s="9">
        <v>1.8028633914648231E-2</v>
      </c>
      <c r="E1111" s="9"/>
      <c r="F1111" s="257" t="s">
        <v>14316</v>
      </c>
      <c r="G1111" s="9"/>
      <c r="H1111" s="257" t="s">
        <v>19277</v>
      </c>
      <c r="I1111" s="9">
        <v>1</v>
      </c>
    </row>
    <row r="1112" spans="1:9">
      <c r="A1112" s="257" t="s">
        <v>2210</v>
      </c>
      <c r="B1112" s="9">
        <v>5</v>
      </c>
      <c r="C1112" s="257" t="s">
        <v>10022</v>
      </c>
      <c r="D1112" s="9">
        <v>-2.2197842136089554E-3</v>
      </c>
      <c r="E1112" s="9"/>
      <c r="F1112" s="257" t="s">
        <v>14317</v>
      </c>
      <c r="G1112" s="9"/>
      <c r="H1112" s="257" t="s">
        <v>19278</v>
      </c>
      <c r="I1112" s="9">
        <v>1</v>
      </c>
    </row>
    <row r="1113" spans="1:9">
      <c r="A1113" s="257" t="s">
        <v>2211</v>
      </c>
      <c r="B1113" s="9">
        <v>5</v>
      </c>
      <c r="C1113" s="257" t="s">
        <v>10022</v>
      </c>
      <c r="D1113" s="9">
        <v>0</v>
      </c>
      <c r="E1113" s="9"/>
      <c r="F1113" s="257" t="s">
        <v>14318</v>
      </c>
      <c r="G1113" s="9"/>
      <c r="H1113" s="257" t="s">
        <v>19279</v>
      </c>
      <c r="I1113" s="9">
        <v>1</v>
      </c>
    </row>
    <row r="1114" spans="1:9">
      <c r="A1114" s="257" t="s">
        <v>2212</v>
      </c>
      <c r="B1114" s="9">
        <v>5</v>
      </c>
      <c r="C1114" s="257" t="s">
        <v>10022</v>
      </c>
      <c r="D1114" s="9">
        <v>0</v>
      </c>
      <c r="E1114" s="9"/>
      <c r="F1114" s="257" t="s">
        <v>14319</v>
      </c>
      <c r="G1114" s="9"/>
      <c r="H1114" s="257" t="s">
        <v>19280</v>
      </c>
      <c r="I1114" s="9">
        <v>1</v>
      </c>
    </row>
    <row r="1115" spans="1:9">
      <c r="A1115" s="257" t="s">
        <v>2213</v>
      </c>
      <c r="B1115" s="9">
        <v>5</v>
      </c>
      <c r="C1115" s="257" t="s">
        <v>10022</v>
      </c>
      <c r="D1115" s="9">
        <v>0</v>
      </c>
      <c r="E1115" s="9"/>
      <c r="F1115" s="257" t="s">
        <v>14320</v>
      </c>
      <c r="G1115" s="9"/>
      <c r="H1115" s="257" t="s">
        <v>19281</v>
      </c>
      <c r="I1115" s="9">
        <v>1</v>
      </c>
    </row>
    <row r="1116" spans="1:9">
      <c r="A1116" s="257" t="s">
        <v>2214</v>
      </c>
      <c r="B1116" s="9">
        <v>5</v>
      </c>
      <c r="C1116" s="257" t="s">
        <v>10022</v>
      </c>
      <c r="D1116" s="9">
        <v>0</v>
      </c>
      <c r="E1116" s="9"/>
      <c r="F1116" s="257" t="s">
        <v>14321</v>
      </c>
      <c r="G1116" s="9"/>
      <c r="H1116" s="257" t="s">
        <v>19282</v>
      </c>
      <c r="I1116" s="9">
        <v>1</v>
      </c>
    </row>
    <row r="1117" spans="1:9">
      <c r="A1117" s="257" t="s">
        <v>2215</v>
      </c>
      <c r="B1117" s="9">
        <v>5</v>
      </c>
      <c r="C1117" s="257" t="s">
        <v>10022</v>
      </c>
      <c r="D1117" s="9">
        <v>0</v>
      </c>
      <c r="E1117" s="9"/>
      <c r="F1117" s="257" t="s">
        <v>14322</v>
      </c>
      <c r="G1117" s="9"/>
      <c r="H1117" s="257" t="s">
        <v>19283</v>
      </c>
      <c r="I1117" s="9">
        <v>1</v>
      </c>
    </row>
    <row r="1118" spans="1:9">
      <c r="A1118" s="257" t="s">
        <v>2216</v>
      </c>
      <c r="B1118" s="9">
        <v>5</v>
      </c>
      <c r="C1118" s="257" t="s">
        <v>10022</v>
      </c>
      <c r="D1118" s="9">
        <v>0</v>
      </c>
      <c r="E1118" s="9"/>
      <c r="F1118" s="257" t="s">
        <v>14323</v>
      </c>
      <c r="G1118" s="9"/>
      <c r="H1118" s="257" t="s">
        <v>19284</v>
      </c>
      <c r="I1118" s="9">
        <v>1</v>
      </c>
    </row>
    <row r="1119" spans="1:9">
      <c r="A1119" s="257" t="s">
        <v>2217</v>
      </c>
      <c r="B1119" s="9">
        <v>5</v>
      </c>
      <c r="C1119" s="257" t="s">
        <v>10022</v>
      </c>
      <c r="D1119" s="9">
        <v>7.8644608162676839E-3</v>
      </c>
      <c r="E1119" s="9"/>
      <c r="F1119" s="257" t="s">
        <v>14324</v>
      </c>
      <c r="G1119" s="9"/>
      <c r="H1119" s="257" t="s">
        <v>19285</v>
      </c>
      <c r="I1119" s="9">
        <v>1</v>
      </c>
    </row>
    <row r="1120" spans="1:9">
      <c r="A1120" s="257" t="s">
        <v>2218</v>
      </c>
      <c r="B1120" s="9">
        <v>5</v>
      </c>
      <c r="C1120" s="257" t="s">
        <v>10022</v>
      </c>
      <c r="D1120" s="9">
        <v>1.8435679040192025E-3</v>
      </c>
      <c r="E1120" s="9"/>
      <c r="F1120" s="257" t="s">
        <v>14325</v>
      </c>
      <c r="G1120" s="9"/>
      <c r="H1120" s="257" t="s">
        <v>19286</v>
      </c>
      <c r="I1120" s="9">
        <v>1</v>
      </c>
    </row>
    <row r="1121" spans="1:9">
      <c r="A1121" s="257" t="s">
        <v>2219</v>
      </c>
      <c r="B1121" s="9">
        <v>5</v>
      </c>
      <c r="C1121" s="257" t="s">
        <v>10022</v>
      </c>
      <c r="D1121" s="9">
        <v>9.7080287202868862E-3</v>
      </c>
      <c r="E1121" s="9"/>
      <c r="F1121" s="257" t="s">
        <v>14326</v>
      </c>
      <c r="G1121" s="9"/>
      <c r="H1121" s="257" t="s">
        <v>19287</v>
      </c>
      <c r="I1121" s="9">
        <v>1</v>
      </c>
    </row>
    <row r="1122" spans="1:9">
      <c r="A1122" s="257" t="s">
        <v>2220</v>
      </c>
      <c r="B1122" s="9">
        <v>5</v>
      </c>
      <c r="C1122" s="257" t="s">
        <v>10022</v>
      </c>
      <c r="D1122" s="9">
        <v>4.3797507581312713E-3</v>
      </c>
      <c r="E1122" s="9"/>
      <c r="F1122" s="257" t="s">
        <v>14327</v>
      </c>
      <c r="G1122" s="9"/>
      <c r="H1122" s="257" t="s">
        <v>19288</v>
      </c>
      <c r="I1122" s="9">
        <v>1</v>
      </c>
    </row>
    <row r="1123" spans="1:9">
      <c r="A1123" s="257" t="s">
        <v>2221</v>
      </c>
      <c r="B1123" s="9">
        <v>5</v>
      </c>
      <c r="C1123" s="257" t="s">
        <v>10022</v>
      </c>
      <c r="D1123" s="9">
        <v>3.9408544362300743E-3</v>
      </c>
      <c r="E1123" s="9"/>
      <c r="F1123" s="257" t="s">
        <v>14328</v>
      </c>
      <c r="G1123" s="9"/>
      <c r="H1123" s="257" t="s">
        <v>19289</v>
      </c>
      <c r="I1123" s="9">
        <v>1</v>
      </c>
    </row>
    <row r="1124" spans="1:9">
      <c r="A1124" s="257" t="s">
        <v>2222</v>
      </c>
      <c r="B1124" s="9">
        <v>5</v>
      </c>
      <c r="C1124" s="257" t="s">
        <v>10022</v>
      </c>
      <c r="D1124" s="9">
        <v>8.3206051943613465E-3</v>
      </c>
      <c r="E1124" s="9"/>
      <c r="F1124" s="257" t="s">
        <v>14329</v>
      </c>
      <c r="G1124" s="9"/>
      <c r="H1124" s="257" t="s">
        <v>19290</v>
      </c>
      <c r="I1124" s="9">
        <v>1</v>
      </c>
    </row>
    <row r="1125" spans="1:9">
      <c r="A1125" s="257" t="s">
        <v>2223</v>
      </c>
      <c r="B1125" s="9">
        <v>5</v>
      </c>
      <c r="C1125" s="257" t="s">
        <v>10022</v>
      </c>
      <c r="D1125" s="9">
        <v>-7.9439978731338321E-5</v>
      </c>
      <c r="E1125" s="9"/>
      <c r="F1125" s="257" t="s">
        <v>14330</v>
      </c>
      <c r="G1125" s="9"/>
      <c r="H1125" s="257" t="s">
        <v>19291</v>
      </c>
      <c r="I1125" s="9">
        <v>1</v>
      </c>
    </row>
    <row r="1126" spans="1:9">
      <c r="A1126" s="257" t="s">
        <v>2224</v>
      </c>
      <c r="B1126" s="9">
        <v>5</v>
      </c>
      <c r="C1126" s="257" t="s">
        <v>10022</v>
      </c>
      <c r="D1126" s="9">
        <v>-2.1403442348776171E-3</v>
      </c>
      <c r="E1126" s="9"/>
      <c r="F1126" s="257" t="s">
        <v>14331</v>
      </c>
      <c r="G1126" s="9"/>
      <c r="H1126" s="257" t="s">
        <v>19292</v>
      </c>
      <c r="I1126" s="9">
        <v>1</v>
      </c>
    </row>
    <row r="1127" spans="1:9">
      <c r="A1127" s="257" t="s">
        <v>2225</v>
      </c>
      <c r="B1127" s="9">
        <v>6</v>
      </c>
      <c r="C1127" s="257" t="s">
        <v>10022</v>
      </c>
      <c r="D1127" s="9">
        <v>1.1583686381357124E-2</v>
      </c>
      <c r="E1127" s="9"/>
      <c r="F1127" s="257" t="s">
        <v>14332</v>
      </c>
      <c r="G1127" s="9"/>
      <c r="H1127" s="257" t="s">
        <v>19293</v>
      </c>
      <c r="I1127" s="9">
        <v>1</v>
      </c>
    </row>
    <row r="1128" spans="1:9">
      <c r="A1128" s="257" t="s">
        <v>2226</v>
      </c>
      <c r="B1128" s="9">
        <v>6</v>
      </c>
      <c r="C1128" s="257" t="s">
        <v>10022</v>
      </c>
      <c r="D1128" s="9">
        <v>1.1583686381357124E-2</v>
      </c>
      <c r="E1128" s="9"/>
      <c r="F1128" s="257" t="s">
        <v>14333</v>
      </c>
      <c r="G1128" s="9"/>
      <c r="H1128" s="257" t="s">
        <v>19294</v>
      </c>
      <c r="I1128" s="9">
        <v>1</v>
      </c>
    </row>
    <row r="1129" spans="1:9">
      <c r="A1129" s="257" t="s">
        <v>2227</v>
      </c>
      <c r="B1129" s="9">
        <v>6</v>
      </c>
      <c r="C1129" s="257" t="s">
        <v>10022</v>
      </c>
      <c r="D1129" s="9">
        <v>6.5185766238512917E-3</v>
      </c>
      <c r="E1129" s="9"/>
      <c r="F1129" s="257" t="s">
        <v>14334</v>
      </c>
      <c r="G1129" s="9"/>
      <c r="H1129" s="257" t="s">
        <v>19295</v>
      </c>
      <c r="I1129" s="9">
        <v>1</v>
      </c>
    </row>
    <row r="1130" spans="1:9">
      <c r="A1130" s="257" t="s">
        <v>2228</v>
      </c>
      <c r="B1130" s="9">
        <v>6</v>
      </c>
      <c r="C1130" s="257" t="s">
        <v>10022</v>
      </c>
      <c r="D1130" s="9">
        <v>0</v>
      </c>
      <c r="E1130" s="9"/>
      <c r="F1130" s="257" t="s">
        <v>14335</v>
      </c>
      <c r="G1130" s="9"/>
      <c r="H1130" s="257" t="s">
        <v>19296</v>
      </c>
      <c r="I1130" s="9">
        <v>1</v>
      </c>
    </row>
    <row r="1131" spans="1:9">
      <c r="A1131" s="257" t="s">
        <v>2229</v>
      </c>
      <c r="B1131" s="9">
        <v>6</v>
      </c>
      <c r="C1131" s="257" t="s">
        <v>10022</v>
      </c>
      <c r="D1131" s="9">
        <v>0</v>
      </c>
      <c r="E1131" s="9"/>
      <c r="F1131" s="257" t="s">
        <v>14336</v>
      </c>
      <c r="G1131" s="9"/>
      <c r="H1131" s="257" t="s">
        <v>19297</v>
      </c>
      <c r="I1131" s="9">
        <v>1</v>
      </c>
    </row>
    <row r="1132" spans="1:9">
      <c r="A1132" s="257" t="s">
        <v>2230</v>
      </c>
      <c r="B1132" s="9">
        <v>6</v>
      </c>
      <c r="C1132" s="257" t="s">
        <v>10022</v>
      </c>
      <c r="D1132" s="9">
        <v>1.8102263005208414E-2</v>
      </c>
      <c r="E1132" s="9"/>
      <c r="F1132" s="257" t="s">
        <v>14337</v>
      </c>
      <c r="G1132" s="9"/>
      <c r="H1132" s="257" t="s">
        <v>19298</v>
      </c>
      <c r="I1132" s="9">
        <v>1</v>
      </c>
    </row>
    <row r="1133" spans="1:9">
      <c r="A1133" s="257" t="s">
        <v>2231</v>
      </c>
      <c r="B1133" s="9">
        <v>6</v>
      </c>
      <c r="C1133" s="257" t="s">
        <v>10022</v>
      </c>
      <c r="D1133" s="9">
        <v>1.8102263005208414E-2</v>
      </c>
      <c r="E1133" s="9"/>
      <c r="F1133" s="257" t="s">
        <v>14338</v>
      </c>
      <c r="G1133" s="9"/>
      <c r="H1133" s="257" t="s">
        <v>19299</v>
      </c>
      <c r="I1133" s="9">
        <v>1</v>
      </c>
    </row>
    <row r="1134" spans="1:9">
      <c r="A1134" s="257" t="s">
        <v>2232</v>
      </c>
      <c r="B1134" s="9">
        <v>6</v>
      </c>
      <c r="C1134" s="257" t="s">
        <v>10022</v>
      </c>
      <c r="D1134" s="9">
        <v>1.8102263005208414E-2</v>
      </c>
      <c r="E1134" s="9"/>
      <c r="F1134" s="257" t="s">
        <v>14339</v>
      </c>
      <c r="G1134" s="9"/>
      <c r="H1134" s="257" t="s">
        <v>19300</v>
      </c>
      <c r="I1134" s="9">
        <v>1</v>
      </c>
    </row>
    <row r="1135" spans="1:9">
      <c r="A1135" s="257" t="s">
        <v>2233</v>
      </c>
      <c r="B1135" s="9">
        <v>6</v>
      </c>
      <c r="C1135" s="257" t="s">
        <v>10022</v>
      </c>
      <c r="D1135" s="9">
        <v>2.0858502260446072E-2</v>
      </c>
      <c r="E1135" s="9"/>
      <c r="F1135" s="257" t="s">
        <v>14340</v>
      </c>
      <c r="G1135" s="9"/>
      <c r="H1135" s="257" t="s">
        <v>19301</v>
      </c>
      <c r="I1135" s="9">
        <v>1</v>
      </c>
    </row>
    <row r="1136" spans="1:9">
      <c r="A1136" s="257" t="s">
        <v>2234</v>
      </c>
      <c r="B1136" s="9">
        <v>6</v>
      </c>
      <c r="C1136" s="257" t="s">
        <v>10022</v>
      </c>
      <c r="D1136" s="9">
        <v>2.0858502260446072E-2</v>
      </c>
      <c r="E1136" s="9"/>
      <c r="F1136" s="257" t="s">
        <v>14341</v>
      </c>
      <c r="G1136" s="9"/>
      <c r="H1136" s="257" t="s">
        <v>19302</v>
      </c>
      <c r="I1136" s="9">
        <v>1</v>
      </c>
    </row>
    <row r="1137" spans="1:9">
      <c r="A1137" s="257" t="s">
        <v>2235</v>
      </c>
      <c r="B1137" s="9">
        <v>6</v>
      </c>
      <c r="C1137" s="257" t="s">
        <v>10022</v>
      </c>
      <c r="D1137" s="9">
        <v>-2.7562392552376571E-3</v>
      </c>
      <c r="E1137" s="9"/>
      <c r="F1137" s="257" t="s">
        <v>14342</v>
      </c>
      <c r="G1137" s="9"/>
      <c r="H1137" s="257" t="s">
        <v>19303</v>
      </c>
      <c r="I1137" s="9">
        <v>1</v>
      </c>
    </row>
    <row r="1138" spans="1:9">
      <c r="A1138" s="257" t="s">
        <v>2236</v>
      </c>
      <c r="B1138" s="9">
        <v>6</v>
      </c>
      <c r="C1138" s="257" t="s">
        <v>10022</v>
      </c>
      <c r="D1138" s="9">
        <v>0</v>
      </c>
      <c r="E1138" s="9"/>
      <c r="F1138" s="257" t="s">
        <v>14343</v>
      </c>
      <c r="G1138" s="9"/>
      <c r="H1138" s="257" t="s">
        <v>19304</v>
      </c>
      <c r="I1138" s="9">
        <v>1</v>
      </c>
    </row>
    <row r="1139" spans="1:9">
      <c r="A1139" s="257" t="s">
        <v>2237</v>
      </c>
      <c r="B1139" s="9">
        <v>6</v>
      </c>
      <c r="C1139" s="257" t="s">
        <v>10022</v>
      </c>
      <c r="D1139" s="9">
        <v>0</v>
      </c>
      <c r="E1139" s="9"/>
      <c r="F1139" s="257" t="s">
        <v>14344</v>
      </c>
      <c r="G1139" s="9"/>
      <c r="H1139" s="257" t="s">
        <v>19305</v>
      </c>
      <c r="I1139" s="9">
        <v>1</v>
      </c>
    </row>
    <row r="1140" spans="1:9">
      <c r="A1140" s="257" t="s">
        <v>2238</v>
      </c>
      <c r="B1140" s="9">
        <v>6</v>
      </c>
      <c r="C1140" s="257" t="s">
        <v>10022</v>
      </c>
      <c r="D1140" s="9">
        <v>0</v>
      </c>
      <c r="E1140" s="9"/>
      <c r="F1140" s="257" t="s">
        <v>14345</v>
      </c>
      <c r="G1140" s="9"/>
      <c r="H1140" s="257" t="s">
        <v>19306</v>
      </c>
      <c r="I1140" s="9">
        <v>1</v>
      </c>
    </row>
    <row r="1141" spans="1:9">
      <c r="A1141" s="257" t="s">
        <v>2239</v>
      </c>
      <c r="B1141" s="9">
        <v>6</v>
      </c>
      <c r="C1141" s="257" t="s">
        <v>10022</v>
      </c>
      <c r="D1141" s="9">
        <v>0</v>
      </c>
      <c r="E1141" s="9"/>
      <c r="F1141" s="257" t="s">
        <v>14346</v>
      </c>
      <c r="G1141" s="9"/>
      <c r="H1141" s="257" t="s">
        <v>19307</v>
      </c>
      <c r="I1141" s="9">
        <v>1</v>
      </c>
    </row>
    <row r="1142" spans="1:9">
      <c r="A1142" s="257" t="s">
        <v>2240</v>
      </c>
      <c r="B1142" s="9">
        <v>6</v>
      </c>
      <c r="C1142" s="257" t="s">
        <v>10022</v>
      </c>
      <c r="D1142" s="9">
        <v>0</v>
      </c>
      <c r="E1142" s="9"/>
      <c r="F1142" s="257" t="s">
        <v>14347</v>
      </c>
      <c r="G1142" s="9"/>
      <c r="H1142" s="257" t="s">
        <v>19308</v>
      </c>
      <c r="I1142" s="9">
        <v>1</v>
      </c>
    </row>
    <row r="1143" spans="1:9">
      <c r="A1143" s="257" t="s">
        <v>2241</v>
      </c>
      <c r="B1143" s="9">
        <v>6</v>
      </c>
      <c r="C1143" s="257" t="s">
        <v>10022</v>
      </c>
      <c r="D1143" s="9">
        <v>0</v>
      </c>
      <c r="E1143" s="9"/>
      <c r="F1143" s="257" t="s">
        <v>14348</v>
      </c>
      <c r="G1143" s="9"/>
      <c r="H1143" s="257" t="s">
        <v>19309</v>
      </c>
      <c r="I1143" s="9">
        <v>1</v>
      </c>
    </row>
    <row r="1144" spans="1:9">
      <c r="A1144" s="257" t="s">
        <v>2242</v>
      </c>
      <c r="B1144" s="9">
        <v>6</v>
      </c>
      <c r="C1144" s="257" t="s">
        <v>10022</v>
      </c>
      <c r="D1144" s="9">
        <v>1.002334867491067E-2</v>
      </c>
      <c r="E1144" s="9"/>
      <c r="F1144" s="257" t="s">
        <v>14349</v>
      </c>
      <c r="G1144" s="9"/>
      <c r="H1144" s="257" t="s">
        <v>19310</v>
      </c>
      <c r="I1144" s="9">
        <v>1</v>
      </c>
    </row>
    <row r="1145" spans="1:9">
      <c r="A1145" s="257" t="s">
        <v>2243</v>
      </c>
      <c r="B1145" s="9">
        <v>6</v>
      </c>
      <c r="C1145" s="257" t="s">
        <v>10022</v>
      </c>
      <c r="D1145" s="9">
        <v>1.8386667152323953E-3</v>
      </c>
      <c r="E1145" s="9"/>
      <c r="F1145" s="257" t="s">
        <v>14350</v>
      </c>
      <c r="G1145" s="9"/>
      <c r="H1145" s="257" t="s">
        <v>19311</v>
      </c>
      <c r="I1145" s="9">
        <v>1</v>
      </c>
    </row>
    <row r="1146" spans="1:9">
      <c r="A1146" s="257" t="s">
        <v>2244</v>
      </c>
      <c r="B1146" s="9">
        <v>6</v>
      </c>
      <c r="C1146" s="257" t="s">
        <v>10022</v>
      </c>
      <c r="D1146" s="9">
        <v>1.1862015390143065E-2</v>
      </c>
      <c r="E1146" s="9"/>
      <c r="F1146" s="257" t="s">
        <v>14351</v>
      </c>
      <c r="G1146" s="9"/>
      <c r="H1146" s="257" t="s">
        <v>19312</v>
      </c>
      <c r="I1146" s="9">
        <v>1</v>
      </c>
    </row>
    <row r="1147" spans="1:9">
      <c r="A1147" s="257" t="s">
        <v>2245</v>
      </c>
      <c r="B1147" s="9">
        <v>6</v>
      </c>
      <c r="C1147" s="257" t="s">
        <v>10022</v>
      </c>
      <c r="D1147" s="9">
        <v>5.0604452989921741E-3</v>
      </c>
      <c r="E1147" s="9"/>
      <c r="F1147" s="257" t="s">
        <v>14352</v>
      </c>
      <c r="G1147" s="9"/>
      <c r="H1147" s="257" t="s">
        <v>19313</v>
      </c>
      <c r="I1147" s="9">
        <v>1</v>
      </c>
    </row>
    <row r="1148" spans="1:9">
      <c r="A1148" s="257" t="s">
        <v>2246</v>
      </c>
      <c r="B1148" s="9">
        <v>6</v>
      </c>
      <c r="C1148" s="257" t="s">
        <v>10022</v>
      </c>
      <c r="D1148" s="9">
        <v>3.9360415713108315E-3</v>
      </c>
      <c r="E1148" s="9"/>
      <c r="F1148" s="257" t="s">
        <v>14353</v>
      </c>
      <c r="G1148" s="9"/>
      <c r="H1148" s="257" t="s">
        <v>19314</v>
      </c>
      <c r="I1148" s="9">
        <v>1</v>
      </c>
    </row>
    <row r="1149" spans="1:9">
      <c r="A1149" s="257" t="s">
        <v>2247</v>
      </c>
      <c r="B1149" s="9">
        <v>6</v>
      </c>
      <c r="C1149" s="257" t="s">
        <v>10022</v>
      </c>
      <c r="D1149" s="9">
        <v>8.9964868703030065E-3</v>
      </c>
      <c r="E1149" s="9"/>
      <c r="F1149" s="257" t="s">
        <v>14354</v>
      </c>
      <c r="G1149" s="9"/>
      <c r="H1149" s="257" t="s">
        <v>19315</v>
      </c>
      <c r="I1149" s="9">
        <v>1</v>
      </c>
    </row>
    <row r="1150" spans="1:9">
      <c r="A1150" s="257" t="s">
        <v>2248</v>
      </c>
      <c r="B1150" s="9">
        <v>6</v>
      </c>
      <c r="C1150" s="257" t="s">
        <v>10022</v>
      </c>
      <c r="D1150" s="9">
        <v>-2.7832900878594242E-4</v>
      </c>
      <c r="E1150" s="9"/>
      <c r="F1150" s="257" t="s">
        <v>14355</v>
      </c>
      <c r="G1150" s="9"/>
      <c r="H1150" s="257" t="s">
        <v>19316</v>
      </c>
      <c r="I1150" s="9">
        <v>1</v>
      </c>
    </row>
    <row r="1151" spans="1:9">
      <c r="A1151" s="257" t="s">
        <v>2249</v>
      </c>
      <c r="B1151" s="9">
        <v>6</v>
      </c>
      <c r="C1151" s="257" t="s">
        <v>10022</v>
      </c>
      <c r="D1151" s="9">
        <v>-2.4779102464517148E-3</v>
      </c>
      <c r="E1151" s="9"/>
      <c r="F1151" s="257" t="s">
        <v>14356</v>
      </c>
      <c r="G1151" s="9"/>
      <c r="H1151" s="257" t="s">
        <v>19317</v>
      </c>
      <c r="I1151" s="9">
        <v>1</v>
      </c>
    </row>
    <row r="1152" spans="1:9">
      <c r="A1152" s="257" t="s">
        <v>2250</v>
      </c>
      <c r="B1152" s="9">
        <v>7</v>
      </c>
      <c r="C1152" s="257" t="s">
        <v>10022</v>
      </c>
      <c r="D1152" s="9">
        <v>1.330781417805083E-2</v>
      </c>
      <c r="E1152" s="9"/>
      <c r="F1152" s="257" t="s">
        <v>14357</v>
      </c>
      <c r="G1152" s="9"/>
      <c r="H1152" s="257" t="s">
        <v>19318</v>
      </c>
      <c r="I1152" s="9">
        <v>1</v>
      </c>
    </row>
    <row r="1153" spans="1:9">
      <c r="A1153" s="257" t="s">
        <v>2251</v>
      </c>
      <c r="B1153" s="9">
        <v>7</v>
      </c>
      <c r="C1153" s="257" t="s">
        <v>10022</v>
      </c>
      <c r="D1153" s="9">
        <v>1.330781417805083E-2</v>
      </c>
      <c r="E1153" s="9"/>
      <c r="F1153" s="257" t="s">
        <v>14358</v>
      </c>
      <c r="G1153" s="9"/>
      <c r="H1153" s="257" t="s">
        <v>19319</v>
      </c>
      <c r="I1153" s="9">
        <v>1</v>
      </c>
    </row>
    <row r="1154" spans="1:9">
      <c r="A1154" s="257" t="s">
        <v>2252</v>
      </c>
      <c r="B1154" s="9">
        <v>7</v>
      </c>
      <c r="C1154" s="257" t="s">
        <v>10022</v>
      </c>
      <c r="D1154" s="9">
        <v>6.7281976251966566E-3</v>
      </c>
      <c r="E1154" s="9"/>
      <c r="F1154" s="257" t="s">
        <v>14359</v>
      </c>
      <c r="G1154" s="9"/>
      <c r="H1154" s="257" t="s">
        <v>19320</v>
      </c>
      <c r="I1154" s="9">
        <v>1</v>
      </c>
    </row>
    <row r="1155" spans="1:9">
      <c r="A1155" s="257" t="s">
        <v>2253</v>
      </c>
      <c r="B1155" s="9">
        <v>7</v>
      </c>
      <c r="C1155" s="257" t="s">
        <v>10022</v>
      </c>
      <c r="D1155" s="9">
        <v>0</v>
      </c>
      <c r="E1155" s="9"/>
      <c r="F1155" s="257" t="s">
        <v>14360</v>
      </c>
      <c r="G1155" s="9"/>
      <c r="H1155" s="257" t="s">
        <v>19321</v>
      </c>
      <c r="I1155" s="9">
        <v>1</v>
      </c>
    </row>
    <row r="1156" spans="1:9">
      <c r="A1156" s="257" t="s">
        <v>2254</v>
      </c>
      <c r="B1156" s="9">
        <v>7</v>
      </c>
      <c r="C1156" s="257" t="s">
        <v>10022</v>
      </c>
      <c r="D1156" s="9">
        <v>0</v>
      </c>
      <c r="E1156" s="9"/>
      <c r="F1156" s="257" t="s">
        <v>14361</v>
      </c>
      <c r="G1156" s="9"/>
      <c r="H1156" s="257" t="s">
        <v>19322</v>
      </c>
      <c r="I1156" s="9">
        <v>1</v>
      </c>
    </row>
    <row r="1157" spans="1:9">
      <c r="A1157" s="257" t="s">
        <v>2255</v>
      </c>
      <c r="B1157" s="9">
        <v>7</v>
      </c>
      <c r="C1157" s="257" t="s">
        <v>10022</v>
      </c>
      <c r="D1157" s="9">
        <v>2.0036011803247489E-2</v>
      </c>
      <c r="E1157" s="9"/>
      <c r="F1157" s="257" t="s">
        <v>14362</v>
      </c>
      <c r="G1157" s="9"/>
      <c r="H1157" s="257" t="s">
        <v>19323</v>
      </c>
      <c r="I1157" s="9">
        <v>1</v>
      </c>
    </row>
    <row r="1158" spans="1:9">
      <c r="A1158" s="257" t="s">
        <v>2256</v>
      </c>
      <c r="B1158" s="9">
        <v>7</v>
      </c>
      <c r="C1158" s="257" t="s">
        <v>10022</v>
      </c>
      <c r="D1158" s="9">
        <v>2.0036011803247489E-2</v>
      </c>
      <c r="E1158" s="9"/>
      <c r="F1158" s="257" t="s">
        <v>14363</v>
      </c>
      <c r="G1158" s="9"/>
      <c r="H1158" s="257" t="s">
        <v>19324</v>
      </c>
      <c r="I1158" s="9">
        <v>1</v>
      </c>
    </row>
    <row r="1159" spans="1:9">
      <c r="A1159" s="257" t="s">
        <v>2257</v>
      </c>
      <c r="B1159" s="9">
        <v>7</v>
      </c>
      <c r="C1159" s="257" t="s">
        <v>10022</v>
      </c>
      <c r="D1159" s="9">
        <v>2.0036011803247489E-2</v>
      </c>
      <c r="E1159" s="9"/>
      <c r="F1159" s="257" t="s">
        <v>14364</v>
      </c>
      <c r="G1159" s="9"/>
      <c r="H1159" s="257" t="s">
        <v>19325</v>
      </c>
      <c r="I1159" s="9">
        <v>1</v>
      </c>
    </row>
    <row r="1160" spans="1:9">
      <c r="A1160" s="257" t="s">
        <v>2258</v>
      </c>
      <c r="B1160" s="9">
        <v>7</v>
      </c>
      <c r="C1160" s="257" t="s">
        <v>10022</v>
      </c>
      <c r="D1160" s="9">
        <v>2.2977396632114171E-2</v>
      </c>
      <c r="E1160" s="9"/>
      <c r="F1160" s="257" t="s">
        <v>14365</v>
      </c>
      <c r="G1160" s="9"/>
      <c r="H1160" s="257" t="s">
        <v>19326</v>
      </c>
      <c r="I1160" s="9">
        <v>1</v>
      </c>
    </row>
    <row r="1161" spans="1:9">
      <c r="A1161" s="257" t="s">
        <v>2259</v>
      </c>
      <c r="B1161" s="9">
        <v>7</v>
      </c>
      <c r="C1161" s="257" t="s">
        <v>10022</v>
      </c>
      <c r="D1161" s="9">
        <v>2.2977396632114171E-2</v>
      </c>
      <c r="E1161" s="9"/>
      <c r="F1161" s="257" t="s">
        <v>14366</v>
      </c>
      <c r="G1161" s="9"/>
      <c r="H1161" s="257" t="s">
        <v>19327</v>
      </c>
      <c r="I1161" s="9">
        <v>1</v>
      </c>
    </row>
    <row r="1162" spans="1:9">
      <c r="A1162" s="257" t="s">
        <v>2260</v>
      </c>
      <c r="B1162" s="9">
        <v>7</v>
      </c>
      <c r="C1162" s="257" t="s">
        <v>10022</v>
      </c>
      <c r="D1162" s="9">
        <v>-2.9413848288666849E-3</v>
      </c>
      <c r="E1162" s="9"/>
      <c r="F1162" s="257" t="s">
        <v>14367</v>
      </c>
      <c r="G1162" s="9"/>
      <c r="H1162" s="257" t="s">
        <v>19328</v>
      </c>
      <c r="I1162" s="9">
        <v>1</v>
      </c>
    </row>
    <row r="1163" spans="1:9">
      <c r="A1163" s="257" t="s">
        <v>2261</v>
      </c>
      <c r="B1163" s="9">
        <v>7</v>
      </c>
      <c r="C1163" s="257" t="s">
        <v>10022</v>
      </c>
      <c r="D1163" s="9">
        <v>0</v>
      </c>
      <c r="E1163" s="9"/>
      <c r="F1163" s="257" t="s">
        <v>14368</v>
      </c>
      <c r="G1163" s="9"/>
      <c r="H1163" s="257" t="s">
        <v>19329</v>
      </c>
      <c r="I1163" s="9">
        <v>1</v>
      </c>
    </row>
    <row r="1164" spans="1:9">
      <c r="A1164" s="257" t="s">
        <v>2262</v>
      </c>
      <c r="B1164" s="9">
        <v>7</v>
      </c>
      <c r="C1164" s="257" t="s">
        <v>10022</v>
      </c>
      <c r="D1164" s="9">
        <v>0</v>
      </c>
      <c r="E1164" s="9"/>
      <c r="F1164" s="257" t="s">
        <v>14369</v>
      </c>
      <c r="G1164" s="9"/>
      <c r="H1164" s="257" t="s">
        <v>19330</v>
      </c>
      <c r="I1164" s="9">
        <v>1</v>
      </c>
    </row>
    <row r="1165" spans="1:9">
      <c r="A1165" s="257" t="s">
        <v>2263</v>
      </c>
      <c r="B1165" s="9">
        <v>7</v>
      </c>
      <c r="C1165" s="257" t="s">
        <v>10022</v>
      </c>
      <c r="D1165" s="9">
        <v>0</v>
      </c>
      <c r="E1165" s="9"/>
      <c r="F1165" s="257" t="s">
        <v>14370</v>
      </c>
      <c r="G1165" s="9"/>
      <c r="H1165" s="257" t="s">
        <v>19331</v>
      </c>
      <c r="I1165" s="9">
        <v>1</v>
      </c>
    </row>
    <row r="1166" spans="1:9">
      <c r="A1166" s="257" t="s">
        <v>2264</v>
      </c>
      <c r="B1166" s="9">
        <v>7</v>
      </c>
      <c r="C1166" s="257" t="s">
        <v>10022</v>
      </c>
      <c r="D1166" s="9">
        <v>0</v>
      </c>
      <c r="E1166" s="9"/>
      <c r="F1166" s="257" t="s">
        <v>14371</v>
      </c>
      <c r="G1166" s="9"/>
      <c r="H1166" s="257" t="s">
        <v>19332</v>
      </c>
      <c r="I1166" s="9">
        <v>1</v>
      </c>
    </row>
    <row r="1167" spans="1:9">
      <c r="A1167" s="257" t="s">
        <v>2265</v>
      </c>
      <c r="B1167" s="9">
        <v>7</v>
      </c>
      <c r="C1167" s="257" t="s">
        <v>10022</v>
      </c>
      <c r="D1167" s="9">
        <v>0</v>
      </c>
      <c r="E1167" s="9"/>
      <c r="F1167" s="257" t="s">
        <v>14372</v>
      </c>
      <c r="G1167" s="9"/>
      <c r="H1167" s="257" t="s">
        <v>19333</v>
      </c>
      <c r="I1167" s="9">
        <v>1</v>
      </c>
    </row>
    <row r="1168" spans="1:9">
      <c r="A1168" s="257" t="s">
        <v>2266</v>
      </c>
      <c r="B1168" s="9">
        <v>7</v>
      </c>
      <c r="C1168" s="257" t="s">
        <v>10022</v>
      </c>
      <c r="D1168" s="9">
        <v>0</v>
      </c>
      <c r="E1168" s="9"/>
      <c r="F1168" s="257" t="s">
        <v>14373</v>
      </c>
      <c r="G1168" s="9"/>
      <c r="H1168" s="257" t="s">
        <v>19334</v>
      </c>
      <c r="I1168" s="9">
        <v>1</v>
      </c>
    </row>
    <row r="1169" spans="1:9">
      <c r="A1169" s="257" t="s">
        <v>2267</v>
      </c>
      <c r="B1169" s="9">
        <v>7</v>
      </c>
      <c r="C1169" s="257" t="s">
        <v>10022</v>
      </c>
      <c r="D1169" s="9">
        <v>1.1724951646690008E-2</v>
      </c>
      <c r="E1169" s="9"/>
      <c r="F1169" s="257" t="s">
        <v>14374</v>
      </c>
      <c r="G1169" s="9"/>
      <c r="H1169" s="257" t="s">
        <v>19335</v>
      </c>
      <c r="I1169" s="9">
        <v>1</v>
      </c>
    </row>
    <row r="1170" spans="1:9">
      <c r="A1170" s="257" t="s">
        <v>2268</v>
      </c>
      <c r="B1170" s="9">
        <v>7</v>
      </c>
      <c r="C1170" s="257" t="s">
        <v>10022</v>
      </c>
      <c r="D1170" s="9">
        <v>1.8768171487638275E-3</v>
      </c>
      <c r="E1170" s="9"/>
      <c r="F1170" s="257" t="s">
        <v>14375</v>
      </c>
      <c r="G1170" s="9"/>
      <c r="H1170" s="257" t="s">
        <v>19336</v>
      </c>
      <c r="I1170" s="9">
        <v>1</v>
      </c>
    </row>
    <row r="1171" spans="1:9">
      <c r="A1171" s="257" t="s">
        <v>2269</v>
      </c>
      <c r="B1171" s="9">
        <v>7</v>
      </c>
      <c r="C1171" s="257" t="s">
        <v>10022</v>
      </c>
      <c r="D1171" s="9">
        <v>1.3601768795453835E-2</v>
      </c>
      <c r="E1171" s="9"/>
      <c r="F1171" s="257" t="s">
        <v>14376</v>
      </c>
      <c r="G1171" s="9"/>
      <c r="H1171" s="257" t="s">
        <v>19337</v>
      </c>
      <c r="I1171" s="9">
        <v>1</v>
      </c>
    </row>
    <row r="1172" spans="1:9">
      <c r="A1172" s="257" t="s">
        <v>2270</v>
      </c>
      <c r="B1172" s="9">
        <v>7</v>
      </c>
      <c r="C1172" s="257" t="s">
        <v>10022</v>
      </c>
      <c r="D1172" s="9">
        <v>5.3498929814240143E-3</v>
      </c>
      <c r="E1172" s="9"/>
      <c r="F1172" s="257" t="s">
        <v>14377</v>
      </c>
      <c r="G1172" s="9"/>
      <c r="H1172" s="257" t="s">
        <v>19338</v>
      </c>
      <c r="I1172" s="9">
        <v>1</v>
      </c>
    </row>
    <row r="1173" spans="1:9">
      <c r="A1173" s="257" t="s">
        <v>2271</v>
      </c>
      <c r="B1173" s="9">
        <v>7</v>
      </c>
      <c r="C1173" s="257" t="s">
        <v>10022</v>
      </c>
      <c r="D1173" s="9">
        <v>4.0257348552363214E-3</v>
      </c>
      <c r="E1173" s="9"/>
      <c r="F1173" s="257" t="s">
        <v>14378</v>
      </c>
      <c r="G1173" s="9"/>
      <c r="H1173" s="257" t="s">
        <v>19339</v>
      </c>
      <c r="I1173" s="9">
        <v>1</v>
      </c>
    </row>
    <row r="1174" spans="1:9">
      <c r="A1174" s="257" t="s">
        <v>2272</v>
      </c>
      <c r="B1174" s="9">
        <v>7</v>
      </c>
      <c r="C1174" s="257" t="s">
        <v>10022</v>
      </c>
      <c r="D1174" s="9">
        <v>9.3756278366603375E-3</v>
      </c>
      <c r="E1174" s="9"/>
      <c r="F1174" s="257" t="s">
        <v>14379</v>
      </c>
      <c r="G1174" s="9"/>
      <c r="H1174" s="257" t="s">
        <v>19340</v>
      </c>
      <c r="I1174" s="9">
        <v>1</v>
      </c>
    </row>
    <row r="1175" spans="1:9">
      <c r="A1175" s="257" t="s">
        <v>2273</v>
      </c>
      <c r="B1175" s="9">
        <v>7</v>
      </c>
      <c r="C1175" s="257" t="s">
        <v>10022</v>
      </c>
      <c r="D1175" s="9">
        <v>-2.9395461740300559E-4</v>
      </c>
      <c r="E1175" s="9"/>
      <c r="F1175" s="257" t="s">
        <v>14380</v>
      </c>
      <c r="G1175" s="9"/>
      <c r="H1175" s="257" t="s">
        <v>19341</v>
      </c>
      <c r="I1175" s="9">
        <v>1</v>
      </c>
    </row>
    <row r="1176" spans="1:9">
      <c r="A1176" s="257" t="s">
        <v>2274</v>
      </c>
      <c r="B1176" s="9">
        <v>7</v>
      </c>
      <c r="C1176" s="257" t="s">
        <v>10022</v>
      </c>
      <c r="D1176" s="9">
        <v>-2.6474302114636791E-3</v>
      </c>
      <c r="E1176" s="9"/>
      <c r="F1176" s="257" t="s">
        <v>14381</v>
      </c>
      <c r="G1176" s="9"/>
      <c r="H1176" s="257" t="s">
        <v>19342</v>
      </c>
      <c r="I1176" s="9">
        <v>1</v>
      </c>
    </row>
    <row r="1177" spans="1:9">
      <c r="A1177" s="257" t="s">
        <v>2275</v>
      </c>
      <c r="B1177" s="9">
        <v>8</v>
      </c>
      <c r="C1177" s="257" t="s">
        <v>10022</v>
      </c>
      <c r="D1177" s="9">
        <v>1.4144599956864979E-2</v>
      </c>
      <c r="E1177" s="9"/>
      <c r="F1177" s="257" t="s">
        <v>14382</v>
      </c>
      <c r="G1177" s="9"/>
      <c r="H1177" s="257" t="s">
        <v>19343</v>
      </c>
      <c r="I1177" s="9">
        <v>1</v>
      </c>
    </row>
    <row r="1178" spans="1:9">
      <c r="A1178" s="257" t="s">
        <v>2276</v>
      </c>
      <c r="B1178" s="9">
        <v>8</v>
      </c>
      <c r="C1178" s="257" t="s">
        <v>10022</v>
      </c>
      <c r="D1178" s="9">
        <v>1.4144599956864979E-2</v>
      </c>
      <c r="E1178" s="9"/>
      <c r="F1178" s="257" t="s">
        <v>14383</v>
      </c>
      <c r="G1178" s="9"/>
      <c r="H1178" s="257" t="s">
        <v>19344</v>
      </c>
      <c r="I1178" s="9">
        <v>1</v>
      </c>
    </row>
    <row r="1179" spans="1:9">
      <c r="A1179" s="257" t="s">
        <v>2277</v>
      </c>
      <c r="B1179" s="9">
        <v>8</v>
      </c>
      <c r="C1179" s="257" t="s">
        <v>10022</v>
      </c>
      <c r="D1179" s="9">
        <v>7.6071161095811746E-3</v>
      </c>
      <c r="E1179" s="9"/>
      <c r="F1179" s="257" t="s">
        <v>14384</v>
      </c>
      <c r="G1179" s="9"/>
      <c r="H1179" s="257" t="s">
        <v>19345</v>
      </c>
      <c r="I1179" s="9">
        <v>1</v>
      </c>
    </row>
    <row r="1180" spans="1:9">
      <c r="A1180" s="257" t="s">
        <v>2278</v>
      </c>
      <c r="B1180" s="9">
        <v>8</v>
      </c>
      <c r="C1180" s="257" t="s">
        <v>10022</v>
      </c>
      <c r="D1180" s="9">
        <v>0</v>
      </c>
      <c r="E1180" s="9"/>
      <c r="F1180" s="257" t="s">
        <v>14385</v>
      </c>
      <c r="G1180" s="9"/>
      <c r="H1180" s="257" t="s">
        <v>19346</v>
      </c>
      <c r="I1180" s="9">
        <v>1</v>
      </c>
    </row>
    <row r="1181" spans="1:9">
      <c r="A1181" s="257" t="s">
        <v>2279</v>
      </c>
      <c r="B1181" s="9">
        <v>8</v>
      </c>
      <c r="C1181" s="257" t="s">
        <v>10022</v>
      </c>
      <c r="D1181" s="9">
        <v>0</v>
      </c>
      <c r="E1181" s="9"/>
      <c r="F1181" s="257" t="s">
        <v>14386</v>
      </c>
      <c r="G1181" s="9"/>
      <c r="H1181" s="257" t="s">
        <v>19347</v>
      </c>
      <c r="I1181" s="9">
        <v>1</v>
      </c>
    </row>
    <row r="1182" spans="1:9">
      <c r="A1182" s="257" t="s">
        <v>2280</v>
      </c>
      <c r="B1182" s="9">
        <v>8</v>
      </c>
      <c r="C1182" s="257" t="s">
        <v>10022</v>
      </c>
      <c r="D1182" s="9">
        <v>2.1751716066446151E-2</v>
      </c>
      <c r="E1182" s="9"/>
      <c r="F1182" s="257" t="s">
        <v>14387</v>
      </c>
      <c r="G1182" s="9"/>
      <c r="H1182" s="257" t="s">
        <v>19348</v>
      </c>
      <c r="I1182" s="9">
        <v>1</v>
      </c>
    </row>
    <row r="1183" spans="1:9">
      <c r="A1183" s="257" t="s">
        <v>2281</v>
      </c>
      <c r="B1183" s="9">
        <v>8</v>
      </c>
      <c r="C1183" s="257" t="s">
        <v>10022</v>
      </c>
      <c r="D1183" s="9">
        <v>2.1751716066446151E-2</v>
      </c>
      <c r="E1183" s="9"/>
      <c r="F1183" s="257" t="s">
        <v>14388</v>
      </c>
      <c r="G1183" s="9"/>
      <c r="H1183" s="257" t="s">
        <v>19349</v>
      </c>
      <c r="I1183" s="9">
        <v>1</v>
      </c>
    </row>
    <row r="1184" spans="1:9">
      <c r="A1184" s="257" t="s">
        <v>2282</v>
      </c>
      <c r="B1184" s="9">
        <v>8</v>
      </c>
      <c r="C1184" s="257" t="s">
        <v>10022</v>
      </c>
      <c r="D1184" s="9">
        <v>2.1751716066446151E-2</v>
      </c>
      <c r="E1184" s="9"/>
      <c r="F1184" s="257" t="s">
        <v>14389</v>
      </c>
      <c r="G1184" s="9"/>
      <c r="H1184" s="257" t="s">
        <v>19350</v>
      </c>
      <c r="I1184" s="9">
        <v>1</v>
      </c>
    </row>
    <row r="1185" spans="1:9">
      <c r="A1185" s="257" t="s">
        <v>2283</v>
      </c>
      <c r="B1185" s="9">
        <v>8</v>
      </c>
      <c r="C1185" s="257" t="s">
        <v>10022</v>
      </c>
      <c r="D1185" s="9">
        <v>2.5625962979527649E-2</v>
      </c>
      <c r="E1185" s="9"/>
      <c r="F1185" s="257" t="s">
        <v>14390</v>
      </c>
      <c r="G1185" s="9"/>
      <c r="H1185" s="257" t="s">
        <v>19351</v>
      </c>
      <c r="I1185" s="9">
        <v>1</v>
      </c>
    </row>
    <row r="1186" spans="1:9">
      <c r="A1186" s="257" t="s">
        <v>2284</v>
      </c>
      <c r="B1186" s="9">
        <v>8</v>
      </c>
      <c r="C1186" s="257" t="s">
        <v>10022</v>
      </c>
      <c r="D1186" s="9">
        <v>2.5625962979527649E-2</v>
      </c>
      <c r="E1186" s="9"/>
      <c r="F1186" s="257" t="s">
        <v>14391</v>
      </c>
      <c r="G1186" s="9"/>
      <c r="H1186" s="257" t="s">
        <v>19352</v>
      </c>
      <c r="I1186" s="9">
        <v>1</v>
      </c>
    </row>
    <row r="1187" spans="1:9">
      <c r="A1187" s="257" t="s">
        <v>2285</v>
      </c>
      <c r="B1187" s="9">
        <v>8</v>
      </c>
      <c r="C1187" s="257" t="s">
        <v>10022</v>
      </c>
      <c r="D1187" s="9">
        <v>-3.8742469130814959E-3</v>
      </c>
      <c r="E1187" s="9"/>
      <c r="F1187" s="257" t="s">
        <v>14392</v>
      </c>
      <c r="G1187" s="9"/>
      <c r="H1187" s="257" t="s">
        <v>19353</v>
      </c>
      <c r="I1187" s="9">
        <v>1</v>
      </c>
    </row>
    <row r="1188" spans="1:9">
      <c r="A1188" s="257" t="s">
        <v>2286</v>
      </c>
      <c r="B1188" s="9">
        <v>8</v>
      </c>
      <c r="C1188" s="257" t="s">
        <v>10022</v>
      </c>
      <c r="D1188" s="9">
        <v>0</v>
      </c>
      <c r="E1188" s="9"/>
      <c r="F1188" s="257" t="s">
        <v>14393</v>
      </c>
      <c r="G1188" s="9"/>
      <c r="H1188" s="257" t="s">
        <v>19354</v>
      </c>
      <c r="I1188" s="9">
        <v>1</v>
      </c>
    </row>
    <row r="1189" spans="1:9">
      <c r="A1189" s="257" t="s">
        <v>2287</v>
      </c>
      <c r="B1189" s="9">
        <v>8</v>
      </c>
      <c r="C1189" s="257" t="s">
        <v>10022</v>
      </c>
      <c r="D1189" s="9">
        <v>0</v>
      </c>
      <c r="E1189" s="9"/>
      <c r="F1189" s="257" t="s">
        <v>14394</v>
      </c>
      <c r="G1189" s="9"/>
      <c r="H1189" s="257" t="s">
        <v>19355</v>
      </c>
      <c r="I1189" s="9">
        <v>1</v>
      </c>
    </row>
    <row r="1190" spans="1:9">
      <c r="A1190" s="257" t="s">
        <v>2288</v>
      </c>
      <c r="B1190" s="9">
        <v>8</v>
      </c>
      <c r="C1190" s="257" t="s">
        <v>10022</v>
      </c>
      <c r="D1190" s="9">
        <v>0</v>
      </c>
      <c r="E1190" s="9"/>
      <c r="F1190" s="257" t="s">
        <v>14395</v>
      </c>
      <c r="G1190" s="9"/>
      <c r="H1190" s="257" t="s">
        <v>19356</v>
      </c>
      <c r="I1190" s="9">
        <v>1</v>
      </c>
    </row>
    <row r="1191" spans="1:9">
      <c r="A1191" s="257" t="s">
        <v>2289</v>
      </c>
      <c r="B1191" s="9">
        <v>8</v>
      </c>
      <c r="C1191" s="257" t="s">
        <v>10022</v>
      </c>
      <c r="D1191" s="9">
        <v>0</v>
      </c>
      <c r="E1191" s="9"/>
      <c r="F1191" s="257" t="s">
        <v>14396</v>
      </c>
      <c r="G1191" s="9"/>
      <c r="H1191" s="257" t="s">
        <v>19357</v>
      </c>
      <c r="I1191" s="9">
        <v>1</v>
      </c>
    </row>
    <row r="1192" spans="1:9">
      <c r="A1192" s="257" t="s">
        <v>2290</v>
      </c>
      <c r="B1192" s="9">
        <v>8</v>
      </c>
      <c r="C1192" s="257" t="s">
        <v>10022</v>
      </c>
      <c r="D1192" s="9">
        <v>0</v>
      </c>
      <c r="E1192" s="9"/>
      <c r="F1192" s="257" t="s">
        <v>14397</v>
      </c>
      <c r="G1192" s="9"/>
      <c r="H1192" s="257" t="s">
        <v>19358</v>
      </c>
      <c r="I1192" s="9">
        <v>1</v>
      </c>
    </row>
    <row r="1193" spans="1:9">
      <c r="A1193" s="257" t="s">
        <v>2291</v>
      </c>
      <c r="B1193" s="9">
        <v>8</v>
      </c>
      <c r="C1193" s="257" t="s">
        <v>10022</v>
      </c>
      <c r="D1193" s="9">
        <v>0</v>
      </c>
      <c r="E1193" s="9"/>
      <c r="F1193" s="257" t="s">
        <v>14398</v>
      </c>
      <c r="G1193" s="9"/>
      <c r="H1193" s="257" t="s">
        <v>19359</v>
      </c>
      <c r="I1193" s="9">
        <v>1</v>
      </c>
    </row>
    <row r="1194" spans="1:9">
      <c r="A1194" s="257" t="s">
        <v>2292</v>
      </c>
      <c r="B1194" s="9">
        <v>8</v>
      </c>
      <c r="C1194" s="257" t="s">
        <v>10022</v>
      </c>
      <c r="D1194" s="9">
        <v>1.2582816156987373E-2</v>
      </c>
      <c r="E1194" s="9"/>
      <c r="F1194" s="257" t="s">
        <v>14399</v>
      </c>
      <c r="G1194" s="9"/>
      <c r="H1194" s="257" t="s">
        <v>19360</v>
      </c>
      <c r="I1194" s="9">
        <v>1</v>
      </c>
    </row>
    <row r="1195" spans="1:9">
      <c r="A1195" s="257" t="s">
        <v>2293</v>
      </c>
      <c r="B1195" s="9">
        <v>8</v>
      </c>
      <c r="C1195" s="257" t="s">
        <v>10022</v>
      </c>
      <c r="D1195" s="9">
        <v>1.9548588740272675E-3</v>
      </c>
      <c r="E1195" s="9"/>
      <c r="F1195" s="257" t="s">
        <v>14400</v>
      </c>
      <c r="G1195" s="9"/>
      <c r="H1195" s="257" t="s">
        <v>19361</v>
      </c>
      <c r="I1195" s="9">
        <v>1</v>
      </c>
    </row>
    <row r="1196" spans="1:9">
      <c r="A1196" s="257" t="s">
        <v>2294</v>
      </c>
      <c r="B1196" s="9">
        <v>8</v>
      </c>
      <c r="C1196" s="257" t="s">
        <v>10022</v>
      </c>
      <c r="D1196" s="9">
        <v>1.4537675031014642E-2</v>
      </c>
      <c r="E1196" s="9"/>
      <c r="F1196" s="257" t="s">
        <v>14401</v>
      </c>
      <c r="G1196" s="9"/>
      <c r="H1196" s="257" t="s">
        <v>19362</v>
      </c>
      <c r="I1196" s="9">
        <v>1</v>
      </c>
    </row>
    <row r="1197" spans="1:9">
      <c r="A1197" s="257" t="s">
        <v>2295</v>
      </c>
      <c r="B1197" s="9">
        <v>8</v>
      </c>
      <c r="C1197" s="257" t="s">
        <v>10022</v>
      </c>
      <c r="D1197" s="9">
        <v>7.0637974170613257E-3</v>
      </c>
      <c r="E1197" s="9"/>
      <c r="F1197" s="257" t="s">
        <v>14402</v>
      </c>
      <c r="G1197" s="9"/>
      <c r="H1197" s="257" t="s">
        <v>19363</v>
      </c>
      <c r="I1197" s="9">
        <v>1</v>
      </c>
    </row>
    <row r="1198" spans="1:9">
      <c r="A1198" s="257" t="s">
        <v>2296</v>
      </c>
      <c r="B1198" s="9">
        <v>8</v>
      </c>
      <c r="C1198" s="257" t="s">
        <v>10022</v>
      </c>
      <c r="D1198" s="9">
        <v>4.0244905314516825E-3</v>
      </c>
      <c r="E1198" s="9"/>
      <c r="F1198" s="257" t="s">
        <v>14403</v>
      </c>
      <c r="G1198" s="9"/>
      <c r="H1198" s="257" t="s">
        <v>19364</v>
      </c>
      <c r="I1198" s="9">
        <v>1</v>
      </c>
    </row>
    <row r="1199" spans="1:9">
      <c r="A1199" s="257" t="s">
        <v>2297</v>
      </c>
      <c r="B1199" s="9">
        <v>8</v>
      </c>
      <c r="C1199" s="257" t="s">
        <v>10022</v>
      </c>
      <c r="D1199" s="9">
        <v>1.1088287948513008E-2</v>
      </c>
      <c r="E1199" s="9"/>
      <c r="F1199" s="257" t="s">
        <v>14404</v>
      </c>
      <c r="G1199" s="9"/>
      <c r="H1199" s="257" t="s">
        <v>19365</v>
      </c>
      <c r="I1199" s="9">
        <v>1</v>
      </c>
    </row>
    <row r="1200" spans="1:9">
      <c r="A1200" s="257" t="s">
        <v>2298</v>
      </c>
      <c r="B1200" s="9">
        <v>8</v>
      </c>
      <c r="C1200" s="257" t="s">
        <v>10022</v>
      </c>
      <c r="D1200" s="9">
        <v>-3.9307507414966238E-4</v>
      </c>
      <c r="E1200" s="9"/>
      <c r="F1200" s="257" t="s">
        <v>14405</v>
      </c>
      <c r="G1200" s="9"/>
      <c r="H1200" s="257" t="s">
        <v>19366</v>
      </c>
      <c r="I1200" s="9">
        <v>1</v>
      </c>
    </row>
    <row r="1201" spans="1:9">
      <c r="A1201" s="257" t="s">
        <v>2299</v>
      </c>
      <c r="B1201" s="9">
        <v>8</v>
      </c>
      <c r="C1201" s="257" t="s">
        <v>10022</v>
      </c>
      <c r="D1201" s="9">
        <v>-3.4811718389318336E-3</v>
      </c>
      <c r="E1201" s="9"/>
      <c r="F1201" s="257" t="s">
        <v>14406</v>
      </c>
      <c r="G1201" s="9"/>
      <c r="H1201" s="257" t="s">
        <v>19367</v>
      </c>
      <c r="I1201" s="9">
        <v>1</v>
      </c>
    </row>
    <row r="1202" spans="1:9">
      <c r="A1202" s="257" t="s">
        <v>2300</v>
      </c>
      <c r="B1202" s="9">
        <v>9</v>
      </c>
      <c r="C1202" s="257" t="s">
        <v>10022</v>
      </c>
      <c r="D1202" s="9">
        <v>1.5046809736682142E-2</v>
      </c>
      <c r="E1202" s="9"/>
      <c r="F1202" s="257" t="s">
        <v>14407</v>
      </c>
      <c r="G1202" s="9"/>
      <c r="H1202" s="257" t="s">
        <v>19368</v>
      </c>
      <c r="I1202" s="9">
        <v>1</v>
      </c>
    </row>
    <row r="1203" spans="1:9">
      <c r="A1203" s="257" t="s">
        <v>2301</v>
      </c>
      <c r="B1203" s="9">
        <v>9</v>
      </c>
      <c r="C1203" s="257" t="s">
        <v>10022</v>
      </c>
      <c r="D1203" s="9">
        <v>1.5046809736682142E-2</v>
      </c>
      <c r="E1203" s="9"/>
      <c r="F1203" s="257" t="s">
        <v>14408</v>
      </c>
      <c r="G1203" s="9"/>
      <c r="H1203" s="257" t="s">
        <v>19369</v>
      </c>
      <c r="I1203" s="9">
        <v>1</v>
      </c>
    </row>
    <row r="1204" spans="1:9">
      <c r="A1204" s="257" t="s">
        <v>2302</v>
      </c>
      <c r="B1204" s="9">
        <v>9</v>
      </c>
      <c r="C1204" s="257" t="s">
        <v>10022</v>
      </c>
      <c r="D1204" s="9">
        <v>7.7510787211858573E-3</v>
      </c>
      <c r="E1204" s="9"/>
      <c r="F1204" s="257" t="s">
        <v>14409</v>
      </c>
      <c r="G1204" s="9"/>
      <c r="H1204" s="257" t="s">
        <v>19370</v>
      </c>
      <c r="I1204" s="9">
        <v>1</v>
      </c>
    </row>
    <row r="1205" spans="1:9">
      <c r="A1205" s="257" t="s">
        <v>2303</v>
      </c>
      <c r="B1205" s="9">
        <v>9</v>
      </c>
      <c r="C1205" s="257" t="s">
        <v>10022</v>
      </c>
      <c r="D1205" s="9">
        <v>0</v>
      </c>
      <c r="E1205" s="9"/>
      <c r="F1205" s="257" t="s">
        <v>14410</v>
      </c>
      <c r="G1205" s="9"/>
      <c r="H1205" s="257" t="s">
        <v>19371</v>
      </c>
      <c r="I1205" s="9">
        <v>1</v>
      </c>
    </row>
    <row r="1206" spans="1:9">
      <c r="A1206" s="257" t="s">
        <v>2304</v>
      </c>
      <c r="B1206" s="9">
        <v>9</v>
      </c>
      <c r="C1206" s="257" t="s">
        <v>10022</v>
      </c>
      <c r="D1206" s="9">
        <v>0</v>
      </c>
      <c r="E1206" s="9"/>
      <c r="F1206" s="257" t="s">
        <v>14411</v>
      </c>
      <c r="G1206" s="9"/>
      <c r="H1206" s="257" t="s">
        <v>19372</v>
      </c>
      <c r="I1206" s="9">
        <v>1</v>
      </c>
    </row>
    <row r="1207" spans="1:9">
      <c r="A1207" s="257" t="s">
        <v>2305</v>
      </c>
      <c r="B1207" s="9">
        <v>9</v>
      </c>
      <c r="C1207" s="257" t="s">
        <v>10022</v>
      </c>
      <c r="D1207" s="9">
        <v>2.2797888457867999E-2</v>
      </c>
      <c r="E1207" s="9"/>
      <c r="F1207" s="257" t="s">
        <v>14412</v>
      </c>
      <c r="G1207" s="9"/>
      <c r="H1207" s="257" t="s">
        <v>19373</v>
      </c>
      <c r="I1207" s="9">
        <v>1</v>
      </c>
    </row>
    <row r="1208" spans="1:9">
      <c r="A1208" s="257" t="s">
        <v>2306</v>
      </c>
      <c r="B1208" s="9">
        <v>9</v>
      </c>
      <c r="C1208" s="257" t="s">
        <v>10022</v>
      </c>
      <c r="D1208" s="9">
        <v>2.2797888457867999E-2</v>
      </c>
      <c r="E1208" s="9"/>
      <c r="F1208" s="257" t="s">
        <v>14413</v>
      </c>
      <c r="G1208" s="9"/>
      <c r="H1208" s="257" t="s">
        <v>19374</v>
      </c>
      <c r="I1208" s="9">
        <v>1</v>
      </c>
    </row>
    <row r="1209" spans="1:9">
      <c r="A1209" s="257" t="s">
        <v>2307</v>
      </c>
      <c r="B1209" s="9">
        <v>9</v>
      </c>
      <c r="C1209" s="257" t="s">
        <v>10022</v>
      </c>
      <c r="D1209" s="9">
        <v>2.2797888457867999E-2</v>
      </c>
      <c r="E1209" s="9"/>
      <c r="F1209" s="257" t="s">
        <v>14414</v>
      </c>
      <c r="G1209" s="9"/>
      <c r="H1209" s="257" t="s">
        <v>19375</v>
      </c>
      <c r="I1209" s="9">
        <v>1</v>
      </c>
    </row>
    <row r="1210" spans="1:9">
      <c r="A1210" s="257" t="s">
        <v>2308</v>
      </c>
      <c r="B1210" s="9">
        <v>9</v>
      </c>
      <c r="C1210" s="257" t="s">
        <v>10022</v>
      </c>
      <c r="D1210" s="9">
        <v>2.6945791637628759E-2</v>
      </c>
      <c r="E1210" s="9"/>
      <c r="F1210" s="257" t="s">
        <v>14415</v>
      </c>
      <c r="G1210" s="9"/>
      <c r="H1210" s="257" t="s">
        <v>19376</v>
      </c>
      <c r="I1210" s="9">
        <v>1</v>
      </c>
    </row>
    <row r="1211" spans="1:9">
      <c r="A1211" s="257" t="s">
        <v>2309</v>
      </c>
      <c r="B1211" s="9">
        <v>9</v>
      </c>
      <c r="C1211" s="257" t="s">
        <v>10022</v>
      </c>
      <c r="D1211" s="9">
        <v>2.6945791637628759E-2</v>
      </c>
      <c r="E1211" s="9"/>
      <c r="F1211" s="257" t="s">
        <v>14416</v>
      </c>
      <c r="G1211" s="9"/>
      <c r="H1211" s="257" t="s">
        <v>19377</v>
      </c>
      <c r="I1211" s="9">
        <v>1</v>
      </c>
    </row>
    <row r="1212" spans="1:9">
      <c r="A1212" s="257" t="s">
        <v>2310</v>
      </c>
      <c r="B1212" s="9">
        <v>9</v>
      </c>
      <c r="C1212" s="257" t="s">
        <v>10022</v>
      </c>
      <c r="D1212" s="9">
        <v>-4.1479031797607598E-3</v>
      </c>
      <c r="E1212" s="9"/>
      <c r="F1212" s="257" t="s">
        <v>14417</v>
      </c>
      <c r="G1212" s="9"/>
      <c r="H1212" s="257" t="s">
        <v>19378</v>
      </c>
      <c r="I1212" s="9">
        <v>1</v>
      </c>
    </row>
    <row r="1213" spans="1:9">
      <c r="A1213" s="257" t="s">
        <v>2311</v>
      </c>
      <c r="B1213" s="9">
        <v>9</v>
      </c>
      <c r="C1213" s="257" t="s">
        <v>10022</v>
      </c>
      <c r="D1213" s="9">
        <v>0</v>
      </c>
      <c r="E1213" s="9"/>
      <c r="F1213" s="257" t="s">
        <v>14418</v>
      </c>
      <c r="G1213" s="9"/>
      <c r="H1213" s="257" t="s">
        <v>19379</v>
      </c>
      <c r="I1213" s="9">
        <v>1</v>
      </c>
    </row>
    <row r="1214" spans="1:9">
      <c r="A1214" s="257" t="s">
        <v>2312</v>
      </c>
      <c r="B1214" s="9">
        <v>9</v>
      </c>
      <c r="C1214" s="257" t="s">
        <v>10022</v>
      </c>
      <c r="D1214" s="9">
        <v>0</v>
      </c>
      <c r="E1214" s="9"/>
      <c r="F1214" s="257" t="s">
        <v>14419</v>
      </c>
      <c r="G1214" s="9"/>
      <c r="H1214" s="257" t="s">
        <v>19380</v>
      </c>
      <c r="I1214" s="9">
        <v>1</v>
      </c>
    </row>
    <row r="1215" spans="1:9">
      <c r="A1215" s="257" t="s">
        <v>2313</v>
      </c>
      <c r="B1215" s="9">
        <v>9</v>
      </c>
      <c r="C1215" s="257" t="s">
        <v>10022</v>
      </c>
      <c r="D1215" s="9">
        <v>0</v>
      </c>
      <c r="E1215" s="9"/>
      <c r="F1215" s="257" t="s">
        <v>14420</v>
      </c>
      <c r="G1215" s="9"/>
      <c r="H1215" s="257" t="s">
        <v>19381</v>
      </c>
      <c r="I1215" s="9">
        <v>1</v>
      </c>
    </row>
    <row r="1216" spans="1:9">
      <c r="A1216" s="257" t="s">
        <v>2314</v>
      </c>
      <c r="B1216" s="9">
        <v>9</v>
      </c>
      <c r="C1216" s="257" t="s">
        <v>10022</v>
      </c>
      <c r="D1216" s="9">
        <v>0</v>
      </c>
      <c r="E1216" s="9"/>
      <c r="F1216" s="257" t="s">
        <v>14421</v>
      </c>
      <c r="G1216" s="9"/>
      <c r="H1216" s="257" t="s">
        <v>19382</v>
      </c>
      <c r="I1216" s="9">
        <v>1</v>
      </c>
    </row>
    <row r="1217" spans="1:9">
      <c r="A1217" s="257" t="s">
        <v>2315</v>
      </c>
      <c r="B1217" s="9">
        <v>9</v>
      </c>
      <c r="C1217" s="257" t="s">
        <v>10022</v>
      </c>
      <c r="D1217" s="9">
        <v>0</v>
      </c>
      <c r="E1217" s="9"/>
      <c r="F1217" s="257" t="s">
        <v>14422</v>
      </c>
      <c r="G1217" s="9"/>
      <c r="H1217" s="257" t="s">
        <v>19383</v>
      </c>
      <c r="I1217" s="9">
        <v>1</v>
      </c>
    </row>
    <row r="1218" spans="1:9">
      <c r="A1218" s="257" t="s">
        <v>2316</v>
      </c>
      <c r="B1218" s="9">
        <v>9</v>
      </c>
      <c r="C1218" s="257" t="s">
        <v>10022</v>
      </c>
      <c r="D1218" s="9">
        <v>0</v>
      </c>
      <c r="E1218" s="9"/>
      <c r="F1218" s="257" t="s">
        <v>14423</v>
      </c>
      <c r="G1218" s="9"/>
      <c r="H1218" s="257" t="s">
        <v>19384</v>
      </c>
      <c r="I1218" s="9">
        <v>1</v>
      </c>
    </row>
    <row r="1219" spans="1:9">
      <c r="A1219" s="257" t="s">
        <v>2317</v>
      </c>
      <c r="B1219" s="9">
        <v>9</v>
      </c>
      <c r="C1219" s="257" t="s">
        <v>10022</v>
      </c>
      <c r="D1219" s="9">
        <v>1.3594151033170569E-2</v>
      </c>
      <c r="E1219" s="9"/>
      <c r="F1219" s="257" t="s">
        <v>14424</v>
      </c>
      <c r="G1219" s="9"/>
      <c r="H1219" s="257" t="s">
        <v>19385</v>
      </c>
      <c r="I1219" s="9">
        <v>1</v>
      </c>
    </row>
    <row r="1220" spans="1:9">
      <c r="A1220" s="257" t="s">
        <v>2318</v>
      </c>
      <c r="B1220" s="9">
        <v>9</v>
      </c>
      <c r="C1220" s="257" t="s">
        <v>10022</v>
      </c>
      <c r="D1220" s="9">
        <v>1.9346866758766042E-3</v>
      </c>
      <c r="E1220" s="9"/>
      <c r="F1220" s="257" t="s">
        <v>14425</v>
      </c>
      <c r="G1220" s="9"/>
      <c r="H1220" s="257" t="s">
        <v>19386</v>
      </c>
      <c r="I1220" s="9">
        <v>1</v>
      </c>
    </row>
    <row r="1221" spans="1:9">
      <c r="A1221" s="257" t="s">
        <v>2319</v>
      </c>
      <c r="B1221" s="9">
        <v>9</v>
      </c>
      <c r="C1221" s="257" t="s">
        <v>10022</v>
      </c>
      <c r="D1221" s="9">
        <v>1.5528837709047172E-2</v>
      </c>
      <c r="E1221" s="9"/>
      <c r="F1221" s="257" t="s">
        <v>14426</v>
      </c>
      <c r="G1221" s="9"/>
      <c r="H1221" s="257" t="s">
        <v>19387</v>
      </c>
      <c r="I1221" s="9">
        <v>1</v>
      </c>
    </row>
    <row r="1222" spans="1:9">
      <c r="A1222" s="257" t="s">
        <v>2320</v>
      </c>
      <c r="B1222" s="9">
        <v>9</v>
      </c>
      <c r="C1222" s="257" t="s">
        <v>10022</v>
      </c>
      <c r="D1222" s="9">
        <v>7.4301592560844145E-3</v>
      </c>
      <c r="E1222" s="9"/>
      <c r="F1222" s="257" t="s">
        <v>14427</v>
      </c>
      <c r="G1222" s="9"/>
      <c r="H1222" s="257" t="s">
        <v>19388</v>
      </c>
      <c r="I1222" s="9">
        <v>1</v>
      </c>
    </row>
    <row r="1223" spans="1:9">
      <c r="A1223" s="257" t="s">
        <v>2321</v>
      </c>
      <c r="B1223" s="9">
        <v>9</v>
      </c>
      <c r="C1223" s="257" t="s">
        <v>10022</v>
      </c>
      <c r="D1223" s="9">
        <v>3.9867946724971726E-3</v>
      </c>
      <c r="E1223" s="9"/>
      <c r="F1223" s="257" t="s">
        <v>14428</v>
      </c>
      <c r="G1223" s="9"/>
      <c r="H1223" s="257" t="s">
        <v>19389</v>
      </c>
      <c r="I1223" s="9">
        <v>1</v>
      </c>
    </row>
    <row r="1224" spans="1:9">
      <c r="A1224" s="257" t="s">
        <v>2322</v>
      </c>
      <c r="B1224" s="9">
        <v>9</v>
      </c>
      <c r="C1224" s="257" t="s">
        <v>10022</v>
      </c>
      <c r="D1224" s="9">
        <v>1.1416953928581585E-2</v>
      </c>
      <c r="E1224" s="9"/>
      <c r="F1224" s="257" t="s">
        <v>14429</v>
      </c>
      <c r="G1224" s="9"/>
      <c r="H1224" s="257" t="s">
        <v>19390</v>
      </c>
      <c r="I1224" s="9">
        <v>1</v>
      </c>
    </row>
    <row r="1225" spans="1:9">
      <c r="A1225" s="257" t="s">
        <v>2323</v>
      </c>
      <c r="B1225" s="9">
        <v>9</v>
      </c>
      <c r="C1225" s="257" t="s">
        <v>10022</v>
      </c>
      <c r="D1225" s="9">
        <v>-4.820279723650304E-4</v>
      </c>
      <c r="E1225" s="9"/>
      <c r="F1225" s="257" t="s">
        <v>14430</v>
      </c>
      <c r="G1225" s="9"/>
      <c r="H1225" s="257" t="s">
        <v>19391</v>
      </c>
      <c r="I1225" s="9">
        <v>1</v>
      </c>
    </row>
    <row r="1226" spans="1:9">
      <c r="A1226" s="257" t="s">
        <v>2324</v>
      </c>
      <c r="B1226" s="9">
        <v>9</v>
      </c>
      <c r="C1226" s="257" t="s">
        <v>10022</v>
      </c>
      <c r="D1226" s="9">
        <v>-3.6658752073957298E-3</v>
      </c>
      <c r="E1226" s="9"/>
      <c r="F1226" s="257" t="s">
        <v>14431</v>
      </c>
      <c r="G1226" s="9"/>
      <c r="H1226" s="257" t="s">
        <v>19392</v>
      </c>
      <c r="I1226" s="9">
        <v>1</v>
      </c>
    </row>
    <row r="1227" spans="1:9">
      <c r="A1227" s="257" t="s">
        <v>2325</v>
      </c>
      <c r="B1227" s="9">
        <v>10</v>
      </c>
      <c r="C1227" s="257" t="s">
        <v>10022</v>
      </c>
      <c r="D1227" s="9">
        <v>1.4682347053848846E-2</v>
      </c>
      <c r="E1227" s="9"/>
      <c r="F1227" s="257" t="s">
        <v>14432</v>
      </c>
      <c r="G1227" s="9"/>
      <c r="H1227" s="257" t="s">
        <v>19393</v>
      </c>
      <c r="I1227" s="9">
        <v>1</v>
      </c>
    </row>
    <row r="1228" spans="1:9">
      <c r="A1228" s="257" t="s">
        <v>2326</v>
      </c>
      <c r="B1228" s="9">
        <v>10</v>
      </c>
      <c r="C1228" s="257" t="s">
        <v>10022</v>
      </c>
      <c r="D1228" s="9">
        <v>1.4682347053848846E-2</v>
      </c>
      <c r="E1228" s="9"/>
      <c r="F1228" s="257" t="s">
        <v>14433</v>
      </c>
      <c r="G1228" s="9"/>
      <c r="H1228" s="257" t="s">
        <v>19394</v>
      </c>
      <c r="I1228" s="9">
        <v>1</v>
      </c>
    </row>
    <row r="1229" spans="1:9">
      <c r="A1229" s="257" t="s">
        <v>2327</v>
      </c>
      <c r="B1229" s="9">
        <v>10</v>
      </c>
      <c r="C1229" s="257" t="s">
        <v>10022</v>
      </c>
      <c r="D1229" s="9">
        <v>8.7204342746713421E-3</v>
      </c>
      <c r="E1229" s="9"/>
      <c r="F1229" s="257" t="s">
        <v>14434</v>
      </c>
      <c r="G1229" s="9"/>
      <c r="H1229" s="257" t="s">
        <v>19395</v>
      </c>
      <c r="I1229" s="9">
        <v>1</v>
      </c>
    </row>
    <row r="1230" spans="1:9">
      <c r="A1230" s="257" t="s">
        <v>2328</v>
      </c>
      <c r="B1230" s="9">
        <v>10</v>
      </c>
      <c r="C1230" s="257" t="s">
        <v>10022</v>
      </c>
      <c r="D1230" s="9">
        <v>0</v>
      </c>
      <c r="E1230" s="9"/>
      <c r="F1230" s="257" t="s">
        <v>14435</v>
      </c>
      <c r="G1230" s="9"/>
      <c r="H1230" s="257" t="s">
        <v>19396</v>
      </c>
      <c r="I1230" s="9">
        <v>1</v>
      </c>
    </row>
    <row r="1231" spans="1:9">
      <c r="A1231" s="257" t="s">
        <v>2329</v>
      </c>
      <c r="B1231" s="9">
        <v>10</v>
      </c>
      <c r="C1231" s="257" t="s">
        <v>10022</v>
      </c>
      <c r="D1231" s="9">
        <v>0</v>
      </c>
      <c r="E1231" s="9"/>
      <c r="F1231" s="257" t="s">
        <v>14436</v>
      </c>
      <c r="G1231" s="9"/>
      <c r="H1231" s="257" t="s">
        <v>19397</v>
      </c>
      <c r="I1231" s="9">
        <v>1</v>
      </c>
    </row>
    <row r="1232" spans="1:9">
      <c r="A1232" s="257" t="s">
        <v>2330</v>
      </c>
      <c r="B1232" s="9">
        <v>10</v>
      </c>
      <c r="C1232" s="257" t="s">
        <v>10022</v>
      </c>
      <c r="D1232" s="9">
        <v>2.3402781328520191E-2</v>
      </c>
      <c r="E1232" s="9"/>
      <c r="F1232" s="257" t="s">
        <v>14437</v>
      </c>
      <c r="G1232" s="9"/>
      <c r="H1232" s="257" t="s">
        <v>19398</v>
      </c>
      <c r="I1232" s="9">
        <v>1</v>
      </c>
    </row>
    <row r="1233" spans="1:9">
      <c r="A1233" s="257" t="s">
        <v>2331</v>
      </c>
      <c r="B1233" s="9">
        <v>10</v>
      </c>
      <c r="C1233" s="257" t="s">
        <v>10022</v>
      </c>
      <c r="D1233" s="9">
        <v>2.3402781328520191E-2</v>
      </c>
      <c r="E1233" s="9"/>
      <c r="F1233" s="257" t="s">
        <v>14438</v>
      </c>
      <c r="G1233" s="9"/>
      <c r="H1233" s="257" t="s">
        <v>19399</v>
      </c>
      <c r="I1233" s="9">
        <v>1</v>
      </c>
    </row>
    <row r="1234" spans="1:9">
      <c r="A1234" s="257" t="s">
        <v>2332</v>
      </c>
      <c r="B1234" s="9">
        <v>10</v>
      </c>
      <c r="C1234" s="257" t="s">
        <v>10022</v>
      </c>
      <c r="D1234" s="9">
        <v>2.3402781328520191E-2</v>
      </c>
      <c r="E1234" s="9"/>
      <c r="F1234" s="257" t="s">
        <v>14439</v>
      </c>
      <c r="G1234" s="9"/>
      <c r="H1234" s="257" t="s">
        <v>19400</v>
      </c>
      <c r="I1234" s="9">
        <v>1</v>
      </c>
    </row>
    <row r="1235" spans="1:9">
      <c r="A1235" s="257" t="s">
        <v>2333</v>
      </c>
      <c r="B1235" s="9">
        <v>10</v>
      </c>
      <c r="C1235" s="257" t="s">
        <v>10022</v>
      </c>
      <c r="D1235" s="9">
        <v>2.8679358514038196E-2</v>
      </c>
      <c r="E1235" s="9"/>
      <c r="F1235" s="257" t="s">
        <v>14440</v>
      </c>
      <c r="G1235" s="9"/>
      <c r="H1235" s="257" t="s">
        <v>19401</v>
      </c>
      <c r="I1235" s="9">
        <v>1</v>
      </c>
    </row>
    <row r="1236" spans="1:9">
      <c r="A1236" s="257" t="s">
        <v>2334</v>
      </c>
      <c r="B1236" s="9">
        <v>10</v>
      </c>
      <c r="C1236" s="257" t="s">
        <v>10022</v>
      </c>
      <c r="D1236" s="9">
        <v>2.8679358514038196E-2</v>
      </c>
      <c r="E1236" s="9"/>
      <c r="F1236" s="257" t="s">
        <v>14441</v>
      </c>
      <c r="G1236" s="9"/>
      <c r="H1236" s="257" t="s">
        <v>19402</v>
      </c>
      <c r="I1236" s="9">
        <v>1</v>
      </c>
    </row>
    <row r="1237" spans="1:9">
      <c r="A1237" s="257" t="s">
        <v>2335</v>
      </c>
      <c r="B1237" s="9">
        <v>10</v>
      </c>
      <c r="C1237" s="257" t="s">
        <v>10022</v>
      </c>
      <c r="D1237" s="9">
        <v>-5.2765771855180091E-3</v>
      </c>
      <c r="E1237" s="9"/>
      <c r="F1237" s="257" t="s">
        <v>14442</v>
      </c>
      <c r="G1237" s="9"/>
      <c r="H1237" s="257" t="s">
        <v>19403</v>
      </c>
      <c r="I1237" s="9">
        <v>1</v>
      </c>
    </row>
    <row r="1238" spans="1:9">
      <c r="A1238" s="257" t="s">
        <v>2336</v>
      </c>
      <c r="B1238" s="9">
        <v>10</v>
      </c>
      <c r="C1238" s="257" t="s">
        <v>10022</v>
      </c>
      <c r="D1238" s="9">
        <v>0</v>
      </c>
      <c r="E1238" s="9"/>
      <c r="F1238" s="257" t="s">
        <v>14443</v>
      </c>
      <c r="G1238" s="9"/>
      <c r="H1238" s="257" t="s">
        <v>19404</v>
      </c>
      <c r="I1238" s="9">
        <v>1</v>
      </c>
    </row>
    <row r="1239" spans="1:9">
      <c r="A1239" s="257" t="s">
        <v>2337</v>
      </c>
      <c r="B1239" s="9">
        <v>10</v>
      </c>
      <c r="C1239" s="257" t="s">
        <v>10022</v>
      </c>
      <c r="D1239" s="9">
        <v>0</v>
      </c>
      <c r="E1239" s="9"/>
      <c r="F1239" s="257" t="s">
        <v>14444</v>
      </c>
      <c r="G1239" s="9"/>
      <c r="H1239" s="257" t="s">
        <v>19405</v>
      </c>
      <c r="I1239" s="9">
        <v>1</v>
      </c>
    </row>
    <row r="1240" spans="1:9">
      <c r="A1240" s="257" t="s">
        <v>2338</v>
      </c>
      <c r="B1240" s="9">
        <v>10</v>
      </c>
      <c r="C1240" s="257" t="s">
        <v>10022</v>
      </c>
      <c r="D1240" s="9">
        <v>0</v>
      </c>
      <c r="E1240" s="9"/>
      <c r="F1240" s="257" t="s">
        <v>14445</v>
      </c>
      <c r="G1240" s="9"/>
      <c r="H1240" s="257" t="s">
        <v>19406</v>
      </c>
      <c r="I1240" s="9">
        <v>1</v>
      </c>
    </row>
    <row r="1241" spans="1:9">
      <c r="A1241" s="257" t="s">
        <v>2339</v>
      </c>
      <c r="B1241" s="9">
        <v>10</v>
      </c>
      <c r="C1241" s="257" t="s">
        <v>10022</v>
      </c>
      <c r="D1241" s="9">
        <v>0</v>
      </c>
      <c r="E1241" s="9"/>
      <c r="F1241" s="257" t="s">
        <v>14446</v>
      </c>
      <c r="G1241" s="9"/>
      <c r="H1241" s="257" t="s">
        <v>19407</v>
      </c>
      <c r="I1241" s="9">
        <v>1</v>
      </c>
    </row>
    <row r="1242" spans="1:9">
      <c r="A1242" s="257" t="s">
        <v>2340</v>
      </c>
      <c r="B1242" s="9">
        <v>10</v>
      </c>
      <c r="C1242" s="257" t="s">
        <v>10022</v>
      </c>
      <c r="D1242" s="9">
        <v>0</v>
      </c>
      <c r="E1242" s="9"/>
      <c r="F1242" s="257" t="s">
        <v>14447</v>
      </c>
      <c r="G1242" s="9"/>
      <c r="H1242" s="257" t="s">
        <v>19408</v>
      </c>
      <c r="I1242" s="9">
        <v>1</v>
      </c>
    </row>
    <row r="1243" spans="1:9">
      <c r="A1243" s="257" t="s">
        <v>2341</v>
      </c>
      <c r="B1243" s="9">
        <v>10</v>
      </c>
      <c r="C1243" s="257" t="s">
        <v>10022</v>
      </c>
      <c r="D1243" s="9">
        <v>0</v>
      </c>
      <c r="E1243" s="9"/>
      <c r="F1243" s="257" t="s">
        <v>14448</v>
      </c>
      <c r="G1243" s="9"/>
      <c r="H1243" s="257" t="s">
        <v>19409</v>
      </c>
      <c r="I1243" s="9">
        <v>1</v>
      </c>
    </row>
    <row r="1244" spans="1:9">
      <c r="A1244" s="257" t="s">
        <v>2342</v>
      </c>
      <c r="B1244" s="9">
        <v>10</v>
      </c>
      <c r="C1244" s="257" t="s">
        <v>10022</v>
      </c>
      <c r="D1244" s="9">
        <v>1.366253109996095E-2</v>
      </c>
      <c r="E1244" s="9"/>
      <c r="F1244" s="257" t="s">
        <v>14449</v>
      </c>
      <c r="G1244" s="9"/>
      <c r="H1244" s="257" t="s">
        <v>19410</v>
      </c>
      <c r="I1244" s="9">
        <v>1</v>
      </c>
    </row>
    <row r="1245" spans="1:9">
      <c r="A1245" s="257" t="s">
        <v>2343</v>
      </c>
      <c r="B1245" s="9">
        <v>10</v>
      </c>
      <c r="C1245" s="257" t="s">
        <v>10022</v>
      </c>
      <c r="D1245" s="9">
        <v>1.9309800219100425E-3</v>
      </c>
      <c r="E1245" s="9"/>
      <c r="F1245" s="257" t="s">
        <v>14450</v>
      </c>
      <c r="G1245" s="9"/>
      <c r="H1245" s="257" t="s">
        <v>19411</v>
      </c>
      <c r="I1245" s="9">
        <v>1</v>
      </c>
    </row>
    <row r="1246" spans="1:9">
      <c r="A1246" s="257" t="s">
        <v>2344</v>
      </c>
      <c r="B1246" s="9">
        <v>10</v>
      </c>
      <c r="C1246" s="257" t="s">
        <v>10022</v>
      </c>
      <c r="D1246" s="9">
        <v>1.5593511121870992E-2</v>
      </c>
      <c r="E1246" s="9"/>
      <c r="F1246" s="257" t="s">
        <v>14451</v>
      </c>
      <c r="G1246" s="9"/>
      <c r="H1246" s="257" t="s">
        <v>19412</v>
      </c>
      <c r="I1246" s="9">
        <v>1</v>
      </c>
    </row>
    <row r="1247" spans="1:9">
      <c r="A1247" s="257" t="s">
        <v>2345</v>
      </c>
      <c r="B1247" s="9">
        <v>10</v>
      </c>
      <c r="C1247" s="257" t="s">
        <v>10022</v>
      </c>
      <c r="D1247" s="9">
        <v>8.987785614987108E-3</v>
      </c>
      <c r="E1247" s="9"/>
      <c r="F1247" s="257" t="s">
        <v>14452</v>
      </c>
      <c r="G1247" s="9"/>
      <c r="H1247" s="257" t="s">
        <v>19413</v>
      </c>
      <c r="I1247" s="9">
        <v>1</v>
      </c>
    </row>
    <row r="1248" spans="1:9">
      <c r="A1248" s="257" t="s">
        <v>2346</v>
      </c>
      <c r="B1248" s="9">
        <v>10</v>
      </c>
      <c r="C1248" s="257" t="s">
        <v>10022</v>
      </c>
      <c r="D1248" s="9">
        <v>4.0980617771800964E-3</v>
      </c>
      <c r="E1248" s="9"/>
      <c r="F1248" s="257" t="s">
        <v>14453</v>
      </c>
      <c r="G1248" s="9"/>
      <c r="H1248" s="257" t="s">
        <v>19414</v>
      </c>
      <c r="I1248" s="9">
        <v>1</v>
      </c>
    </row>
    <row r="1249" spans="1:9">
      <c r="A1249" s="257" t="s">
        <v>2347</v>
      </c>
      <c r="B1249" s="9">
        <v>10</v>
      </c>
      <c r="C1249" s="257" t="s">
        <v>10022</v>
      </c>
      <c r="D1249" s="9">
        <v>1.3085847392167204E-2</v>
      </c>
      <c r="E1249" s="9"/>
      <c r="F1249" s="257" t="s">
        <v>14454</v>
      </c>
      <c r="G1249" s="9"/>
      <c r="H1249" s="257" t="s">
        <v>19415</v>
      </c>
      <c r="I1249" s="9">
        <v>1</v>
      </c>
    </row>
    <row r="1250" spans="1:9">
      <c r="A1250" s="257" t="s">
        <v>2348</v>
      </c>
      <c r="B1250" s="9">
        <v>10</v>
      </c>
      <c r="C1250" s="257" t="s">
        <v>10022</v>
      </c>
      <c r="D1250" s="9">
        <v>-9.111640680221463E-4</v>
      </c>
      <c r="E1250" s="9"/>
      <c r="F1250" s="257" t="s">
        <v>14455</v>
      </c>
      <c r="G1250" s="9"/>
      <c r="H1250" s="257" t="s">
        <v>19416</v>
      </c>
      <c r="I1250" s="9">
        <v>1</v>
      </c>
    </row>
    <row r="1251" spans="1:9">
      <c r="A1251" s="257" t="s">
        <v>2349</v>
      </c>
      <c r="B1251" s="9">
        <v>10</v>
      </c>
      <c r="C1251" s="257" t="s">
        <v>10022</v>
      </c>
      <c r="D1251" s="9">
        <v>-4.3654131174958623E-3</v>
      </c>
      <c r="E1251" s="9"/>
      <c r="F1251" s="257" t="s">
        <v>14456</v>
      </c>
      <c r="G1251" s="9"/>
      <c r="H1251" s="257" t="s">
        <v>19417</v>
      </c>
      <c r="I1251" s="9">
        <v>1</v>
      </c>
    </row>
    <row r="1252" spans="1:9">
      <c r="A1252" s="257" t="s">
        <v>2350</v>
      </c>
      <c r="B1252" s="9">
        <v>1</v>
      </c>
      <c r="C1252" s="257" t="s">
        <v>10023</v>
      </c>
      <c r="D1252" s="9">
        <v>4.6789708187496533E-3</v>
      </c>
      <c r="E1252" s="9"/>
      <c r="F1252" s="257" t="s">
        <v>14457</v>
      </c>
      <c r="G1252" s="9"/>
      <c r="H1252" s="257" t="s">
        <v>19418</v>
      </c>
      <c r="I1252" s="9">
        <v>1</v>
      </c>
    </row>
    <row r="1253" spans="1:9">
      <c r="A1253" s="257" t="s">
        <v>2351</v>
      </c>
      <c r="B1253" s="9">
        <v>1</v>
      </c>
      <c r="C1253" s="257" t="s">
        <v>10023</v>
      </c>
      <c r="D1253" s="9">
        <v>4.6789708187496533E-3</v>
      </c>
      <c r="E1253" s="9"/>
      <c r="F1253" s="257" t="s">
        <v>14458</v>
      </c>
      <c r="G1253" s="9"/>
      <c r="H1253" s="257" t="s">
        <v>19419</v>
      </c>
      <c r="I1253" s="9">
        <v>1</v>
      </c>
    </row>
    <row r="1254" spans="1:9">
      <c r="A1254" s="257" t="s">
        <v>2352</v>
      </c>
      <c r="B1254" s="9">
        <v>1</v>
      </c>
      <c r="C1254" s="257" t="s">
        <v>10023</v>
      </c>
      <c r="D1254" s="9">
        <v>4.7686837134229953E-3</v>
      </c>
      <c r="E1254" s="9"/>
      <c r="F1254" s="257" t="s">
        <v>14459</v>
      </c>
      <c r="G1254" s="9"/>
      <c r="H1254" s="257" t="s">
        <v>19420</v>
      </c>
      <c r="I1254" s="9">
        <v>1</v>
      </c>
    </row>
    <row r="1255" spans="1:9">
      <c r="A1255" s="257" t="s">
        <v>2353</v>
      </c>
      <c r="B1255" s="9">
        <v>1</v>
      </c>
      <c r="C1255" s="257" t="s">
        <v>10023</v>
      </c>
      <c r="D1255" s="9"/>
      <c r="E1255" s="9"/>
      <c r="F1255" s="257" t="s">
        <v>14460</v>
      </c>
      <c r="G1255" s="9"/>
      <c r="H1255" s="257" t="s">
        <v>19421</v>
      </c>
      <c r="I1255" s="9">
        <v>1</v>
      </c>
    </row>
    <row r="1256" spans="1:9">
      <c r="A1256" s="257" t="s">
        <v>2354</v>
      </c>
      <c r="B1256" s="9">
        <v>1</v>
      </c>
      <c r="C1256" s="257" t="s">
        <v>10023</v>
      </c>
      <c r="D1256" s="9"/>
      <c r="E1256" s="9"/>
      <c r="F1256" s="257" t="s">
        <v>14461</v>
      </c>
      <c r="G1256" s="9"/>
      <c r="H1256" s="257" t="s">
        <v>19422</v>
      </c>
      <c r="I1256" s="9">
        <v>1</v>
      </c>
    </row>
    <row r="1257" spans="1:9">
      <c r="A1257" s="257" t="s">
        <v>2355</v>
      </c>
      <c r="B1257" s="9">
        <v>1</v>
      </c>
      <c r="C1257" s="257" t="s">
        <v>10023</v>
      </c>
      <c r="D1257" s="9">
        <v>9.4476545321726495E-3</v>
      </c>
      <c r="E1257" s="9"/>
      <c r="F1257" s="257" t="s">
        <v>14462</v>
      </c>
      <c r="G1257" s="9"/>
      <c r="H1257" s="257" t="s">
        <v>19423</v>
      </c>
      <c r="I1257" s="9">
        <v>1</v>
      </c>
    </row>
    <row r="1258" spans="1:9">
      <c r="A1258" s="257" t="s">
        <v>2356</v>
      </c>
      <c r="B1258" s="9">
        <v>1</v>
      </c>
      <c r="C1258" s="257" t="s">
        <v>10023</v>
      </c>
      <c r="D1258" s="9">
        <v>9.4476545321726495E-3</v>
      </c>
      <c r="E1258" s="9"/>
      <c r="F1258" s="257" t="s">
        <v>14463</v>
      </c>
      <c r="G1258" s="9"/>
      <c r="H1258" s="257" t="s">
        <v>19424</v>
      </c>
      <c r="I1258" s="9">
        <v>1</v>
      </c>
    </row>
    <row r="1259" spans="1:9">
      <c r="A1259" s="257" t="s">
        <v>2357</v>
      </c>
      <c r="B1259" s="9">
        <v>1</v>
      </c>
      <c r="C1259" s="257" t="s">
        <v>10023</v>
      </c>
      <c r="D1259" s="9">
        <v>9.4476545321726495E-3</v>
      </c>
      <c r="E1259" s="9"/>
      <c r="F1259" s="257" t="s">
        <v>14464</v>
      </c>
      <c r="G1259" s="9"/>
      <c r="H1259" s="257" t="s">
        <v>19425</v>
      </c>
      <c r="I1259" s="9">
        <v>1</v>
      </c>
    </row>
    <row r="1260" spans="1:9">
      <c r="A1260" s="257" t="s">
        <v>2358</v>
      </c>
      <c r="B1260" s="9">
        <v>1</v>
      </c>
      <c r="C1260" s="257" t="s">
        <v>10023</v>
      </c>
      <c r="D1260" s="9">
        <v>1.0723070051712131E-2</v>
      </c>
      <c r="E1260" s="9"/>
      <c r="F1260" s="257" t="s">
        <v>14465</v>
      </c>
      <c r="G1260" s="9"/>
      <c r="H1260" s="257" t="s">
        <v>19426</v>
      </c>
      <c r="I1260" s="9">
        <v>1</v>
      </c>
    </row>
    <row r="1261" spans="1:9">
      <c r="A1261" s="257" t="s">
        <v>2359</v>
      </c>
      <c r="B1261" s="9">
        <v>1</v>
      </c>
      <c r="C1261" s="257" t="s">
        <v>10023</v>
      </c>
      <c r="D1261" s="9">
        <v>1.0723070051712131E-2</v>
      </c>
      <c r="E1261" s="9"/>
      <c r="F1261" s="257" t="s">
        <v>14466</v>
      </c>
      <c r="G1261" s="9"/>
      <c r="H1261" s="257" t="s">
        <v>19427</v>
      </c>
      <c r="I1261" s="9">
        <v>1</v>
      </c>
    </row>
    <row r="1262" spans="1:9">
      <c r="A1262" s="257" t="s">
        <v>2360</v>
      </c>
      <c r="B1262" s="9">
        <v>1</v>
      </c>
      <c r="C1262" s="257" t="s">
        <v>10023</v>
      </c>
      <c r="D1262" s="9">
        <v>-9.1359464822138633E-3</v>
      </c>
      <c r="E1262" s="9"/>
      <c r="F1262" s="257" t="s">
        <v>14467</v>
      </c>
      <c r="G1262" s="9"/>
      <c r="H1262" s="257" t="s">
        <v>19428</v>
      </c>
      <c r="I1262" s="9">
        <v>1</v>
      </c>
    </row>
    <row r="1263" spans="1:9">
      <c r="A1263" s="257" t="s">
        <v>2361</v>
      </c>
      <c r="B1263" s="9">
        <v>1</v>
      </c>
      <c r="C1263" s="257" t="s">
        <v>10023</v>
      </c>
      <c r="D1263" s="9"/>
      <c r="E1263" s="9"/>
      <c r="F1263" s="257" t="s">
        <v>14468</v>
      </c>
      <c r="G1263" s="9"/>
      <c r="H1263" s="257" t="s">
        <v>19429</v>
      </c>
      <c r="I1263" s="9">
        <v>1</v>
      </c>
    </row>
    <row r="1264" spans="1:9">
      <c r="A1264" s="257" t="s">
        <v>2362</v>
      </c>
      <c r="B1264" s="9">
        <v>1</v>
      </c>
      <c r="C1264" s="257" t="s">
        <v>10023</v>
      </c>
      <c r="D1264" s="9"/>
      <c r="E1264" s="9"/>
      <c r="F1264" s="257" t="s">
        <v>14469</v>
      </c>
      <c r="G1264" s="9"/>
      <c r="H1264" s="257" t="s">
        <v>19430</v>
      </c>
      <c r="I1264" s="9">
        <v>1</v>
      </c>
    </row>
    <row r="1265" spans="1:9">
      <c r="A1265" s="257" t="s">
        <v>2363</v>
      </c>
      <c r="B1265" s="9">
        <v>1</v>
      </c>
      <c r="C1265" s="257" t="s">
        <v>10023</v>
      </c>
      <c r="D1265" s="9"/>
      <c r="E1265" s="9"/>
      <c r="F1265" s="257" t="s">
        <v>14470</v>
      </c>
      <c r="G1265" s="9"/>
      <c r="H1265" s="257" t="s">
        <v>19431</v>
      </c>
      <c r="I1265" s="9">
        <v>1</v>
      </c>
    </row>
    <row r="1266" spans="1:9">
      <c r="A1266" s="257" t="s">
        <v>2364</v>
      </c>
      <c r="B1266" s="9">
        <v>1</v>
      </c>
      <c r="C1266" s="257" t="s">
        <v>10023</v>
      </c>
      <c r="D1266" s="9"/>
      <c r="E1266" s="9"/>
      <c r="F1266" s="257" t="s">
        <v>14471</v>
      </c>
      <c r="G1266" s="9"/>
      <c r="H1266" s="257" t="s">
        <v>19432</v>
      </c>
      <c r="I1266" s="9">
        <v>1</v>
      </c>
    </row>
    <row r="1267" spans="1:9">
      <c r="A1267" s="257" t="s">
        <v>2365</v>
      </c>
      <c r="B1267" s="9">
        <v>1</v>
      </c>
      <c r="C1267" s="257" t="s">
        <v>10023</v>
      </c>
      <c r="D1267" s="9"/>
      <c r="E1267" s="9"/>
      <c r="F1267" s="257" t="s">
        <v>14472</v>
      </c>
      <c r="G1267" s="9"/>
      <c r="H1267" s="257" t="s">
        <v>19433</v>
      </c>
      <c r="I1267" s="9">
        <v>1</v>
      </c>
    </row>
    <row r="1268" spans="1:9">
      <c r="A1268" s="257" t="s">
        <v>2366</v>
      </c>
      <c r="B1268" s="9">
        <v>1</v>
      </c>
      <c r="C1268" s="257" t="s">
        <v>10023</v>
      </c>
      <c r="D1268" s="9"/>
      <c r="E1268" s="9"/>
      <c r="F1268" s="257" t="s">
        <v>14473</v>
      </c>
      <c r="G1268" s="9"/>
      <c r="H1268" s="257" t="s">
        <v>19434</v>
      </c>
      <c r="I1268" s="9">
        <v>1</v>
      </c>
    </row>
    <row r="1269" spans="1:9">
      <c r="A1269" s="257" t="s">
        <v>2367</v>
      </c>
      <c r="B1269" s="9">
        <v>1</v>
      </c>
      <c r="C1269" s="257" t="s">
        <v>10023</v>
      </c>
      <c r="D1269" s="9">
        <v>1.8646537230965415E-2</v>
      </c>
      <c r="E1269" s="9"/>
      <c r="F1269" s="257" t="s">
        <v>14474</v>
      </c>
      <c r="G1269" s="9"/>
      <c r="H1269" s="257" t="s">
        <v>19435</v>
      </c>
      <c r="I1269" s="9">
        <v>1</v>
      </c>
    </row>
    <row r="1270" spans="1:9">
      <c r="A1270" s="257" t="s">
        <v>2368</v>
      </c>
      <c r="B1270" s="9">
        <v>1</v>
      </c>
      <c r="C1270" s="257" t="s">
        <v>10023</v>
      </c>
      <c r="D1270" s="9">
        <v>1.5854670130420459E-3</v>
      </c>
      <c r="E1270" s="9"/>
      <c r="F1270" s="257" t="s">
        <v>14475</v>
      </c>
      <c r="G1270" s="9"/>
      <c r="H1270" s="257" t="s">
        <v>19436</v>
      </c>
      <c r="I1270" s="9">
        <v>1</v>
      </c>
    </row>
    <row r="1271" spans="1:9">
      <c r="A1271" s="257" t="s">
        <v>2369</v>
      </c>
      <c r="B1271" s="9">
        <v>1</v>
      </c>
      <c r="C1271" s="257" t="s">
        <v>10023</v>
      </c>
      <c r="D1271" s="9">
        <v>4.7032077114791734E-3</v>
      </c>
      <c r="E1271" s="9"/>
      <c r="F1271" s="257" t="s">
        <v>14476</v>
      </c>
      <c r="G1271" s="9"/>
      <c r="H1271" s="257" t="s">
        <v>19437</v>
      </c>
      <c r="I1271" s="9">
        <v>1</v>
      </c>
    </row>
    <row r="1272" spans="1:9">
      <c r="A1272" s="257" t="s">
        <v>2370</v>
      </c>
      <c r="B1272" s="9">
        <v>1</v>
      </c>
      <c r="C1272" s="257" t="s">
        <v>10023</v>
      </c>
      <c r="D1272" s="9">
        <v>2.0317587843271229E-2</v>
      </c>
      <c r="E1272" s="9"/>
      <c r="F1272" s="257" t="s">
        <v>14477</v>
      </c>
      <c r="G1272" s="9"/>
      <c r="H1272" s="257" t="s">
        <v>19438</v>
      </c>
      <c r="I1272" s="9">
        <v>1</v>
      </c>
    </row>
    <row r="1273" spans="1:9">
      <c r="A1273" s="257" t="s">
        <v>2371</v>
      </c>
      <c r="B1273" s="9">
        <v>1</v>
      </c>
      <c r="C1273" s="257" t="s">
        <v>10023</v>
      </c>
      <c r="D1273" s="9">
        <v>3.2892426279408408E-3</v>
      </c>
      <c r="E1273" s="9"/>
      <c r="F1273" s="257" t="s">
        <v>14478</v>
      </c>
      <c r="G1273" s="9"/>
      <c r="H1273" s="257" t="s">
        <v>19439</v>
      </c>
      <c r="I1273" s="9">
        <v>1</v>
      </c>
    </row>
    <row r="1274" spans="1:9">
      <c r="A1274" s="257" t="s">
        <v>2372</v>
      </c>
      <c r="B1274" s="9">
        <v>1</v>
      </c>
      <c r="C1274" s="257" t="s">
        <v>10023</v>
      </c>
      <c r="D1274" s="9">
        <v>6.0198623402329581E-3</v>
      </c>
      <c r="E1274" s="9"/>
      <c r="F1274" s="257" t="s">
        <v>14479</v>
      </c>
      <c r="G1274" s="9"/>
      <c r="H1274" s="257" t="s">
        <v>19440</v>
      </c>
      <c r="I1274" s="9">
        <v>1</v>
      </c>
    </row>
    <row r="1275" spans="1:9">
      <c r="A1275" s="257" t="s">
        <v>2373</v>
      </c>
      <c r="B1275" s="9">
        <v>1</v>
      </c>
      <c r="C1275" s="257" t="s">
        <v>10023</v>
      </c>
      <c r="D1275" s="9">
        <v>-3.159100601443541E-3</v>
      </c>
      <c r="E1275" s="9"/>
      <c r="F1275" s="257" t="s">
        <v>14480</v>
      </c>
      <c r="G1275" s="9"/>
      <c r="H1275" s="257" t="s">
        <v>19441</v>
      </c>
      <c r="I1275" s="9">
        <v>1</v>
      </c>
    </row>
    <row r="1276" spans="1:9">
      <c r="A1276" s="257" t="s">
        <v>2374</v>
      </c>
      <c r="B1276" s="9">
        <v>1</v>
      </c>
      <c r="C1276" s="257" t="s">
        <v>10023</v>
      </c>
      <c r="D1276" s="9">
        <v>-9.3095832947372378E-3</v>
      </c>
      <c r="E1276" s="9"/>
      <c r="F1276" s="257" t="s">
        <v>14481</v>
      </c>
      <c r="G1276" s="9"/>
      <c r="H1276" s="257" t="s">
        <v>19442</v>
      </c>
      <c r="I1276" s="9">
        <v>1</v>
      </c>
    </row>
    <row r="1277" spans="1:9">
      <c r="A1277" s="257" t="s">
        <v>2375</v>
      </c>
      <c r="B1277" s="9">
        <v>2</v>
      </c>
      <c r="C1277" s="257" t="s">
        <v>10023</v>
      </c>
      <c r="D1277" s="9">
        <v>6.0515493362848826E-3</v>
      </c>
      <c r="E1277" s="9"/>
      <c r="F1277" s="257" t="s">
        <v>14482</v>
      </c>
      <c r="G1277" s="9"/>
      <c r="H1277" s="257" t="s">
        <v>19443</v>
      </c>
      <c r="I1277" s="9">
        <v>1</v>
      </c>
    </row>
    <row r="1278" spans="1:9">
      <c r="A1278" s="257" t="s">
        <v>2376</v>
      </c>
      <c r="B1278" s="9">
        <v>2</v>
      </c>
      <c r="C1278" s="257" t="s">
        <v>10023</v>
      </c>
      <c r="D1278" s="9">
        <v>6.0515493362848826E-3</v>
      </c>
      <c r="E1278" s="9"/>
      <c r="F1278" s="257" t="s">
        <v>14483</v>
      </c>
      <c r="G1278" s="9"/>
      <c r="H1278" s="257" t="s">
        <v>19444</v>
      </c>
      <c r="I1278" s="9">
        <v>1</v>
      </c>
    </row>
    <row r="1279" spans="1:9">
      <c r="A1279" s="257" t="s">
        <v>2377</v>
      </c>
      <c r="B1279" s="9">
        <v>2</v>
      </c>
      <c r="C1279" s="257" t="s">
        <v>10023</v>
      </c>
      <c r="D1279" s="9">
        <v>5.6365738098876706E-3</v>
      </c>
      <c r="E1279" s="9"/>
      <c r="F1279" s="257" t="s">
        <v>14484</v>
      </c>
      <c r="G1279" s="9"/>
      <c r="H1279" s="257" t="s">
        <v>19445</v>
      </c>
      <c r="I1279" s="9">
        <v>1</v>
      </c>
    </row>
    <row r="1280" spans="1:9">
      <c r="A1280" s="257" t="s">
        <v>2378</v>
      </c>
      <c r="B1280" s="9">
        <v>2</v>
      </c>
      <c r="C1280" s="257" t="s">
        <v>10023</v>
      </c>
      <c r="D1280" s="9"/>
      <c r="E1280" s="9"/>
      <c r="F1280" s="257" t="s">
        <v>14485</v>
      </c>
      <c r="G1280" s="9"/>
      <c r="H1280" s="257" t="s">
        <v>19446</v>
      </c>
      <c r="I1280" s="9">
        <v>1</v>
      </c>
    </row>
    <row r="1281" spans="1:9">
      <c r="A1281" s="257" t="s">
        <v>2379</v>
      </c>
      <c r="B1281" s="9">
        <v>2</v>
      </c>
      <c r="C1281" s="257" t="s">
        <v>10023</v>
      </c>
      <c r="D1281" s="9"/>
      <c r="E1281" s="9"/>
      <c r="F1281" s="257" t="s">
        <v>14486</v>
      </c>
      <c r="G1281" s="9"/>
      <c r="H1281" s="257" t="s">
        <v>19447</v>
      </c>
      <c r="I1281" s="9">
        <v>1</v>
      </c>
    </row>
    <row r="1282" spans="1:9">
      <c r="A1282" s="257" t="s">
        <v>2380</v>
      </c>
      <c r="B1282" s="9">
        <v>2</v>
      </c>
      <c r="C1282" s="257" t="s">
        <v>10023</v>
      </c>
      <c r="D1282" s="9">
        <v>1.1688123146172553E-2</v>
      </c>
      <c r="E1282" s="9"/>
      <c r="F1282" s="257" t="s">
        <v>14487</v>
      </c>
      <c r="G1282" s="9"/>
      <c r="H1282" s="257" t="s">
        <v>19448</v>
      </c>
      <c r="I1282" s="9">
        <v>1</v>
      </c>
    </row>
    <row r="1283" spans="1:9">
      <c r="A1283" s="257" t="s">
        <v>2381</v>
      </c>
      <c r="B1283" s="9">
        <v>2</v>
      </c>
      <c r="C1283" s="257" t="s">
        <v>10023</v>
      </c>
      <c r="D1283" s="9">
        <v>1.1688123146172553E-2</v>
      </c>
      <c r="E1283" s="9"/>
      <c r="F1283" s="257" t="s">
        <v>14488</v>
      </c>
      <c r="G1283" s="9"/>
      <c r="H1283" s="257" t="s">
        <v>19449</v>
      </c>
      <c r="I1283" s="9">
        <v>1</v>
      </c>
    </row>
    <row r="1284" spans="1:9">
      <c r="A1284" s="257" t="s">
        <v>2382</v>
      </c>
      <c r="B1284" s="9">
        <v>2</v>
      </c>
      <c r="C1284" s="257" t="s">
        <v>10023</v>
      </c>
      <c r="D1284" s="9">
        <v>1.1688123146172553E-2</v>
      </c>
      <c r="E1284" s="9"/>
      <c r="F1284" s="257" t="s">
        <v>14489</v>
      </c>
      <c r="G1284" s="9"/>
      <c r="H1284" s="257" t="s">
        <v>19450</v>
      </c>
      <c r="I1284" s="9">
        <v>1</v>
      </c>
    </row>
    <row r="1285" spans="1:9">
      <c r="A1285" s="257" t="s">
        <v>2383</v>
      </c>
      <c r="B1285" s="9">
        <v>2</v>
      </c>
      <c r="C1285" s="257" t="s">
        <v>10023</v>
      </c>
      <c r="D1285" s="9">
        <v>1.358179120828381E-2</v>
      </c>
      <c r="E1285" s="9"/>
      <c r="F1285" s="257" t="s">
        <v>14490</v>
      </c>
      <c r="G1285" s="9"/>
      <c r="H1285" s="257" t="s">
        <v>19451</v>
      </c>
      <c r="I1285" s="9">
        <v>1</v>
      </c>
    </row>
    <row r="1286" spans="1:9">
      <c r="A1286" s="257" t="s">
        <v>2384</v>
      </c>
      <c r="B1286" s="9">
        <v>2</v>
      </c>
      <c r="C1286" s="257" t="s">
        <v>10023</v>
      </c>
      <c r="D1286" s="9">
        <v>1.358179120828381E-2</v>
      </c>
      <c r="E1286" s="9"/>
      <c r="F1286" s="257" t="s">
        <v>14491</v>
      </c>
      <c r="G1286" s="9"/>
      <c r="H1286" s="257" t="s">
        <v>19452</v>
      </c>
      <c r="I1286" s="9">
        <v>1</v>
      </c>
    </row>
    <row r="1287" spans="1:9">
      <c r="A1287" s="257" t="s">
        <v>2385</v>
      </c>
      <c r="B1287" s="9">
        <v>2</v>
      </c>
      <c r="C1287" s="257" t="s">
        <v>10023</v>
      </c>
      <c r="D1287" s="9">
        <v>-8.0334601948722703E-3</v>
      </c>
      <c r="E1287" s="9"/>
      <c r="F1287" s="257" t="s">
        <v>14492</v>
      </c>
      <c r="G1287" s="9"/>
      <c r="H1287" s="257" t="s">
        <v>19453</v>
      </c>
      <c r="I1287" s="9">
        <v>1</v>
      </c>
    </row>
    <row r="1288" spans="1:9">
      <c r="A1288" s="257" t="s">
        <v>2386</v>
      </c>
      <c r="B1288" s="9">
        <v>2</v>
      </c>
      <c r="C1288" s="257" t="s">
        <v>10023</v>
      </c>
      <c r="D1288" s="9"/>
      <c r="E1288" s="9"/>
      <c r="F1288" s="257" t="s">
        <v>14493</v>
      </c>
      <c r="G1288" s="9"/>
      <c r="H1288" s="257" t="s">
        <v>19454</v>
      </c>
      <c r="I1288" s="9">
        <v>1</v>
      </c>
    </row>
    <row r="1289" spans="1:9">
      <c r="A1289" s="257" t="s">
        <v>2387</v>
      </c>
      <c r="B1289" s="9">
        <v>2</v>
      </c>
      <c r="C1289" s="257" t="s">
        <v>10023</v>
      </c>
      <c r="D1289" s="9"/>
      <c r="E1289" s="9"/>
      <c r="F1289" s="257" t="s">
        <v>14494</v>
      </c>
      <c r="G1289" s="9"/>
      <c r="H1289" s="257" t="s">
        <v>19455</v>
      </c>
      <c r="I1289" s="9">
        <v>1</v>
      </c>
    </row>
    <row r="1290" spans="1:9">
      <c r="A1290" s="257" t="s">
        <v>2388</v>
      </c>
      <c r="B1290" s="9">
        <v>2</v>
      </c>
      <c r="C1290" s="257" t="s">
        <v>10023</v>
      </c>
      <c r="D1290" s="9"/>
      <c r="E1290" s="9"/>
      <c r="F1290" s="257" t="s">
        <v>14495</v>
      </c>
      <c r="G1290" s="9"/>
      <c r="H1290" s="257" t="s">
        <v>19456</v>
      </c>
      <c r="I1290" s="9">
        <v>1</v>
      </c>
    </row>
    <row r="1291" spans="1:9">
      <c r="A1291" s="257" t="s">
        <v>2389</v>
      </c>
      <c r="B1291" s="9">
        <v>2</v>
      </c>
      <c r="C1291" s="257" t="s">
        <v>10023</v>
      </c>
      <c r="D1291" s="9"/>
      <c r="E1291" s="9"/>
      <c r="F1291" s="257" t="s">
        <v>14496</v>
      </c>
      <c r="G1291" s="9"/>
      <c r="H1291" s="257" t="s">
        <v>19457</v>
      </c>
      <c r="I1291" s="9">
        <v>1</v>
      </c>
    </row>
    <row r="1292" spans="1:9">
      <c r="A1292" s="257" t="s">
        <v>2390</v>
      </c>
      <c r="B1292" s="9">
        <v>2</v>
      </c>
      <c r="C1292" s="257" t="s">
        <v>10023</v>
      </c>
      <c r="D1292" s="9"/>
      <c r="E1292" s="9"/>
      <c r="F1292" s="257" t="s">
        <v>14497</v>
      </c>
      <c r="G1292" s="9"/>
      <c r="H1292" s="257" t="s">
        <v>19458</v>
      </c>
      <c r="I1292" s="9">
        <v>1</v>
      </c>
    </row>
    <row r="1293" spans="1:9">
      <c r="A1293" s="257" t="s">
        <v>2391</v>
      </c>
      <c r="B1293" s="9">
        <v>2</v>
      </c>
      <c r="C1293" s="257" t="s">
        <v>10023</v>
      </c>
      <c r="D1293" s="9"/>
      <c r="E1293" s="9"/>
      <c r="F1293" s="257" t="s">
        <v>14498</v>
      </c>
      <c r="G1293" s="9"/>
      <c r="H1293" s="257" t="s">
        <v>19459</v>
      </c>
      <c r="I1293" s="9">
        <v>1</v>
      </c>
    </row>
    <row r="1294" spans="1:9">
      <c r="A1294" s="257" t="s">
        <v>2392</v>
      </c>
      <c r="B1294" s="9">
        <v>2</v>
      </c>
      <c r="C1294" s="257" t="s">
        <v>10023</v>
      </c>
      <c r="D1294" s="9">
        <v>1.6639703040210795E-2</v>
      </c>
      <c r="E1294" s="9"/>
      <c r="F1294" s="257" t="s">
        <v>14499</v>
      </c>
      <c r="G1294" s="9"/>
      <c r="H1294" s="257" t="s">
        <v>19460</v>
      </c>
      <c r="I1294" s="9">
        <v>1</v>
      </c>
    </row>
    <row r="1295" spans="1:9">
      <c r="A1295" s="257" t="s">
        <v>2393</v>
      </c>
      <c r="B1295" s="9">
        <v>2</v>
      </c>
      <c r="C1295" s="257" t="s">
        <v>10023</v>
      </c>
      <c r="D1295" s="9">
        <v>1.7168898408505401E-3</v>
      </c>
      <c r="E1295" s="9"/>
      <c r="F1295" s="257" t="s">
        <v>14500</v>
      </c>
      <c r="G1295" s="9"/>
      <c r="H1295" s="257" t="s">
        <v>19461</v>
      </c>
      <c r="I1295" s="9">
        <v>1</v>
      </c>
    </row>
    <row r="1296" spans="1:9">
      <c r="A1296" s="257" t="s">
        <v>2394</v>
      </c>
      <c r="B1296" s="9">
        <v>2</v>
      </c>
      <c r="C1296" s="257" t="s">
        <v>10023</v>
      </c>
      <c r="D1296" s="9">
        <v>6.1713638539413829E-3</v>
      </c>
      <c r="E1296" s="9"/>
      <c r="F1296" s="257" t="s">
        <v>14501</v>
      </c>
      <c r="G1296" s="9"/>
      <c r="H1296" s="257" t="s">
        <v>19462</v>
      </c>
      <c r="I1296" s="9">
        <v>1</v>
      </c>
    </row>
    <row r="1297" spans="1:9">
      <c r="A1297" s="257" t="s">
        <v>2395</v>
      </c>
      <c r="B1297" s="9">
        <v>2</v>
      </c>
      <c r="C1297" s="257" t="s">
        <v>10023</v>
      </c>
      <c r="D1297" s="9">
        <v>1.7729499005571761E-2</v>
      </c>
      <c r="E1297" s="9"/>
      <c r="F1297" s="257" t="s">
        <v>14502</v>
      </c>
      <c r="G1297" s="9"/>
      <c r="H1297" s="257" t="s">
        <v>19463</v>
      </c>
      <c r="I1297" s="9">
        <v>1</v>
      </c>
    </row>
    <row r="1298" spans="1:9">
      <c r="A1298" s="257" t="s">
        <v>2396</v>
      </c>
      <c r="B1298" s="9">
        <v>2</v>
      </c>
      <c r="C1298" s="257" t="s">
        <v>10023</v>
      </c>
      <c r="D1298" s="9">
        <v>3.6028599332093313E-3</v>
      </c>
      <c r="E1298" s="9"/>
      <c r="F1298" s="257" t="s">
        <v>14503</v>
      </c>
      <c r="G1298" s="9"/>
      <c r="H1298" s="257" t="s">
        <v>19464</v>
      </c>
      <c r="I1298" s="9">
        <v>1</v>
      </c>
    </row>
    <row r="1299" spans="1:9">
      <c r="A1299" s="257" t="s">
        <v>2397</v>
      </c>
      <c r="B1299" s="9">
        <v>2</v>
      </c>
      <c r="C1299" s="257" t="s">
        <v>10023</v>
      </c>
      <c r="D1299" s="9">
        <v>7.4104273543424276E-3</v>
      </c>
      <c r="E1299" s="9"/>
      <c r="F1299" s="257" t="s">
        <v>14504</v>
      </c>
      <c r="G1299" s="9"/>
      <c r="H1299" s="257" t="s">
        <v>19465</v>
      </c>
      <c r="I1299" s="9">
        <v>1</v>
      </c>
    </row>
    <row r="1300" spans="1:9">
      <c r="A1300" s="257" t="s">
        <v>2398</v>
      </c>
      <c r="B1300" s="9">
        <v>2</v>
      </c>
      <c r="C1300" s="257" t="s">
        <v>10023</v>
      </c>
      <c r="D1300" s="9">
        <v>-4.0561424065831738E-3</v>
      </c>
      <c r="E1300" s="9"/>
      <c r="F1300" s="257" t="s">
        <v>14505</v>
      </c>
      <c r="G1300" s="9"/>
      <c r="H1300" s="257" t="s">
        <v>19466</v>
      </c>
      <c r="I1300" s="9">
        <v>1</v>
      </c>
    </row>
    <row r="1301" spans="1:9">
      <c r="A1301" s="257" t="s">
        <v>2399</v>
      </c>
      <c r="B1301" s="9">
        <v>2</v>
      </c>
      <c r="C1301" s="257" t="s">
        <v>10023</v>
      </c>
      <c r="D1301" s="9">
        <v>-8.259744654260508E-3</v>
      </c>
      <c r="E1301" s="9"/>
      <c r="F1301" s="257" t="s">
        <v>14506</v>
      </c>
      <c r="G1301" s="9"/>
      <c r="H1301" s="257" t="s">
        <v>19467</v>
      </c>
      <c r="I1301" s="9">
        <v>1</v>
      </c>
    </row>
    <row r="1302" spans="1:9">
      <c r="A1302" s="257" t="s">
        <v>2400</v>
      </c>
      <c r="B1302" s="9">
        <v>3</v>
      </c>
      <c r="C1302" s="257" t="s">
        <v>10023</v>
      </c>
      <c r="D1302" s="9">
        <v>7.4800499724115297E-3</v>
      </c>
      <c r="E1302" s="9"/>
      <c r="F1302" s="257" t="s">
        <v>14507</v>
      </c>
      <c r="G1302" s="9"/>
      <c r="H1302" s="257" t="s">
        <v>19468</v>
      </c>
      <c r="I1302" s="9">
        <v>1</v>
      </c>
    </row>
    <row r="1303" spans="1:9">
      <c r="A1303" s="257" t="s">
        <v>2401</v>
      </c>
      <c r="B1303" s="9">
        <v>3</v>
      </c>
      <c r="C1303" s="257" t="s">
        <v>10023</v>
      </c>
      <c r="D1303" s="9">
        <v>7.4800499724115297E-3</v>
      </c>
      <c r="E1303" s="9"/>
      <c r="F1303" s="257" t="s">
        <v>14508</v>
      </c>
      <c r="G1303" s="9"/>
      <c r="H1303" s="257" t="s">
        <v>19469</v>
      </c>
      <c r="I1303" s="9">
        <v>1</v>
      </c>
    </row>
    <row r="1304" spans="1:9">
      <c r="A1304" s="257" t="s">
        <v>2402</v>
      </c>
      <c r="B1304" s="9">
        <v>3</v>
      </c>
      <c r="C1304" s="257" t="s">
        <v>10023</v>
      </c>
      <c r="D1304" s="9">
        <v>5.2980348805541887E-3</v>
      </c>
      <c r="E1304" s="9"/>
      <c r="F1304" s="257" t="s">
        <v>14509</v>
      </c>
      <c r="G1304" s="9"/>
      <c r="H1304" s="257" t="s">
        <v>19470</v>
      </c>
      <c r="I1304" s="9">
        <v>1</v>
      </c>
    </row>
    <row r="1305" spans="1:9">
      <c r="A1305" s="257" t="s">
        <v>2403</v>
      </c>
      <c r="B1305" s="9">
        <v>3</v>
      </c>
      <c r="C1305" s="257" t="s">
        <v>10023</v>
      </c>
      <c r="D1305" s="9"/>
      <c r="E1305" s="9"/>
      <c r="F1305" s="257" t="s">
        <v>14510</v>
      </c>
      <c r="G1305" s="9"/>
      <c r="H1305" s="257" t="s">
        <v>19471</v>
      </c>
      <c r="I1305" s="9">
        <v>1</v>
      </c>
    </row>
    <row r="1306" spans="1:9">
      <c r="A1306" s="257" t="s">
        <v>2404</v>
      </c>
      <c r="B1306" s="9">
        <v>3</v>
      </c>
      <c r="C1306" s="257" t="s">
        <v>10023</v>
      </c>
      <c r="D1306" s="9"/>
      <c r="E1306" s="9"/>
      <c r="F1306" s="257" t="s">
        <v>14511</v>
      </c>
      <c r="G1306" s="9"/>
      <c r="H1306" s="257" t="s">
        <v>19472</v>
      </c>
      <c r="I1306" s="9">
        <v>1</v>
      </c>
    </row>
    <row r="1307" spans="1:9">
      <c r="A1307" s="257" t="s">
        <v>2405</v>
      </c>
      <c r="B1307" s="9">
        <v>3</v>
      </c>
      <c r="C1307" s="257" t="s">
        <v>10023</v>
      </c>
      <c r="D1307" s="9">
        <v>1.2778084852965719E-2</v>
      </c>
      <c r="E1307" s="9"/>
      <c r="F1307" s="257" t="s">
        <v>14512</v>
      </c>
      <c r="G1307" s="9"/>
      <c r="H1307" s="257" t="s">
        <v>19473</v>
      </c>
      <c r="I1307" s="9">
        <v>1</v>
      </c>
    </row>
    <row r="1308" spans="1:9">
      <c r="A1308" s="257" t="s">
        <v>2406</v>
      </c>
      <c r="B1308" s="9">
        <v>3</v>
      </c>
      <c r="C1308" s="257" t="s">
        <v>10023</v>
      </c>
      <c r="D1308" s="9">
        <v>1.2778084852965719E-2</v>
      </c>
      <c r="E1308" s="9"/>
      <c r="F1308" s="257" t="s">
        <v>14513</v>
      </c>
      <c r="G1308" s="9"/>
      <c r="H1308" s="257" t="s">
        <v>19474</v>
      </c>
      <c r="I1308" s="9">
        <v>1</v>
      </c>
    </row>
    <row r="1309" spans="1:9">
      <c r="A1309" s="257" t="s">
        <v>2407</v>
      </c>
      <c r="B1309" s="9">
        <v>3</v>
      </c>
      <c r="C1309" s="257" t="s">
        <v>10023</v>
      </c>
      <c r="D1309" s="9">
        <v>1.2778084852965719E-2</v>
      </c>
      <c r="E1309" s="9"/>
      <c r="F1309" s="257" t="s">
        <v>14514</v>
      </c>
      <c r="G1309" s="9"/>
      <c r="H1309" s="257" t="s">
        <v>19475</v>
      </c>
      <c r="I1309" s="9">
        <v>1</v>
      </c>
    </row>
    <row r="1310" spans="1:9">
      <c r="A1310" s="257" t="s">
        <v>2408</v>
      </c>
      <c r="B1310" s="9">
        <v>3</v>
      </c>
      <c r="C1310" s="257" t="s">
        <v>10023</v>
      </c>
      <c r="D1310" s="9">
        <v>1.4479918854156774E-2</v>
      </c>
      <c r="E1310" s="9"/>
      <c r="F1310" s="257" t="s">
        <v>14515</v>
      </c>
      <c r="G1310" s="9"/>
      <c r="H1310" s="257" t="s">
        <v>19476</v>
      </c>
      <c r="I1310" s="9">
        <v>1</v>
      </c>
    </row>
    <row r="1311" spans="1:9">
      <c r="A1311" s="257" t="s">
        <v>2409</v>
      </c>
      <c r="B1311" s="9">
        <v>3</v>
      </c>
      <c r="C1311" s="257" t="s">
        <v>10023</v>
      </c>
      <c r="D1311" s="9">
        <v>1.4479918854156774E-2</v>
      </c>
      <c r="E1311" s="9"/>
      <c r="F1311" s="257" t="s">
        <v>14516</v>
      </c>
      <c r="G1311" s="9"/>
      <c r="H1311" s="257" t="s">
        <v>19477</v>
      </c>
      <c r="I1311" s="9">
        <v>1</v>
      </c>
    </row>
    <row r="1312" spans="1:9">
      <c r="A1312" s="257" t="s">
        <v>2410</v>
      </c>
      <c r="B1312" s="9">
        <v>3</v>
      </c>
      <c r="C1312" s="257" t="s">
        <v>10023</v>
      </c>
      <c r="D1312" s="9">
        <v>-4.9342195272830871E-3</v>
      </c>
      <c r="E1312" s="9"/>
      <c r="F1312" s="257" t="s">
        <v>14517</v>
      </c>
      <c r="G1312" s="9"/>
      <c r="H1312" s="257" t="s">
        <v>19478</v>
      </c>
      <c r="I1312" s="9">
        <v>1</v>
      </c>
    </row>
    <row r="1313" spans="1:9">
      <c r="A1313" s="257" t="s">
        <v>2411</v>
      </c>
      <c r="B1313" s="9">
        <v>3</v>
      </c>
      <c r="C1313" s="257" t="s">
        <v>10023</v>
      </c>
      <c r="D1313" s="9"/>
      <c r="E1313" s="9"/>
      <c r="F1313" s="257" t="s">
        <v>14518</v>
      </c>
      <c r="G1313" s="9"/>
      <c r="H1313" s="257" t="s">
        <v>19479</v>
      </c>
      <c r="I1313" s="9">
        <v>1</v>
      </c>
    </row>
    <row r="1314" spans="1:9">
      <c r="A1314" s="257" t="s">
        <v>2412</v>
      </c>
      <c r="B1314" s="9">
        <v>3</v>
      </c>
      <c r="C1314" s="257" t="s">
        <v>10023</v>
      </c>
      <c r="D1314" s="9"/>
      <c r="E1314" s="9"/>
      <c r="F1314" s="257" t="s">
        <v>14519</v>
      </c>
      <c r="G1314" s="9"/>
      <c r="H1314" s="257" t="s">
        <v>19480</v>
      </c>
      <c r="I1314" s="9">
        <v>1</v>
      </c>
    </row>
    <row r="1315" spans="1:9">
      <c r="A1315" s="257" t="s">
        <v>2413</v>
      </c>
      <c r="B1315" s="9">
        <v>3</v>
      </c>
      <c r="C1315" s="257" t="s">
        <v>10023</v>
      </c>
      <c r="D1315" s="9"/>
      <c r="E1315" s="9"/>
      <c r="F1315" s="257" t="s">
        <v>14520</v>
      </c>
      <c r="G1315" s="9"/>
      <c r="H1315" s="257" t="s">
        <v>19481</v>
      </c>
      <c r="I1315" s="9">
        <v>1</v>
      </c>
    </row>
    <row r="1316" spans="1:9">
      <c r="A1316" s="257" t="s">
        <v>2414</v>
      </c>
      <c r="B1316" s="9">
        <v>3</v>
      </c>
      <c r="C1316" s="257" t="s">
        <v>10023</v>
      </c>
      <c r="D1316" s="9"/>
      <c r="E1316" s="9"/>
      <c r="F1316" s="257" t="s">
        <v>14521</v>
      </c>
      <c r="G1316" s="9"/>
      <c r="H1316" s="257" t="s">
        <v>19482</v>
      </c>
      <c r="I1316" s="9">
        <v>1</v>
      </c>
    </row>
    <row r="1317" spans="1:9">
      <c r="A1317" s="257" t="s">
        <v>2415</v>
      </c>
      <c r="B1317" s="9">
        <v>3</v>
      </c>
      <c r="C1317" s="257" t="s">
        <v>10023</v>
      </c>
      <c r="D1317" s="9"/>
      <c r="E1317" s="9"/>
      <c r="F1317" s="257" t="s">
        <v>14522</v>
      </c>
      <c r="G1317" s="9"/>
      <c r="H1317" s="257" t="s">
        <v>19483</v>
      </c>
      <c r="I1317" s="9">
        <v>1</v>
      </c>
    </row>
    <row r="1318" spans="1:9">
      <c r="A1318" s="257" t="s">
        <v>2416</v>
      </c>
      <c r="B1318" s="9">
        <v>3</v>
      </c>
      <c r="C1318" s="257" t="s">
        <v>10023</v>
      </c>
      <c r="D1318" s="9"/>
      <c r="E1318" s="9"/>
      <c r="F1318" s="257" t="s">
        <v>14523</v>
      </c>
      <c r="G1318" s="9"/>
      <c r="H1318" s="257" t="s">
        <v>19484</v>
      </c>
      <c r="I1318" s="9">
        <v>1</v>
      </c>
    </row>
    <row r="1319" spans="1:9">
      <c r="A1319" s="257" t="s">
        <v>2417</v>
      </c>
      <c r="B1319" s="9">
        <v>3</v>
      </c>
      <c r="C1319" s="257" t="s">
        <v>10023</v>
      </c>
      <c r="D1319" s="9">
        <v>1.6847763201693632E-2</v>
      </c>
      <c r="E1319" s="9"/>
      <c r="F1319" s="257" t="s">
        <v>14524</v>
      </c>
      <c r="G1319" s="9"/>
      <c r="H1319" s="257" t="s">
        <v>19485</v>
      </c>
      <c r="I1319" s="9">
        <v>1</v>
      </c>
    </row>
    <row r="1320" spans="1:9">
      <c r="A1320" s="257" t="s">
        <v>2418</v>
      </c>
      <c r="B1320" s="9">
        <v>3</v>
      </c>
      <c r="C1320" s="257" t="s">
        <v>10023</v>
      </c>
      <c r="D1320" s="9">
        <v>1.726251399049285E-3</v>
      </c>
      <c r="E1320" s="9"/>
      <c r="F1320" s="257" t="s">
        <v>14525</v>
      </c>
      <c r="G1320" s="9"/>
      <c r="H1320" s="257" t="s">
        <v>19486</v>
      </c>
      <c r="I1320" s="9">
        <v>1</v>
      </c>
    </row>
    <row r="1321" spans="1:9">
      <c r="A1321" s="257" t="s">
        <v>2419</v>
      </c>
      <c r="B1321" s="9">
        <v>3</v>
      </c>
      <c r="C1321" s="257" t="s">
        <v>10023</v>
      </c>
      <c r="D1321" s="9">
        <v>7.648169931922741E-3</v>
      </c>
      <c r="E1321" s="9"/>
      <c r="F1321" s="257" t="s">
        <v>14526</v>
      </c>
      <c r="G1321" s="9"/>
      <c r="H1321" s="257" t="s">
        <v>19487</v>
      </c>
      <c r="I1321" s="9">
        <v>1</v>
      </c>
    </row>
    <row r="1322" spans="1:9">
      <c r="A1322" s="257" t="s">
        <v>2420</v>
      </c>
      <c r="B1322" s="9">
        <v>3</v>
      </c>
      <c r="C1322" s="257" t="s">
        <v>10023</v>
      </c>
      <c r="D1322" s="9">
        <v>9.7659714268553705E-3</v>
      </c>
      <c r="E1322" s="9"/>
      <c r="F1322" s="257" t="s">
        <v>14527</v>
      </c>
      <c r="G1322" s="9"/>
      <c r="H1322" s="257" t="s">
        <v>19488</v>
      </c>
      <c r="I1322" s="9">
        <v>1</v>
      </c>
    </row>
    <row r="1323" spans="1:9">
      <c r="A1323" s="257" t="s">
        <v>2421</v>
      </c>
      <c r="B1323" s="9">
        <v>3</v>
      </c>
      <c r="C1323" s="257" t="s">
        <v>10023</v>
      </c>
      <c r="D1323" s="9">
        <v>3.6705643966509385E-3</v>
      </c>
      <c r="E1323" s="9"/>
      <c r="F1323" s="257" t="s">
        <v>14528</v>
      </c>
      <c r="G1323" s="9"/>
      <c r="H1323" s="257" t="s">
        <v>19489</v>
      </c>
      <c r="I1323" s="9">
        <v>1</v>
      </c>
    </row>
    <row r="1324" spans="1:9">
      <c r="A1324" s="257" t="s">
        <v>2422</v>
      </c>
      <c r="B1324" s="9">
        <v>3</v>
      </c>
      <c r="C1324" s="257" t="s">
        <v>10023</v>
      </c>
      <c r="D1324" s="9">
        <v>6.8317489222340317E-3</v>
      </c>
      <c r="E1324" s="9"/>
      <c r="F1324" s="257" t="s">
        <v>14529</v>
      </c>
      <c r="G1324" s="9"/>
      <c r="H1324" s="257" t="s">
        <v>19490</v>
      </c>
      <c r="I1324" s="9">
        <v>1</v>
      </c>
    </row>
    <row r="1325" spans="1:9">
      <c r="A1325" s="257" t="s">
        <v>2423</v>
      </c>
      <c r="B1325" s="9">
        <v>3</v>
      </c>
      <c r="C1325" s="257" t="s">
        <v>10023</v>
      </c>
      <c r="D1325" s="9">
        <v>-3.6818582832656723E-3</v>
      </c>
      <c r="E1325" s="9"/>
      <c r="F1325" s="257" t="s">
        <v>14530</v>
      </c>
      <c r="G1325" s="9"/>
      <c r="H1325" s="257" t="s">
        <v>19491</v>
      </c>
      <c r="I1325" s="9">
        <v>1</v>
      </c>
    </row>
    <row r="1326" spans="1:9">
      <c r="A1326" s="257" t="s">
        <v>2424</v>
      </c>
      <c r="B1326" s="9">
        <v>3</v>
      </c>
      <c r="C1326" s="257" t="s">
        <v>10023</v>
      </c>
      <c r="D1326" s="9">
        <v>-4.7381629850441658E-3</v>
      </c>
      <c r="E1326" s="9"/>
      <c r="F1326" s="257" t="s">
        <v>14531</v>
      </c>
      <c r="G1326" s="9"/>
      <c r="H1326" s="257" t="s">
        <v>19492</v>
      </c>
      <c r="I1326" s="9">
        <v>1</v>
      </c>
    </row>
    <row r="1327" spans="1:9">
      <c r="A1327" s="257" t="s">
        <v>2425</v>
      </c>
      <c r="B1327" s="9">
        <v>4</v>
      </c>
      <c r="C1327" s="257" t="s">
        <v>10023</v>
      </c>
      <c r="D1327" s="9">
        <v>9.091629882304806E-3</v>
      </c>
      <c r="E1327" s="9"/>
      <c r="F1327" s="257" t="s">
        <v>14532</v>
      </c>
      <c r="G1327" s="9"/>
      <c r="H1327" s="257" t="s">
        <v>19493</v>
      </c>
      <c r="I1327" s="9">
        <v>1</v>
      </c>
    </row>
    <row r="1328" spans="1:9">
      <c r="A1328" s="257" t="s">
        <v>2426</v>
      </c>
      <c r="B1328" s="9">
        <v>4</v>
      </c>
      <c r="C1328" s="257" t="s">
        <v>10023</v>
      </c>
      <c r="D1328" s="9">
        <v>9.091629882304806E-3</v>
      </c>
      <c r="E1328" s="9"/>
      <c r="F1328" s="257" t="s">
        <v>14533</v>
      </c>
      <c r="G1328" s="9"/>
      <c r="H1328" s="257" t="s">
        <v>19494</v>
      </c>
      <c r="I1328" s="9">
        <v>1</v>
      </c>
    </row>
    <row r="1329" spans="1:9">
      <c r="A1329" s="257" t="s">
        <v>2427</v>
      </c>
      <c r="B1329" s="9">
        <v>4</v>
      </c>
      <c r="C1329" s="257" t="s">
        <v>10023</v>
      </c>
      <c r="D1329" s="9">
        <v>5.7053693849708842E-3</v>
      </c>
      <c r="E1329" s="9"/>
      <c r="F1329" s="257" t="s">
        <v>14534</v>
      </c>
      <c r="G1329" s="9"/>
      <c r="H1329" s="257" t="s">
        <v>19495</v>
      </c>
      <c r="I1329" s="9">
        <v>1</v>
      </c>
    </row>
    <row r="1330" spans="1:9">
      <c r="A1330" s="257" t="s">
        <v>2428</v>
      </c>
      <c r="B1330" s="9">
        <v>4</v>
      </c>
      <c r="C1330" s="257" t="s">
        <v>10023</v>
      </c>
      <c r="D1330" s="9"/>
      <c r="E1330" s="9"/>
      <c r="F1330" s="257" t="s">
        <v>14535</v>
      </c>
      <c r="G1330" s="9"/>
      <c r="H1330" s="257" t="s">
        <v>19496</v>
      </c>
      <c r="I1330" s="9">
        <v>1</v>
      </c>
    </row>
    <row r="1331" spans="1:9">
      <c r="A1331" s="257" t="s">
        <v>2429</v>
      </c>
      <c r="B1331" s="9">
        <v>4</v>
      </c>
      <c r="C1331" s="257" t="s">
        <v>10023</v>
      </c>
      <c r="D1331" s="9"/>
      <c r="E1331" s="9"/>
      <c r="F1331" s="257" t="s">
        <v>14536</v>
      </c>
      <c r="G1331" s="9"/>
      <c r="H1331" s="257" t="s">
        <v>19497</v>
      </c>
      <c r="I1331" s="9">
        <v>1</v>
      </c>
    </row>
    <row r="1332" spans="1:9">
      <c r="A1332" s="257" t="s">
        <v>2430</v>
      </c>
      <c r="B1332" s="9">
        <v>4</v>
      </c>
      <c r="C1332" s="257" t="s">
        <v>10023</v>
      </c>
      <c r="D1332" s="9">
        <v>1.4796999267275691E-2</v>
      </c>
      <c r="E1332" s="9"/>
      <c r="F1332" s="257" t="s">
        <v>14537</v>
      </c>
      <c r="G1332" s="9"/>
      <c r="H1332" s="257" t="s">
        <v>19498</v>
      </c>
      <c r="I1332" s="9">
        <v>1</v>
      </c>
    </row>
    <row r="1333" spans="1:9">
      <c r="A1333" s="257" t="s">
        <v>2431</v>
      </c>
      <c r="B1333" s="9">
        <v>4</v>
      </c>
      <c r="C1333" s="257" t="s">
        <v>10023</v>
      </c>
      <c r="D1333" s="9">
        <v>1.4796999267275691E-2</v>
      </c>
      <c r="E1333" s="9"/>
      <c r="F1333" s="257" t="s">
        <v>14538</v>
      </c>
      <c r="G1333" s="9"/>
      <c r="H1333" s="257" t="s">
        <v>19499</v>
      </c>
      <c r="I1333" s="9">
        <v>1</v>
      </c>
    </row>
    <row r="1334" spans="1:9">
      <c r="A1334" s="257" t="s">
        <v>2432</v>
      </c>
      <c r="B1334" s="9">
        <v>4</v>
      </c>
      <c r="C1334" s="257" t="s">
        <v>10023</v>
      </c>
      <c r="D1334" s="9">
        <v>1.4796999267275691E-2</v>
      </c>
      <c r="E1334" s="9"/>
      <c r="F1334" s="257" t="s">
        <v>14539</v>
      </c>
      <c r="G1334" s="9"/>
      <c r="H1334" s="257" t="s">
        <v>19500</v>
      </c>
      <c r="I1334" s="9">
        <v>1</v>
      </c>
    </row>
    <row r="1335" spans="1:9">
      <c r="A1335" s="257" t="s">
        <v>2433</v>
      </c>
      <c r="B1335" s="9">
        <v>4</v>
      </c>
      <c r="C1335" s="257" t="s">
        <v>10023</v>
      </c>
      <c r="D1335" s="9">
        <v>1.6639129851506878E-2</v>
      </c>
      <c r="E1335" s="9"/>
      <c r="F1335" s="257" t="s">
        <v>14540</v>
      </c>
      <c r="G1335" s="9"/>
      <c r="H1335" s="257" t="s">
        <v>19501</v>
      </c>
      <c r="I1335" s="9">
        <v>1</v>
      </c>
    </row>
    <row r="1336" spans="1:9">
      <c r="A1336" s="257" t="s">
        <v>2434</v>
      </c>
      <c r="B1336" s="9">
        <v>4</v>
      </c>
      <c r="C1336" s="257" t="s">
        <v>10023</v>
      </c>
      <c r="D1336" s="9">
        <v>1.6639129851506878E-2</v>
      </c>
      <c r="E1336" s="9"/>
      <c r="F1336" s="257" t="s">
        <v>14541</v>
      </c>
      <c r="G1336" s="9"/>
      <c r="H1336" s="257" t="s">
        <v>19502</v>
      </c>
      <c r="I1336" s="9">
        <v>1</v>
      </c>
    </row>
    <row r="1337" spans="1:9">
      <c r="A1337" s="257" t="s">
        <v>2435</v>
      </c>
      <c r="B1337" s="9">
        <v>4</v>
      </c>
      <c r="C1337" s="257" t="s">
        <v>10023</v>
      </c>
      <c r="D1337" s="9">
        <v>-4.8016203526153002E-3</v>
      </c>
      <c r="E1337" s="9"/>
      <c r="F1337" s="257" t="s">
        <v>14542</v>
      </c>
      <c r="G1337" s="9"/>
      <c r="H1337" s="257" t="s">
        <v>19503</v>
      </c>
      <c r="I1337" s="9">
        <v>1</v>
      </c>
    </row>
    <row r="1338" spans="1:9">
      <c r="A1338" s="257" t="s">
        <v>2436</v>
      </c>
      <c r="B1338" s="9">
        <v>4</v>
      </c>
      <c r="C1338" s="257" t="s">
        <v>10023</v>
      </c>
      <c r="D1338" s="9"/>
      <c r="E1338" s="9"/>
      <c r="F1338" s="257" t="s">
        <v>14543</v>
      </c>
      <c r="G1338" s="9"/>
      <c r="H1338" s="257" t="s">
        <v>19504</v>
      </c>
      <c r="I1338" s="9">
        <v>1</v>
      </c>
    </row>
    <row r="1339" spans="1:9">
      <c r="A1339" s="257" t="s">
        <v>2437</v>
      </c>
      <c r="B1339" s="9">
        <v>4</v>
      </c>
      <c r="C1339" s="257" t="s">
        <v>10023</v>
      </c>
      <c r="D1339" s="9"/>
      <c r="E1339" s="9"/>
      <c r="F1339" s="257" t="s">
        <v>14544</v>
      </c>
      <c r="G1339" s="9"/>
      <c r="H1339" s="257" t="s">
        <v>19505</v>
      </c>
      <c r="I1339" s="9">
        <v>1</v>
      </c>
    </row>
    <row r="1340" spans="1:9">
      <c r="A1340" s="257" t="s">
        <v>2438</v>
      </c>
      <c r="B1340" s="9">
        <v>4</v>
      </c>
      <c r="C1340" s="257" t="s">
        <v>10023</v>
      </c>
      <c r="D1340" s="9"/>
      <c r="E1340" s="9"/>
      <c r="F1340" s="257" t="s">
        <v>14545</v>
      </c>
      <c r="G1340" s="9"/>
      <c r="H1340" s="257" t="s">
        <v>19506</v>
      </c>
      <c r="I1340" s="9">
        <v>1</v>
      </c>
    </row>
    <row r="1341" spans="1:9">
      <c r="A1341" s="257" t="s">
        <v>2439</v>
      </c>
      <c r="B1341" s="9">
        <v>4</v>
      </c>
      <c r="C1341" s="257" t="s">
        <v>10023</v>
      </c>
      <c r="D1341" s="9"/>
      <c r="E1341" s="9"/>
      <c r="F1341" s="257" t="s">
        <v>14546</v>
      </c>
      <c r="G1341" s="9"/>
      <c r="H1341" s="257" t="s">
        <v>19507</v>
      </c>
      <c r="I1341" s="9">
        <v>1</v>
      </c>
    </row>
    <row r="1342" spans="1:9">
      <c r="A1342" s="257" t="s">
        <v>2440</v>
      </c>
      <c r="B1342" s="9">
        <v>4</v>
      </c>
      <c r="C1342" s="257" t="s">
        <v>10023</v>
      </c>
      <c r="D1342" s="9"/>
      <c r="E1342" s="9"/>
      <c r="F1342" s="257" t="s">
        <v>14547</v>
      </c>
      <c r="G1342" s="9"/>
      <c r="H1342" s="257" t="s">
        <v>19508</v>
      </c>
      <c r="I1342" s="9">
        <v>1</v>
      </c>
    </row>
    <row r="1343" spans="1:9">
      <c r="A1343" s="257" t="s">
        <v>2441</v>
      </c>
      <c r="B1343" s="9">
        <v>4</v>
      </c>
      <c r="C1343" s="257" t="s">
        <v>10023</v>
      </c>
      <c r="D1343" s="9"/>
      <c r="E1343" s="9"/>
      <c r="F1343" s="257" t="s">
        <v>14548</v>
      </c>
      <c r="G1343" s="9"/>
      <c r="H1343" s="257" t="s">
        <v>19509</v>
      </c>
      <c r="I1343" s="9">
        <v>1</v>
      </c>
    </row>
    <row r="1344" spans="1:9">
      <c r="A1344" s="257" t="s">
        <v>2442</v>
      </c>
      <c r="B1344" s="9">
        <v>4</v>
      </c>
      <c r="C1344" s="257" t="s">
        <v>10023</v>
      </c>
      <c r="D1344" s="9">
        <v>1.55020955565032E-2</v>
      </c>
      <c r="E1344" s="9"/>
      <c r="F1344" s="257" t="s">
        <v>14549</v>
      </c>
      <c r="G1344" s="9"/>
      <c r="H1344" s="257" t="s">
        <v>19510</v>
      </c>
      <c r="I1344" s="9">
        <v>1</v>
      </c>
    </row>
    <row r="1345" spans="1:9">
      <c r="A1345" s="257" t="s">
        <v>2443</v>
      </c>
      <c r="B1345" s="9">
        <v>4</v>
      </c>
      <c r="C1345" s="257" t="s">
        <v>10023</v>
      </c>
      <c r="D1345" s="9">
        <v>1.7679003253680801E-3</v>
      </c>
      <c r="E1345" s="9"/>
      <c r="F1345" s="257" t="s">
        <v>14550</v>
      </c>
      <c r="G1345" s="9"/>
      <c r="H1345" s="257" t="s">
        <v>19511</v>
      </c>
      <c r="I1345" s="9">
        <v>1</v>
      </c>
    </row>
    <row r="1346" spans="1:9">
      <c r="A1346" s="257" t="s">
        <v>2444</v>
      </c>
      <c r="B1346" s="9">
        <v>4</v>
      </c>
      <c r="C1346" s="257" t="s">
        <v>10023</v>
      </c>
      <c r="D1346" s="9">
        <v>9.2027871583215109E-3</v>
      </c>
      <c r="E1346" s="9"/>
      <c r="F1346" s="257" t="s">
        <v>14551</v>
      </c>
      <c r="G1346" s="9"/>
      <c r="H1346" s="257" t="s">
        <v>19512</v>
      </c>
      <c r="I1346" s="9">
        <v>1</v>
      </c>
    </row>
    <row r="1347" spans="1:9">
      <c r="A1347" s="257" t="s">
        <v>2445</v>
      </c>
      <c r="B1347" s="9">
        <v>4</v>
      </c>
      <c r="C1347" s="257" t="s">
        <v>10023</v>
      </c>
      <c r="D1347" s="9">
        <v>9.8937285577218922E-3</v>
      </c>
      <c r="E1347" s="9"/>
      <c r="F1347" s="257" t="s">
        <v>14552</v>
      </c>
      <c r="G1347" s="9"/>
      <c r="H1347" s="257" t="s">
        <v>19513</v>
      </c>
      <c r="I1347" s="9">
        <v>1</v>
      </c>
    </row>
    <row r="1348" spans="1:9">
      <c r="A1348" s="257" t="s">
        <v>2446</v>
      </c>
      <c r="B1348" s="9">
        <v>4</v>
      </c>
      <c r="C1348" s="257" t="s">
        <v>10023</v>
      </c>
      <c r="D1348" s="9">
        <v>3.8865667458878972E-3</v>
      </c>
      <c r="E1348" s="9"/>
      <c r="F1348" s="257" t="s">
        <v>14553</v>
      </c>
      <c r="G1348" s="9"/>
      <c r="H1348" s="257" t="s">
        <v>19514</v>
      </c>
      <c r="I1348" s="9">
        <v>1</v>
      </c>
    </row>
    <row r="1349" spans="1:9">
      <c r="A1349" s="257" t="s">
        <v>2447</v>
      </c>
      <c r="B1349" s="9">
        <v>4</v>
      </c>
      <c r="C1349" s="257" t="s">
        <v>10023</v>
      </c>
      <c r="D1349" s="9">
        <v>7.436342693185367E-3</v>
      </c>
      <c r="E1349" s="9"/>
      <c r="F1349" s="257" t="s">
        <v>14554</v>
      </c>
      <c r="G1349" s="9"/>
      <c r="H1349" s="257" t="s">
        <v>19515</v>
      </c>
      <c r="I1349" s="9">
        <v>1</v>
      </c>
    </row>
    <row r="1350" spans="1:9">
      <c r="A1350" s="257" t="s">
        <v>2448</v>
      </c>
      <c r="B1350" s="9">
        <v>4</v>
      </c>
      <c r="C1350" s="257" t="s">
        <v>10023</v>
      </c>
      <c r="D1350" s="9">
        <v>-1.5080541209886859E-3</v>
      </c>
      <c r="E1350" s="9"/>
      <c r="F1350" s="257" t="s">
        <v>14555</v>
      </c>
      <c r="G1350" s="9"/>
      <c r="H1350" s="257" t="s">
        <v>19516</v>
      </c>
      <c r="I1350" s="9">
        <v>1</v>
      </c>
    </row>
    <row r="1351" spans="1:9">
      <c r="A1351" s="257" t="s">
        <v>2449</v>
      </c>
      <c r="B1351" s="9">
        <v>4</v>
      </c>
      <c r="C1351" s="257" t="s">
        <v>10023</v>
      </c>
      <c r="D1351" s="9">
        <v>-4.8244678837193206E-3</v>
      </c>
      <c r="E1351" s="9"/>
      <c r="F1351" s="257" t="s">
        <v>14556</v>
      </c>
      <c r="G1351" s="9"/>
      <c r="H1351" s="257" t="s">
        <v>19517</v>
      </c>
      <c r="I1351" s="9">
        <v>1</v>
      </c>
    </row>
    <row r="1352" spans="1:9">
      <c r="A1352" s="257" t="s">
        <v>2450</v>
      </c>
      <c r="B1352" s="9">
        <v>5</v>
      </c>
      <c r="C1352" s="257" t="s">
        <v>10023</v>
      </c>
      <c r="D1352" s="9">
        <v>9.6285887415555466E-3</v>
      </c>
      <c r="E1352" s="9"/>
      <c r="F1352" s="257" t="s">
        <v>14557</v>
      </c>
      <c r="G1352" s="9"/>
      <c r="H1352" s="257" t="s">
        <v>19518</v>
      </c>
      <c r="I1352" s="9">
        <v>1</v>
      </c>
    </row>
    <row r="1353" spans="1:9">
      <c r="A1353" s="257" t="s">
        <v>2451</v>
      </c>
      <c r="B1353" s="9">
        <v>5</v>
      </c>
      <c r="C1353" s="257" t="s">
        <v>10023</v>
      </c>
      <c r="D1353" s="9">
        <v>9.6285887415555466E-3</v>
      </c>
      <c r="E1353" s="9"/>
      <c r="F1353" s="257" t="s">
        <v>14558</v>
      </c>
      <c r="G1353" s="9"/>
      <c r="H1353" s="257" t="s">
        <v>19519</v>
      </c>
      <c r="I1353" s="9">
        <v>1</v>
      </c>
    </row>
    <row r="1354" spans="1:9">
      <c r="A1354" s="257" t="s">
        <v>2452</v>
      </c>
      <c r="B1354" s="9">
        <v>5</v>
      </c>
      <c r="C1354" s="257" t="s">
        <v>10023</v>
      </c>
      <c r="D1354" s="9">
        <v>6.1802609594837294E-3</v>
      </c>
      <c r="E1354" s="9"/>
      <c r="F1354" s="257" t="s">
        <v>14559</v>
      </c>
      <c r="G1354" s="9"/>
      <c r="H1354" s="257" t="s">
        <v>19520</v>
      </c>
      <c r="I1354" s="9">
        <v>1</v>
      </c>
    </row>
    <row r="1355" spans="1:9">
      <c r="A1355" s="257" t="s">
        <v>2453</v>
      </c>
      <c r="B1355" s="9">
        <v>5</v>
      </c>
      <c r="C1355" s="257" t="s">
        <v>10023</v>
      </c>
      <c r="D1355" s="9"/>
      <c r="E1355" s="9"/>
      <c r="F1355" s="257" t="s">
        <v>14560</v>
      </c>
      <c r="G1355" s="9"/>
      <c r="H1355" s="257" t="s">
        <v>19521</v>
      </c>
      <c r="I1355" s="9">
        <v>1</v>
      </c>
    </row>
    <row r="1356" spans="1:9">
      <c r="A1356" s="257" t="s">
        <v>2454</v>
      </c>
      <c r="B1356" s="9">
        <v>5</v>
      </c>
      <c r="C1356" s="257" t="s">
        <v>10023</v>
      </c>
      <c r="D1356" s="9"/>
      <c r="E1356" s="9"/>
      <c r="F1356" s="257" t="s">
        <v>14561</v>
      </c>
      <c r="G1356" s="9"/>
      <c r="H1356" s="257" t="s">
        <v>19522</v>
      </c>
      <c r="I1356" s="9">
        <v>1</v>
      </c>
    </row>
    <row r="1357" spans="1:9">
      <c r="A1357" s="257" t="s">
        <v>2455</v>
      </c>
      <c r="B1357" s="9">
        <v>5</v>
      </c>
      <c r="C1357" s="257" t="s">
        <v>10023</v>
      </c>
      <c r="D1357" s="9">
        <v>1.5808849701039275E-2</v>
      </c>
      <c r="E1357" s="9"/>
      <c r="F1357" s="257" t="s">
        <v>14562</v>
      </c>
      <c r="G1357" s="9"/>
      <c r="H1357" s="257" t="s">
        <v>19523</v>
      </c>
      <c r="I1357" s="9">
        <v>1</v>
      </c>
    </row>
    <row r="1358" spans="1:9">
      <c r="A1358" s="257" t="s">
        <v>2456</v>
      </c>
      <c r="B1358" s="9">
        <v>5</v>
      </c>
      <c r="C1358" s="257" t="s">
        <v>10023</v>
      </c>
      <c r="D1358" s="9">
        <v>1.5808849701039275E-2</v>
      </c>
      <c r="E1358" s="9"/>
      <c r="F1358" s="257" t="s">
        <v>14563</v>
      </c>
      <c r="G1358" s="9"/>
      <c r="H1358" s="257" t="s">
        <v>19524</v>
      </c>
      <c r="I1358" s="9">
        <v>1</v>
      </c>
    </row>
    <row r="1359" spans="1:9">
      <c r="A1359" s="257" t="s">
        <v>2457</v>
      </c>
      <c r="B1359" s="9">
        <v>5</v>
      </c>
      <c r="C1359" s="257" t="s">
        <v>10023</v>
      </c>
      <c r="D1359" s="9">
        <v>1.5808849701039275E-2</v>
      </c>
      <c r="E1359" s="9"/>
      <c r="F1359" s="257" t="s">
        <v>14564</v>
      </c>
      <c r="G1359" s="9"/>
      <c r="H1359" s="257" t="s">
        <v>19525</v>
      </c>
      <c r="I1359" s="9">
        <v>1</v>
      </c>
    </row>
    <row r="1360" spans="1:9">
      <c r="A1360" s="257" t="s">
        <v>2458</v>
      </c>
      <c r="B1360" s="9">
        <v>5</v>
      </c>
      <c r="C1360" s="257" t="s">
        <v>10023</v>
      </c>
      <c r="D1360" s="9">
        <v>1.8028633914648231E-2</v>
      </c>
      <c r="E1360" s="9"/>
      <c r="F1360" s="257" t="s">
        <v>14565</v>
      </c>
      <c r="G1360" s="9"/>
      <c r="H1360" s="257" t="s">
        <v>19526</v>
      </c>
      <c r="I1360" s="9">
        <v>1</v>
      </c>
    </row>
    <row r="1361" spans="1:9">
      <c r="A1361" s="257" t="s">
        <v>2459</v>
      </c>
      <c r="B1361" s="9">
        <v>5</v>
      </c>
      <c r="C1361" s="257" t="s">
        <v>10023</v>
      </c>
      <c r="D1361" s="9">
        <v>1.8028633914648231E-2</v>
      </c>
      <c r="E1361" s="9"/>
      <c r="F1361" s="257" t="s">
        <v>14566</v>
      </c>
      <c r="G1361" s="9"/>
      <c r="H1361" s="257" t="s">
        <v>19527</v>
      </c>
      <c r="I1361" s="9">
        <v>1</v>
      </c>
    </row>
    <row r="1362" spans="1:9">
      <c r="A1362" s="257" t="s">
        <v>2460</v>
      </c>
      <c r="B1362" s="9">
        <v>5</v>
      </c>
      <c r="C1362" s="257" t="s">
        <v>10023</v>
      </c>
      <c r="D1362" s="9">
        <v>-4.2479339681645587E-3</v>
      </c>
      <c r="E1362" s="9"/>
      <c r="F1362" s="257" t="s">
        <v>14567</v>
      </c>
      <c r="G1362" s="9"/>
      <c r="H1362" s="257" t="s">
        <v>19528</v>
      </c>
      <c r="I1362" s="9">
        <v>1</v>
      </c>
    </row>
    <row r="1363" spans="1:9">
      <c r="A1363" s="257" t="s">
        <v>2461</v>
      </c>
      <c r="B1363" s="9">
        <v>5</v>
      </c>
      <c r="C1363" s="257" t="s">
        <v>10023</v>
      </c>
      <c r="D1363" s="9"/>
      <c r="E1363" s="9"/>
      <c r="F1363" s="257" t="s">
        <v>14568</v>
      </c>
      <c r="G1363" s="9"/>
      <c r="H1363" s="257" t="s">
        <v>19529</v>
      </c>
      <c r="I1363" s="9">
        <v>1</v>
      </c>
    </row>
    <row r="1364" spans="1:9">
      <c r="A1364" s="257" t="s">
        <v>2462</v>
      </c>
      <c r="B1364" s="9">
        <v>5</v>
      </c>
      <c r="C1364" s="257" t="s">
        <v>10023</v>
      </c>
      <c r="D1364" s="9"/>
      <c r="E1364" s="9"/>
      <c r="F1364" s="257" t="s">
        <v>14569</v>
      </c>
      <c r="G1364" s="9"/>
      <c r="H1364" s="257" t="s">
        <v>19530</v>
      </c>
      <c r="I1364" s="9">
        <v>1</v>
      </c>
    </row>
    <row r="1365" spans="1:9">
      <c r="A1365" s="257" t="s">
        <v>2463</v>
      </c>
      <c r="B1365" s="9">
        <v>5</v>
      </c>
      <c r="C1365" s="257" t="s">
        <v>10023</v>
      </c>
      <c r="D1365" s="9"/>
      <c r="E1365" s="9"/>
      <c r="F1365" s="257" t="s">
        <v>14570</v>
      </c>
      <c r="G1365" s="9"/>
      <c r="H1365" s="257" t="s">
        <v>19531</v>
      </c>
      <c r="I1365" s="9">
        <v>1</v>
      </c>
    </row>
    <row r="1366" spans="1:9">
      <c r="A1366" s="257" t="s">
        <v>2464</v>
      </c>
      <c r="B1366" s="9">
        <v>5</v>
      </c>
      <c r="C1366" s="257" t="s">
        <v>10023</v>
      </c>
      <c r="D1366" s="9"/>
      <c r="E1366" s="9"/>
      <c r="F1366" s="257" t="s">
        <v>14571</v>
      </c>
      <c r="G1366" s="9"/>
      <c r="H1366" s="257" t="s">
        <v>19532</v>
      </c>
      <c r="I1366" s="9">
        <v>1</v>
      </c>
    </row>
    <row r="1367" spans="1:9">
      <c r="A1367" s="257" t="s">
        <v>2465</v>
      </c>
      <c r="B1367" s="9">
        <v>5</v>
      </c>
      <c r="C1367" s="257" t="s">
        <v>10023</v>
      </c>
      <c r="D1367" s="9"/>
      <c r="E1367" s="9"/>
      <c r="F1367" s="257" t="s">
        <v>14572</v>
      </c>
      <c r="G1367" s="9"/>
      <c r="H1367" s="257" t="s">
        <v>19533</v>
      </c>
      <c r="I1367" s="9">
        <v>1</v>
      </c>
    </row>
    <row r="1368" spans="1:9">
      <c r="A1368" s="257" t="s">
        <v>2466</v>
      </c>
      <c r="B1368" s="9">
        <v>5</v>
      </c>
      <c r="C1368" s="257" t="s">
        <v>10023</v>
      </c>
      <c r="D1368" s="9"/>
      <c r="E1368" s="9"/>
      <c r="F1368" s="257" t="s">
        <v>14573</v>
      </c>
      <c r="G1368" s="9"/>
      <c r="H1368" s="257" t="s">
        <v>19534</v>
      </c>
      <c r="I1368" s="9">
        <v>1</v>
      </c>
    </row>
    <row r="1369" spans="1:9">
      <c r="A1369" s="257" t="s">
        <v>2467</v>
      </c>
      <c r="B1369" s="9">
        <v>5</v>
      </c>
      <c r="C1369" s="257" t="s">
        <v>10023</v>
      </c>
      <c r="D1369" s="9">
        <v>1.4377070267536983E-2</v>
      </c>
      <c r="E1369" s="9"/>
      <c r="F1369" s="257" t="s">
        <v>14574</v>
      </c>
      <c r="G1369" s="9"/>
      <c r="H1369" s="257" t="s">
        <v>19535</v>
      </c>
      <c r="I1369" s="9">
        <v>1</v>
      </c>
    </row>
    <row r="1370" spans="1:9">
      <c r="A1370" s="257" t="s">
        <v>2468</v>
      </c>
      <c r="B1370" s="9">
        <v>5</v>
      </c>
      <c r="C1370" s="257" t="s">
        <v>10023</v>
      </c>
      <c r="D1370" s="9">
        <v>1.8435679040192025E-3</v>
      </c>
      <c r="E1370" s="9"/>
      <c r="F1370" s="257" t="s">
        <v>14575</v>
      </c>
      <c r="G1370" s="9"/>
      <c r="H1370" s="257" t="s">
        <v>19536</v>
      </c>
      <c r="I1370" s="9">
        <v>1</v>
      </c>
    </row>
    <row r="1371" spans="1:9">
      <c r="A1371" s="257" t="s">
        <v>2469</v>
      </c>
      <c r="B1371" s="9">
        <v>5</v>
      </c>
      <c r="C1371" s="257" t="s">
        <v>10023</v>
      </c>
      <c r="D1371" s="9">
        <v>9.7080287202868862E-3</v>
      </c>
      <c r="E1371" s="9"/>
      <c r="F1371" s="257" t="s">
        <v>14576</v>
      </c>
      <c r="G1371" s="9"/>
      <c r="H1371" s="257" t="s">
        <v>19537</v>
      </c>
      <c r="I1371" s="9">
        <v>1</v>
      </c>
    </row>
    <row r="1372" spans="1:9">
      <c r="A1372" s="257" t="s">
        <v>2470</v>
      </c>
      <c r="B1372" s="9">
        <v>5</v>
      </c>
      <c r="C1372" s="257" t="s">
        <v>10023</v>
      </c>
      <c r="D1372" s="9">
        <v>8.7722548081568177E-3</v>
      </c>
      <c r="E1372" s="9"/>
      <c r="F1372" s="257" t="s">
        <v>14577</v>
      </c>
      <c r="G1372" s="9"/>
      <c r="H1372" s="257" t="s">
        <v>19538</v>
      </c>
      <c r="I1372" s="9">
        <v>1</v>
      </c>
    </row>
    <row r="1373" spans="1:9">
      <c r="A1373" s="257" t="s">
        <v>2471</v>
      </c>
      <c r="B1373" s="9">
        <v>5</v>
      </c>
      <c r="C1373" s="257" t="s">
        <v>10023</v>
      </c>
      <c r="D1373" s="9">
        <v>3.9408544362300743E-3</v>
      </c>
      <c r="E1373" s="9"/>
      <c r="F1373" s="257" t="s">
        <v>14578</v>
      </c>
      <c r="G1373" s="9"/>
      <c r="H1373" s="257" t="s">
        <v>19539</v>
      </c>
      <c r="I1373" s="9">
        <v>1</v>
      </c>
    </row>
    <row r="1374" spans="1:9">
      <c r="A1374" s="257" t="s">
        <v>2472</v>
      </c>
      <c r="B1374" s="9">
        <v>5</v>
      </c>
      <c r="C1374" s="257" t="s">
        <v>10023</v>
      </c>
      <c r="D1374" s="9">
        <v>8.3206051943613465E-3</v>
      </c>
      <c r="E1374" s="9"/>
      <c r="F1374" s="257" t="s">
        <v>14579</v>
      </c>
      <c r="G1374" s="9"/>
      <c r="H1374" s="257" t="s">
        <v>19540</v>
      </c>
      <c r="I1374" s="9">
        <v>1</v>
      </c>
    </row>
    <row r="1375" spans="1:9">
      <c r="A1375" s="257" t="s">
        <v>2473</v>
      </c>
      <c r="B1375" s="9">
        <v>5</v>
      </c>
      <c r="C1375" s="257" t="s">
        <v>10023</v>
      </c>
      <c r="D1375" s="9">
        <v>-1.3238654783822924E-3</v>
      </c>
      <c r="E1375" s="9"/>
      <c r="F1375" s="257" t="s">
        <v>14580</v>
      </c>
      <c r="G1375" s="9"/>
      <c r="H1375" s="257" t="s">
        <v>19541</v>
      </c>
      <c r="I1375" s="9">
        <v>1</v>
      </c>
    </row>
    <row r="1376" spans="1:9">
      <c r="A1376" s="257" t="s">
        <v>2474</v>
      </c>
      <c r="B1376" s="9">
        <v>5</v>
      </c>
      <c r="C1376" s="257" t="s">
        <v>10023</v>
      </c>
      <c r="D1376" s="9">
        <v>-4.2869208871435848E-3</v>
      </c>
      <c r="E1376" s="9"/>
      <c r="F1376" s="257" t="s">
        <v>14581</v>
      </c>
      <c r="G1376" s="9"/>
      <c r="H1376" s="257" t="s">
        <v>19542</v>
      </c>
      <c r="I1376" s="9">
        <v>1</v>
      </c>
    </row>
    <row r="1377" spans="1:9">
      <c r="A1377" s="257" t="s">
        <v>2475</v>
      </c>
      <c r="B1377" s="9">
        <v>6</v>
      </c>
      <c r="C1377" s="257" t="s">
        <v>10023</v>
      </c>
      <c r="D1377" s="9">
        <v>1.1583686381357124E-2</v>
      </c>
      <c r="E1377" s="9"/>
      <c r="F1377" s="257" t="s">
        <v>14582</v>
      </c>
      <c r="G1377" s="9"/>
      <c r="H1377" s="257" t="s">
        <v>19543</v>
      </c>
      <c r="I1377" s="9">
        <v>1</v>
      </c>
    </row>
    <row r="1378" spans="1:9">
      <c r="A1378" s="257" t="s">
        <v>2476</v>
      </c>
      <c r="B1378" s="9">
        <v>6</v>
      </c>
      <c r="C1378" s="257" t="s">
        <v>10023</v>
      </c>
      <c r="D1378" s="9">
        <v>1.1583686381357124E-2</v>
      </c>
      <c r="E1378" s="9"/>
      <c r="F1378" s="257" t="s">
        <v>14583</v>
      </c>
      <c r="G1378" s="9"/>
      <c r="H1378" s="257" t="s">
        <v>19544</v>
      </c>
      <c r="I1378" s="9">
        <v>1</v>
      </c>
    </row>
    <row r="1379" spans="1:9">
      <c r="A1379" s="257" t="s">
        <v>2477</v>
      </c>
      <c r="B1379" s="9">
        <v>6</v>
      </c>
      <c r="C1379" s="257" t="s">
        <v>10023</v>
      </c>
      <c r="D1379" s="9">
        <v>6.5185766238512917E-3</v>
      </c>
      <c r="E1379" s="9"/>
      <c r="F1379" s="257" t="s">
        <v>14584</v>
      </c>
      <c r="G1379" s="9"/>
      <c r="H1379" s="257" t="s">
        <v>19545</v>
      </c>
      <c r="I1379" s="9">
        <v>1</v>
      </c>
    </row>
    <row r="1380" spans="1:9">
      <c r="A1380" s="257" t="s">
        <v>2478</v>
      </c>
      <c r="B1380" s="9">
        <v>6</v>
      </c>
      <c r="C1380" s="257" t="s">
        <v>10023</v>
      </c>
      <c r="D1380" s="9"/>
      <c r="E1380" s="9"/>
      <c r="F1380" s="257" t="s">
        <v>14585</v>
      </c>
      <c r="G1380" s="9"/>
      <c r="H1380" s="257" t="s">
        <v>19546</v>
      </c>
      <c r="I1380" s="9">
        <v>1</v>
      </c>
    </row>
    <row r="1381" spans="1:9">
      <c r="A1381" s="257" t="s">
        <v>2479</v>
      </c>
      <c r="B1381" s="9">
        <v>6</v>
      </c>
      <c r="C1381" s="257" t="s">
        <v>10023</v>
      </c>
      <c r="D1381" s="9"/>
      <c r="E1381" s="9"/>
      <c r="F1381" s="257" t="s">
        <v>14586</v>
      </c>
      <c r="G1381" s="9"/>
      <c r="H1381" s="257" t="s">
        <v>19547</v>
      </c>
      <c r="I1381" s="9">
        <v>1</v>
      </c>
    </row>
    <row r="1382" spans="1:9">
      <c r="A1382" s="257" t="s">
        <v>2480</v>
      </c>
      <c r="B1382" s="9">
        <v>6</v>
      </c>
      <c r="C1382" s="257" t="s">
        <v>10023</v>
      </c>
      <c r="D1382" s="9">
        <v>1.8102263005208414E-2</v>
      </c>
      <c r="E1382" s="9"/>
      <c r="F1382" s="257" t="s">
        <v>14587</v>
      </c>
      <c r="G1382" s="9"/>
      <c r="H1382" s="257" t="s">
        <v>19548</v>
      </c>
      <c r="I1382" s="9">
        <v>1</v>
      </c>
    </row>
    <row r="1383" spans="1:9">
      <c r="A1383" s="257" t="s">
        <v>2481</v>
      </c>
      <c r="B1383" s="9">
        <v>6</v>
      </c>
      <c r="C1383" s="257" t="s">
        <v>10023</v>
      </c>
      <c r="D1383" s="9">
        <v>1.8102263005208414E-2</v>
      </c>
      <c r="E1383" s="9"/>
      <c r="F1383" s="257" t="s">
        <v>14588</v>
      </c>
      <c r="G1383" s="9"/>
      <c r="H1383" s="257" t="s">
        <v>19549</v>
      </c>
      <c r="I1383" s="9">
        <v>1</v>
      </c>
    </row>
    <row r="1384" spans="1:9">
      <c r="A1384" s="257" t="s">
        <v>2482</v>
      </c>
      <c r="B1384" s="9">
        <v>6</v>
      </c>
      <c r="C1384" s="257" t="s">
        <v>10023</v>
      </c>
      <c r="D1384" s="9">
        <v>1.8102263005208414E-2</v>
      </c>
      <c r="E1384" s="9"/>
      <c r="F1384" s="257" t="s">
        <v>14589</v>
      </c>
      <c r="G1384" s="9"/>
      <c r="H1384" s="257" t="s">
        <v>19550</v>
      </c>
      <c r="I1384" s="9">
        <v>1</v>
      </c>
    </row>
    <row r="1385" spans="1:9">
      <c r="A1385" s="257" t="s">
        <v>2483</v>
      </c>
      <c r="B1385" s="9">
        <v>6</v>
      </c>
      <c r="C1385" s="257" t="s">
        <v>10023</v>
      </c>
      <c r="D1385" s="9">
        <v>2.0858502260446072E-2</v>
      </c>
      <c r="E1385" s="9"/>
      <c r="F1385" s="257" t="s">
        <v>14590</v>
      </c>
      <c r="G1385" s="9"/>
      <c r="H1385" s="257" t="s">
        <v>19551</v>
      </c>
      <c r="I1385" s="9">
        <v>1</v>
      </c>
    </row>
    <row r="1386" spans="1:9">
      <c r="A1386" s="257" t="s">
        <v>2484</v>
      </c>
      <c r="B1386" s="9">
        <v>6</v>
      </c>
      <c r="C1386" s="257" t="s">
        <v>10023</v>
      </c>
      <c r="D1386" s="9">
        <v>2.0858502260446072E-2</v>
      </c>
      <c r="E1386" s="9"/>
      <c r="F1386" s="257" t="s">
        <v>14591</v>
      </c>
      <c r="G1386" s="9"/>
      <c r="H1386" s="257" t="s">
        <v>19552</v>
      </c>
      <c r="I1386" s="9">
        <v>1</v>
      </c>
    </row>
    <row r="1387" spans="1:9">
      <c r="A1387" s="257" t="s">
        <v>2485</v>
      </c>
      <c r="B1387" s="9">
        <v>6</v>
      </c>
      <c r="C1387" s="257" t="s">
        <v>10023</v>
      </c>
      <c r="D1387" s="9">
        <v>-4.3059460437803957E-3</v>
      </c>
      <c r="E1387" s="9"/>
      <c r="F1387" s="257" t="s">
        <v>14592</v>
      </c>
      <c r="G1387" s="9"/>
      <c r="H1387" s="257" t="s">
        <v>19553</v>
      </c>
      <c r="I1387" s="9">
        <v>1</v>
      </c>
    </row>
    <row r="1388" spans="1:9">
      <c r="A1388" s="257" t="s">
        <v>2486</v>
      </c>
      <c r="B1388" s="9">
        <v>6</v>
      </c>
      <c r="C1388" s="257" t="s">
        <v>10023</v>
      </c>
      <c r="D1388" s="9"/>
      <c r="E1388" s="9"/>
      <c r="F1388" s="257" t="s">
        <v>14593</v>
      </c>
      <c r="G1388" s="9"/>
      <c r="H1388" s="257" t="s">
        <v>19554</v>
      </c>
      <c r="I1388" s="9">
        <v>1</v>
      </c>
    </row>
    <row r="1389" spans="1:9">
      <c r="A1389" s="257" t="s">
        <v>2487</v>
      </c>
      <c r="B1389" s="9">
        <v>6</v>
      </c>
      <c r="C1389" s="257" t="s">
        <v>10023</v>
      </c>
      <c r="D1389" s="9"/>
      <c r="E1389" s="9"/>
      <c r="F1389" s="257" t="s">
        <v>14594</v>
      </c>
      <c r="G1389" s="9"/>
      <c r="H1389" s="257" t="s">
        <v>19555</v>
      </c>
      <c r="I1389" s="9">
        <v>1</v>
      </c>
    </row>
    <row r="1390" spans="1:9">
      <c r="A1390" s="257" t="s">
        <v>2488</v>
      </c>
      <c r="B1390" s="9">
        <v>6</v>
      </c>
      <c r="C1390" s="257" t="s">
        <v>10023</v>
      </c>
      <c r="D1390" s="9"/>
      <c r="E1390" s="9"/>
      <c r="F1390" s="257" t="s">
        <v>14595</v>
      </c>
      <c r="G1390" s="9"/>
      <c r="H1390" s="257" t="s">
        <v>19556</v>
      </c>
      <c r="I1390" s="9">
        <v>1</v>
      </c>
    </row>
    <row r="1391" spans="1:9">
      <c r="A1391" s="257" t="s">
        <v>2489</v>
      </c>
      <c r="B1391" s="9">
        <v>6</v>
      </c>
      <c r="C1391" s="257" t="s">
        <v>10023</v>
      </c>
      <c r="D1391" s="9"/>
      <c r="E1391" s="9"/>
      <c r="F1391" s="257" t="s">
        <v>14596</v>
      </c>
      <c r="G1391" s="9"/>
      <c r="H1391" s="257" t="s">
        <v>19557</v>
      </c>
      <c r="I1391" s="9">
        <v>1</v>
      </c>
    </row>
    <row r="1392" spans="1:9">
      <c r="A1392" s="257" t="s">
        <v>2490</v>
      </c>
      <c r="B1392" s="9">
        <v>6</v>
      </c>
      <c r="C1392" s="257" t="s">
        <v>10023</v>
      </c>
      <c r="D1392" s="9"/>
      <c r="E1392" s="9"/>
      <c r="F1392" s="257" t="s">
        <v>14597</v>
      </c>
      <c r="G1392" s="9"/>
      <c r="H1392" s="257" t="s">
        <v>19558</v>
      </c>
      <c r="I1392" s="9">
        <v>1</v>
      </c>
    </row>
    <row r="1393" spans="1:9">
      <c r="A1393" s="257" t="s">
        <v>2491</v>
      </c>
      <c r="B1393" s="9">
        <v>6</v>
      </c>
      <c r="C1393" s="257" t="s">
        <v>10023</v>
      </c>
      <c r="D1393" s="9"/>
      <c r="E1393" s="9"/>
      <c r="F1393" s="257" t="s">
        <v>14598</v>
      </c>
      <c r="G1393" s="9"/>
      <c r="H1393" s="257" t="s">
        <v>19559</v>
      </c>
      <c r="I1393" s="9">
        <v>1</v>
      </c>
    </row>
    <row r="1394" spans="1:9">
      <c r="A1394" s="257" t="s">
        <v>2492</v>
      </c>
      <c r="B1394" s="9">
        <v>6</v>
      </c>
      <c r="C1394" s="257" t="s">
        <v>10023</v>
      </c>
      <c r="D1394" s="9">
        <v>1.5295880981254707E-2</v>
      </c>
      <c r="E1394" s="9"/>
      <c r="F1394" s="257" t="s">
        <v>14599</v>
      </c>
      <c r="G1394" s="9"/>
      <c r="H1394" s="257" t="s">
        <v>19560</v>
      </c>
      <c r="I1394" s="9">
        <v>1</v>
      </c>
    </row>
    <row r="1395" spans="1:9">
      <c r="A1395" s="257" t="s">
        <v>2493</v>
      </c>
      <c r="B1395" s="9">
        <v>6</v>
      </c>
      <c r="C1395" s="257" t="s">
        <v>10023</v>
      </c>
      <c r="D1395" s="9">
        <v>1.8386667152323953E-3</v>
      </c>
      <c r="E1395" s="9"/>
      <c r="F1395" s="257" t="s">
        <v>14600</v>
      </c>
      <c r="G1395" s="9"/>
      <c r="H1395" s="257" t="s">
        <v>19561</v>
      </c>
      <c r="I1395" s="9">
        <v>1</v>
      </c>
    </row>
    <row r="1396" spans="1:9">
      <c r="A1396" s="257" t="s">
        <v>2494</v>
      </c>
      <c r="B1396" s="9">
        <v>6</v>
      </c>
      <c r="C1396" s="257" t="s">
        <v>10023</v>
      </c>
      <c r="D1396" s="9">
        <v>1.1862015390143065E-2</v>
      </c>
      <c r="E1396" s="9"/>
      <c r="F1396" s="257" t="s">
        <v>14601</v>
      </c>
      <c r="G1396" s="9"/>
      <c r="H1396" s="257" t="s">
        <v>19562</v>
      </c>
      <c r="I1396" s="9">
        <v>1</v>
      </c>
    </row>
    <row r="1397" spans="1:9">
      <c r="A1397" s="257" t="s">
        <v>2495</v>
      </c>
      <c r="B1397" s="9">
        <v>6</v>
      </c>
      <c r="C1397" s="257" t="s">
        <v>10023</v>
      </c>
      <c r="D1397" s="9">
        <v>8.1264322748798006E-3</v>
      </c>
      <c r="E1397" s="9"/>
      <c r="F1397" s="257" t="s">
        <v>14602</v>
      </c>
      <c r="G1397" s="9"/>
      <c r="H1397" s="257" t="s">
        <v>19563</v>
      </c>
      <c r="I1397" s="9">
        <v>1</v>
      </c>
    </row>
    <row r="1398" spans="1:9">
      <c r="A1398" s="257" t="s">
        <v>2496</v>
      </c>
      <c r="B1398" s="9">
        <v>6</v>
      </c>
      <c r="C1398" s="257" t="s">
        <v>10023</v>
      </c>
      <c r="D1398" s="9">
        <v>3.9360415713108315E-3</v>
      </c>
      <c r="E1398" s="9"/>
      <c r="F1398" s="257" t="s">
        <v>14603</v>
      </c>
      <c r="G1398" s="9"/>
      <c r="H1398" s="257" t="s">
        <v>19564</v>
      </c>
      <c r="I1398" s="9">
        <v>1</v>
      </c>
    </row>
    <row r="1399" spans="1:9">
      <c r="A1399" s="257" t="s">
        <v>2497</v>
      </c>
      <c r="B1399" s="9">
        <v>6</v>
      </c>
      <c r="C1399" s="257" t="s">
        <v>10023</v>
      </c>
      <c r="D1399" s="9">
        <v>8.9964868703030065E-3</v>
      </c>
      <c r="E1399" s="9"/>
      <c r="F1399" s="257" t="s">
        <v>14604</v>
      </c>
      <c r="G1399" s="9"/>
      <c r="H1399" s="257" t="s">
        <v>19565</v>
      </c>
      <c r="I1399" s="9">
        <v>1</v>
      </c>
    </row>
    <row r="1400" spans="1:9">
      <c r="A1400" s="257" t="s">
        <v>2498</v>
      </c>
      <c r="B1400" s="9">
        <v>6</v>
      </c>
      <c r="C1400" s="257" t="s">
        <v>10023</v>
      </c>
      <c r="D1400" s="9">
        <v>-1.8491181662994944E-3</v>
      </c>
      <c r="E1400" s="9"/>
      <c r="F1400" s="257" t="s">
        <v>14605</v>
      </c>
      <c r="G1400" s="9"/>
      <c r="H1400" s="257" t="s">
        <v>19566</v>
      </c>
      <c r="I1400" s="9">
        <v>1</v>
      </c>
    </row>
    <row r="1401" spans="1:9">
      <c r="A1401" s="257" t="s">
        <v>2499</v>
      </c>
      <c r="B1401" s="9">
        <v>6</v>
      </c>
      <c r="C1401" s="257" t="s">
        <v>10023</v>
      </c>
      <c r="D1401" s="9">
        <v>-3.9792090638803915E-3</v>
      </c>
      <c r="E1401" s="9"/>
      <c r="F1401" s="257" t="s">
        <v>14606</v>
      </c>
      <c r="G1401" s="9"/>
      <c r="H1401" s="257" t="s">
        <v>19567</v>
      </c>
      <c r="I1401" s="9">
        <v>1</v>
      </c>
    </row>
    <row r="1402" spans="1:9">
      <c r="A1402" s="257" t="s">
        <v>2500</v>
      </c>
      <c r="B1402" s="9">
        <v>7</v>
      </c>
      <c r="C1402" s="257" t="s">
        <v>10023</v>
      </c>
      <c r="D1402" s="9">
        <v>1.330781417805083E-2</v>
      </c>
      <c r="E1402" s="9"/>
      <c r="F1402" s="257" t="s">
        <v>14607</v>
      </c>
      <c r="G1402" s="9"/>
      <c r="H1402" s="257" t="s">
        <v>19568</v>
      </c>
      <c r="I1402" s="9">
        <v>1</v>
      </c>
    </row>
    <row r="1403" spans="1:9">
      <c r="A1403" s="257" t="s">
        <v>2501</v>
      </c>
      <c r="B1403" s="9">
        <v>7</v>
      </c>
      <c r="C1403" s="257" t="s">
        <v>10023</v>
      </c>
      <c r="D1403" s="9">
        <v>1.330781417805083E-2</v>
      </c>
      <c r="E1403" s="9"/>
      <c r="F1403" s="257" t="s">
        <v>14608</v>
      </c>
      <c r="G1403" s="9"/>
      <c r="H1403" s="257" t="s">
        <v>19569</v>
      </c>
      <c r="I1403" s="9">
        <v>1</v>
      </c>
    </row>
    <row r="1404" spans="1:9">
      <c r="A1404" s="257" t="s">
        <v>2502</v>
      </c>
      <c r="B1404" s="9">
        <v>7</v>
      </c>
      <c r="C1404" s="257" t="s">
        <v>10023</v>
      </c>
      <c r="D1404" s="9">
        <v>6.7281976251966566E-3</v>
      </c>
      <c r="E1404" s="9"/>
      <c r="F1404" s="257" t="s">
        <v>14609</v>
      </c>
      <c r="G1404" s="9"/>
      <c r="H1404" s="257" t="s">
        <v>19570</v>
      </c>
      <c r="I1404" s="9">
        <v>1</v>
      </c>
    </row>
    <row r="1405" spans="1:9">
      <c r="A1405" s="257" t="s">
        <v>2503</v>
      </c>
      <c r="B1405" s="9">
        <v>7</v>
      </c>
      <c r="C1405" s="257" t="s">
        <v>10023</v>
      </c>
      <c r="D1405" s="9"/>
      <c r="E1405" s="9"/>
      <c r="F1405" s="257" t="s">
        <v>14610</v>
      </c>
      <c r="G1405" s="9"/>
      <c r="H1405" s="257" t="s">
        <v>19571</v>
      </c>
      <c r="I1405" s="9">
        <v>1</v>
      </c>
    </row>
    <row r="1406" spans="1:9">
      <c r="A1406" s="257" t="s">
        <v>2504</v>
      </c>
      <c r="B1406" s="9">
        <v>7</v>
      </c>
      <c r="C1406" s="257" t="s">
        <v>10023</v>
      </c>
      <c r="D1406" s="9"/>
      <c r="E1406" s="9"/>
      <c r="F1406" s="257" t="s">
        <v>14611</v>
      </c>
      <c r="G1406" s="9"/>
      <c r="H1406" s="257" t="s">
        <v>19572</v>
      </c>
      <c r="I1406" s="9">
        <v>1</v>
      </c>
    </row>
    <row r="1407" spans="1:9">
      <c r="A1407" s="257" t="s">
        <v>2505</v>
      </c>
      <c r="B1407" s="9">
        <v>7</v>
      </c>
      <c r="C1407" s="257" t="s">
        <v>10023</v>
      </c>
      <c r="D1407" s="9">
        <v>2.0036011803247489E-2</v>
      </c>
      <c r="E1407" s="9"/>
      <c r="F1407" s="257" t="s">
        <v>14612</v>
      </c>
      <c r="G1407" s="9"/>
      <c r="H1407" s="257" t="s">
        <v>19573</v>
      </c>
      <c r="I1407" s="9">
        <v>1</v>
      </c>
    </row>
    <row r="1408" spans="1:9">
      <c r="A1408" s="257" t="s">
        <v>2506</v>
      </c>
      <c r="B1408" s="9">
        <v>7</v>
      </c>
      <c r="C1408" s="257" t="s">
        <v>10023</v>
      </c>
      <c r="D1408" s="9">
        <v>2.0036011803247489E-2</v>
      </c>
      <c r="E1408" s="9"/>
      <c r="F1408" s="257" t="s">
        <v>14613</v>
      </c>
      <c r="G1408" s="9"/>
      <c r="H1408" s="257" t="s">
        <v>19574</v>
      </c>
      <c r="I1408" s="9">
        <v>1</v>
      </c>
    </row>
    <row r="1409" spans="1:9">
      <c r="A1409" s="257" t="s">
        <v>2507</v>
      </c>
      <c r="B1409" s="9">
        <v>7</v>
      </c>
      <c r="C1409" s="257" t="s">
        <v>10023</v>
      </c>
      <c r="D1409" s="9">
        <v>2.0036011803247489E-2</v>
      </c>
      <c r="E1409" s="9"/>
      <c r="F1409" s="257" t="s">
        <v>14614</v>
      </c>
      <c r="G1409" s="9"/>
      <c r="H1409" s="257" t="s">
        <v>19575</v>
      </c>
      <c r="I1409" s="9">
        <v>1</v>
      </c>
    </row>
    <row r="1410" spans="1:9">
      <c r="A1410" s="257" t="s">
        <v>2508</v>
      </c>
      <c r="B1410" s="9">
        <v>7</v>
      </c>
      <c r="C1410" s="257" t="s">
        <v>10023</v>
      </c>
      <c r="D1410" s="9">
        <v>2.2977396632114171E-2</v>
      </c>
      <c r="E1410" s="9"/>
      <c r="F1410" s="257" t="s">
        <v>14615</v>
      </c>
      <c r="G1410" s="9"/>
      <c r="H1410" s="257" t="s">
        <v>19576</v>
      </c>
      <c r="I1410" s="9">
        <v>1</v>
      </c>
    </row>
    <row r="1411" spans="1:9">
      <c r="A1411" s="257" t="s">
        <v>2509</v>
      </c>
      <c r="B1411" s="9">
        <v>7</v>
      </c>
      <c r="C1411" s="257" t="s">
        <v>10023</v>
      </c>
      <c r="D1411" s="9">
        <v>2.2977396632114171E-2</v>
      </c>
      <c r="E1411" s="9"/>
      <c r="F1411" s="257" t="s">
        <v>14616</v>
      </c>
      <c r="G1411" s="9"/>
      <c r="H1411" s="257" t="s">
        <v>19577</v>
      </c>
      <c r="I1411" s="9">
        <v>1</v>
      </c>
    </row>
    <row r="1412" spans="1:9">
      <c r="A1412" s="257" t="s">
        <v>2510</v>
      </c>
      <c r="B1412" s="9">
        <v>7</v>
      </c>
      <c r="C1412" s="257" t="s">
        <v>10023</v>
      </c>
      <c r="D1412" s="9">
        <v>-4.3202425639284978E-3</v>
      </c>
      <c r="E1412" s="9"/>
      <c r="F1412" s="257" t="s">
        <v>14617</v>
      </c>
      <c r="G1412" s="9"/>
      <c r="H1412" s="257" t="s">
        <v>19578</v>
      </c>
      <c r="I1412" s="9">
        <v>1</v>
      </c>
    </row>
    <row r="1413" spans="1:9">
      <c r="A1413" s="257" t="s">
        <v>2511</v>
      </c>
      <c r="B1413" s="9">
        <v>7</v>
      </c>
      <c r="C1413" s="257" t="s">
        <v>10023</v>
      </c>
      <c r="D1413" s="9"/>
      <c r="E1413" s="9"/>
      <c r="F1413" s="257" t="s">
        <v>14618</v>
      </c>
      <c r="G1413" s="9"/>
      <c r="H1413" s="257" t="s">
        <v>19579</v>
      </c>
      <c r="I1413" s="9">
        <v>1</v>
      </c>
    </row>
    <row r="1414" spans="1:9">
      <c r="A1414" s="257" t="s">
        <v>2512</v>
      </c>
      <c r="B1414" s="9">
        <v>7</v>
      </c>
      <c r="C1414" s="257" t="s">
        <v>10023</v>
      </c>
      <c r="D1414" s="9"/>
      <c r="E1414" s="9"/>
      <c r="F1414" s="257" t="s">
        <v>14619</v>
      </c>
      <c r="G1414" s="9"/>
      <c r="H1414" s="257" t="s">
        <v>19580</v>
      </c>
      <c r="I1414" s="9">
        <v>1</v>
      </c>
    </row>
    <row r="1415" spans="1:9">
      <c r="A1415" s="257" t="s">
        <v>2513</v>
      </c>
      <c r="B1415" s="9">
        <v>7</v>
      </c>
      <c r="C1415" s="257" t="s">
        <v>10023</v>
      </c>
      <c r="D1415" s="9"/>
      <c r="E1415" s="9"/>
      <c r="F1415" s="257" t="s">
        <v>14620</v>
      </c>
      <c r="G1415" s="9"/>
      <c r="H1415" s="257" t="s">
        <v>19581</v>
      </c>
      <c r="I1415" s="9">
        <v>1</v>
      </c>
    </row>
    <row r="1416" spans="1:9">
      <c r="A1416" s="257" t="s">
        <v>2514</v>
      </c>
      <c r="B1416" s="9">
        <v>7</v>
      </c>
      <c r="C1416" s="257" t="s">
        <v>10023</v>
      </c>
      <c r="D1416" s="9"/>
      <c r="E1416" s="9"/>
      <c r="F1416" s="257" t="s">
        <v>14621</v>
      </c>
      <c r="G1416" s="9"/>
      <c r="H1416" s="257" t="s">
        <v>19582</v>
      </c>
      <c r="I1416" s="9">
        <v>1</v>
      </c>
    </row>
    <row r="1417" spans="1:9">
      <c r="A1417" s="257" t="s">
        <v>2515</v>
      </c>
      <c r="B1417" s="9">
        <v>7</v>
      </c>
      <c r="C1417" s="257" t="s">
        <v>10023</v>
      </c>
      <c r="D1417" s="9"/>
      <c r="E1417" s="9"/>
      <c r="F1417" s="257" t="s">
        <v>14622</v>
      </c>
      <c r="G1417" s="9"/>
      <c r="H1417" s="257" t="s">
        <v>19583</v>
      </c>
      <c r="I1417" s="9">
        <v>1</v>
      </c>
    </row>
    <row r="1418" spans="1:9">
      <c r="A1418" s="257" t="s">
        <v>2516</v>
      </c>
      <c r="B1418" s="9">
        <v>7</v>
      </c>
      <c r="C1418" s="257" t="s">
        <v>10023</v>
      </c>
      <c r="D1418" s="9"/>
      <c r="E1418" s="9"/>
      <c r="F1418" s="257" t="s">
        <v>14623</v>
      </c>
      <c r="G1418" s="9"/>
      <c r="H1418" s="257" t="s">
        <v>19584</v>
      </c>
      <c r="I1418" s="9">
        <v>1</v>
      </c>
    </row>
    <row r="1419" spans="1:9">
      <c r="A1419" s="257" t="s">
        <v>2517</v>
      </c>
      <c r="B1419" s="9">
        <v>7</v>
      </c>
      <c r="C1419" s="257" t="s">
        <v>10023</v>
      </c>
      <c r="D1419" s="9">
        <v>1.541968188952304E-2</v>
      </c>
      <c r="E1419" s="9"/>
      <c r="F1419" s="257" t="s">
        <v>14624</v>
      </c>
      <c r="G1419" s="9"/>
      <c r="H1419" s="257" t="s">
        <v>19585</v>
      </c>
      <c r="I1419" s="9">
        <v>1</v>
      </c>
    </row>
    <row r="1420" spans="1:9">
      <c r="A1420" s="257" t="s">
        <v>2518</v>
      </c>
      <c r="B1420" s="9">
        <v>7</v>
      </c>
      <c r="C1420" s="257" t="s">
        <v>10023</v>
      </c>
      <c r="D1420" s="9">
        <v>1.8768171487638275E-3</v>
      </c>
      <c r="E1420" s="9"/>
      <c r="F1420" s="257" t="s">
        <v>14625</v>
      </c>
      <c r="G1420" s="9"/>
      <c r="H1420" s="257" t="s">
        <v>19586</v>
      </c>
      <c r="I1420" s="9">
        <v>1</v>
      </c>
    </row>
    <row r="1421" spans="1:9">
      <c r="A1421" s="257" t="s">
        <v>2519</v>
      </c>
      <c r="B1421" s="9">
        <v>7</v>
      </c>
      <c r="C1421" s="257" t="s">
        <v>10023</v>
      </c>
      <c r="D1421" s="9">
        <v>1.3601768795453835E-2</v>
      </c>
      <c r="E1421" s="9"/>
      <c r="F1421" s="257" t="s">
        <v>14626</v>
      </c>
      <c r="G1421" s="9"/>
      <c r="H1421" s="257" t="s">
        <v>19587</v>
      </c>
      <c r="I1421" s="9">
        <v>1</v>
      </c>
    </row>
    <row r="1422" spans="1:9">
      <c r="A1422" s="257" t="s">
        <v>2520</v>
      </c>
      <c r="B1422" s="9">
        <v>7</v>
      </c>
      <c r="C1422" s="257" t="s">
        <v>10023</v>
      </c>
      <c r="D1422" s="9">
        <v>8.0452938911641375E-3</v>
      </c>
      <c r="E1422" s="9"/>
      <c r="F1422" s="257" t="s">
        <v>14627</v>
      </c>
      <c r="G1422" s="9"/>
      <c r="H1422" s="257" t="s">
        <v>19588</v>
      </c>
      <c r="I1422" s="9">
        <v>1</v>
      </c>
    </row>
    <row r="1423" spans="1:9">
      <c r="A1423" s="257" t="s">
        <v>2521</v>
      </c>
      <c r="B1423" s="9">
        <v>7</v>
      </c>
      <c r="C1423" s="257" t="s">
        <v>10023</v>
      </c>
      <c r="D1423" s="9">
        <v>4.0257348552363214E-3</v>
      </c>
      <c r="E1423" s="9"/>
      <c r="F1423" s="257" t="s">
        <v>14628</v>
      </c>
      <c r="G1423" s="9"/>
      <c r="H1423" s="257" t="s">
        <v>19589</v>
      </c>
      <c r="I1423" s="9">
        <v>1</v>
      </c>
    </row>
    <row r="1424" spans="1:9">
      <c r="A1424" s="257" t="s">
        <v>2522</v>
      </c>
      <c r="B1424" s="9">
        <v>7</v>
      </c>
      <c r="C1424" s="257" t="s">
        <v>10023</v>
      </c>
      <c r="D1424" s="9">
        <v>9.3756278366603375E-3</v>
      </c>
      <c r="E1424" s="9"/>
      <c r="F1424" s="257" t="s">
        <v>14629</v>
      </c>
      <c r="G1424" s="9"/>
      <c r="H1424" s="257" t="s">
        <v>19590</v>
      </c>
      <c r="I1424" s="9">
        <v>1</v>
      </c>
    </row>
    <row r="1425" spans="1:9">
      <c r="A1425" s="257" t="s">
        <v>2523</v>
      </c>
      <c r="B1425" s="9">
        <v>7</v>
      </c>
      <c r="C1425" s="257" t="s">
        <v>10023</v>
      </c>
      <c r="D1425" s="9">
        <v>-2.8242321525108385E-3</v>
      </c>
      <c r="E1425" s="9"/>
      <c r="F1425" s="257" t="s">
        <v>14630</v>
      </c>
      <c r="G1425" s="9"/>
      <c r="H1425" s="257" t="s">
        <v>19591</v>
      </c>
      <c r="I1425" s="9">
        <v>1</v>
      </c>
    </row>
    <row r="1426" spans="1:9">
      <c r="A1426" s="257" t="s">
        <v>2524</v>
      </c>
      <c r="B1426" s="9">
        <v>7</v>
      </c>
      <c r="C1426" s="257" t="s">
        <v>10023</v>
      </c>
      <c r="D1426" s="9">
        <v>-3.9812673228283406E-3</v>
      </c>
      <c r="E1426" s="9"/>
      <c r="F1426" s="257" t="s">
        <v>14631</v>
      </c>
      <c r="G1426" s="9"/>
      <c r="H1426" s="257" t="s">
        <v>19592</v>
      </c>
      <c r="I1426" s="9">
        <v>1</v>
      </c>
    </row>
    <row r="1427" spans="1:9">
      <c r="A1427" s="257" t="s">
        <v>2525</v>
      </c>
      <c r="B1427" s="9">
        <v>8</v>
      </c>
      <c r="C1427" s="257" t="s">
        <v>10023</v>
      </c>
      <c r="D1427" s="9">
        <v>1.4144599956864979E-2</v>
      </c>
      <c r="E1427" s="9"/>
      <c r="F1427" s="257" t="s">
        <v>14632</v>
      </c>
      <c r="G1427" s="9"/>
      <c r="H1427" s="257" t="s">
        <v>19593</v>
      </c>
      <c r="I1427" s="9">
        <v>1</v>
      </c>
    </row>
    <row r="1428" spans="1:9">
      <c r="A1428" s="257" t="s">
        <v>2526</v>
      </c>
      <c r="B1428" s="9">
        <v>8</v>
      </c>
      <c r="C1428" s="257" t="s">
        <v>10023</v>
      </c>
      <c r="D1428" s="9">
        <v>1.4144599956864979E-2</v>
      </c>
      <c r="E1428" s="9"/>
      <c r="F1428" s="257" t="s">
        <v>14633</v>
      </c>
      <c r="G1428" s="9"/>
      <c r="H1428" s="257" t="s">
        <v>19594</v>
      </c>
      <c r="I1428" s="9">
        <v>1</v>
      </c>
    </row>
    <row r="1429" spans="1:9">
      <c r="A1429" s="257" t="s">
        <v>2527</v>
      </c>
      <c r="B1429" s="9">
        <v>8</v>
      </c>
      <c r="C1429" s="257" t="s">
        <v>10023</v>
      </c>
      <c r="D1429" s="9">
        <v>7.6071161095811746E-3</v>
      </c>
      <c r="E1429" s="9"/>
      <c r="F1429" s="257" t="s">
        <v>14634</v>
      </c>
      <c r="G1429" s="9"/>
      <c r="H1429" s="257" t="s">
        <v>19595</v>
      </c>
      <c r="I1429" s="9">
        <v>1</v>
      </c>
    </row>
    <row r="1430" spans="1:9">
      <c r="A1430" s="257" t="s">
        <v>2528</v>
      </c>
      <c r="B1430" s="9">
        <v>8</v>
      </c>
      <c r="C1430" s="257" t="s">
        <v>10023</v>
      </c>
      <c r="D1430" s="9"/>
      <c r="E1430" s="9"/>
      <c r="F1430" s="257" t="s">
        <v>14635</v>
      </c>
      <c r="G1430" s="9"/>
      <c r="H1430" s="257" t="s">
        <v>19596</v>
      </c>
      <c r="I1430" s="9">
        <v>1</v>
      </c>
    </row>
    <row r="1431" spans="1:9">
      <c r="A1431" s="257" t="s">
        <v>2529</v>
      </c>
      <c r="B1431" s="9">
        <v>8</v>
      </c>
      <c r="C1431" s="257" t="s">
        <v>10023</v>
      </c>
      <c r="D1431" s="9"/>
      <c r="E1431" s="9"/>
      <c r="F1431" s="257" t="s">
        <v>14636</v>
      </c>
      <c r="G1431" s="9"/>
      <c r="H1431" s="257" t="s">
        <v>19597</v>
      </c>
      <c r="I1431" s="9">
        <v>1</v>
      </c>
    </row>
    <row r="1432" spans="1:9">
      <c r="A1432" s="257" t="s">
        <v>2530</v>
      </c>
      <c r="B1432" s="9">
        <v>8</v>
      </c>
      <c r="C1432" s="257" t="s">
        <v>10023</v>
      </c>
      <c r="D1432" s="9">
        <v>2.1751716066446151E-2</v>
      </c>
      <c r="E1432" s="9"/>
      <c r="F1432" s="257" t="s">
        <v>14637</v>
      </c>
      <c r="G1432" s="9"/>
      <c r="H1432" s="257" t="s">
        <v>19598</v>
      </c>
      <c r="I1432" s="9">
        <v>1</v>
      </c>
    </row>
    <row r="1433" spans="1:9">
      <c r="A1433" s="257" t="s">
        <v>2531</v>
      </c>
      <c r="B1433" s="9">
        <v>8</v>
      </c>
      <c r="C1433" s="257" t="s">
        <v>10023</v>
      </c>
      <c r="D1433" s="9">
        <v>2.1751716066446151E-2</v>
      </c>
      <c r="E1433" s="9"/>
      <c r="F1433" s="257" t="s">
        <v>14638</v>
      </c>
      <c r="G1433" s="9"/>
      <c r="H1433" s="257" t="s">
        <v>19599</v>
      </c>
      <c r="I1433" s="9">
        <v>1</v>
      </c>
    </row>
    <row r="1434" spans="1:9">
      <c r="A1434" s="257" t="s">
        <v>2532</v>
      </c>
      <c r="B1434" s="9">
        <v>8</v>
      </c>
      <c r="C1434" s="257" t="s">
        <v>10023</v>
      </c>
      <c r="D1434" s="9">
        <v>2.1751716066446151E-2</v>
      </c>
      <c r="E1434" s="9"/>
      <c r="F1434" s="257" t="s">
        <v>14639</v>
      </c>
      <c r="G1434" s="9"/>
      <c r="H1434" s="257" t="s">
        <v>19600</v>
      </c>
      <c r="I1434" s="9">
        <v>1</v>
      </c>
    </row>
    <row r="1435" spans="1:9">
      <c r="A1435" s="257" t="s">
        <v>2533</v>
      </c>
      <c r="B1435" s="9">
        <v>8</v>
      </c>
      <c r="C1435" s="257" t="s">
        <v>10023</v>
      </c>
      <c r="D1435" s="9">
        <v>2.5625962979527649E-2</v>
      </c>
      <c r="E1435" s="9"/>
      <c r="F1435" s="257" t="s">
        <v>14640</v>
      </c>
      <c r="G1435" s="9"/>
      <c r="H1435" s="257" t="s">
        <v>19601</v>
      </c>
      <c r="I1435" s="9">
        <v>1</v>
      </c>
    </row>
    <row r="1436" spans="1:9">
      <c r="A1436" s="257" t="s">
        <v>2534</v>
      </c>
      <c r="B1436" s="9">
        <v>8</v>
      </c>
      <c r="C1436" s="257" t="s">
        <v>10023</v>
      </c>
      <c r="D1436" s="9">
        <v>2.5625962979527649E-2</v>
      </c>
      <c r="E1436" s="9"/>
      <c r="F1436" s="257" t="s">
        <v>14641</v>
      </c>
      <c r="G1436" s="9"/>
      <c r="H1436" s="257" t="s">
        <v>19602</v>
      </c>
      <c r="I1436" s="9">
        <v>1</v>
      </c>
    </row>
    <row r="1437" spans="1:9">
      <c r="A1437" s="257" t="s">
        <v>2535</v>
      </c>
      <c r="B1437" s="9">
        <v>8</v>
      </c>
      <c r="C1437" s="257" t="s">
        <v>10023</v>
      </c>
      <c r="D1437" s="9">
        <v>-4.7752103468241911E-3</v>
      </c>
      <c r="E1437" s="9"/>
      <c r="F1437" s="257" t="s">
        <v>14642</v>
      </c>
      <c r="G1437" s="9"/>
      <c r="H1437" s="257" t="s">
        <v>19603</v>
      </c>
      <c r="I1437" s="9">
        <v>1</v>
      </c>
    </row>
    <row r="1438" spans="1:9">
      <c r="A1438" s="257" t="s">
        <v>2536</v>
      </c>
      <c r="B1438" s="9">
        <v>8</v>
      </c>
      <c r="C1438" s="257" t="s">
        <v>10023</v>
      </c>
      <c r="D1438" s="9"/>
      <c r="E1438" s="9"/>
      <c r="F1438" s="257" t="s">
        <v>14643</v>
      </c>
      <c r="G1438" s="9"/>
      <c r="H1438" s="257" t="s">
        <v>19604</v>
      </c>
      <c r="I1438" s="9">
        <v>1</v>
      </c>
    </row>
    <row r="1439" spans="1:9">
      <c r="A1439" s="257" t="s">
        <v>2537</v>
      </c>
      <c r="B1439" s="9">
        <v>8</v>
      </c>
      <c r="C1439" s="257" t="s">
        <v>10023</v>
      </c>
      <c r="D1439" s="9"/>
      <c r="E1439" s="9"/>
      <c r="F1439" s="257" t="s">
        <v>14644</v>
      </c>
      <c r="G1439" s="9"/>
      <c r="H1439" s="257" t="s">
        <v>19605</v>
      </c>
      <c r="I1439" s="9">
        <v>1</v>
      </c>
    </row>
    <row r="1440" spans="1:9">
      <c r="A1440" s="257" t="s">
        <v>2538</v>
      </c>
      <c r="B1440" s="9">
        <v>8</v>
      </c>
      <c r="C1440" s="257" t="s">
        <v>10023</v>
      </c>
      <c r="D1440" s="9"/>
      <c r="E1440" s="9"/>
      <c r="F1440" s="257" t="s">
        <v>14645</v>
      </c>
      <c r="G1440" s="9"/>
      <c r="H1440" s="257" t="s">
        <v>19606</v>
      </c>
      <c r="I1440" s="9">
        <v>1</v>
      </c>
    </row>
    <row r="1441" spans="1:9">
      <c r="A1441" s="257" t="s">
        <v>2539</v>
      </c>
      <c r="B1441" s="9">
        <v>8</v>
      </c>
      <c r="C1441" s="257" t="s">
        <v>10023</v>
      </c>
      <c r="D1441" s="9"/>
      <c r="E1441" s="9"/>
      <c r="F1441" s="257" t="s">
        <v>14646</v>
      </c>
      <c r="G1441" s="9"/>
      <c r="H1441" s="257" t="s">
        <v>19607</v>
      </c>
      <c r="I1441" s="9">
        <v>1</v>
      </c>
    </row>
    <row r="1442" spans="1:9">
      <c r="A1442" s="257" t="s">
        <v>2540</v>
      </c>
      <c r="B1442" s="9">
        <v>8</v>
      </c>
      <c r="C1442" s="257" t="s">
        <v>10023</v>
      </c>
      <c r="D1442" s="9"/>
      <c r="E1442" s="9"/>
      <c r="F1442" s="257" t="s">
        <v>14647</v>
      </c>
      <c r="G1442" s="9"/>
      <c r="H1442" s="257" t="s">
        <v>19608</v>
      </c>
      <c r="I1442" s="9">
        <v>1</v>
      </c>
    </row>
    <row r="1443" spans="1:9">
      <c r="A1443" s="257" t="s">
        <v>2541</v>
      </c>
      <c r="B1443" s="9">
        <v>8</v>
      </c>
      <c r="C1443" s="257" t="s">
        <v>10023</v>
      </c>
      <c r="D1443" s="9"/>
      <c r="E1443" s="9"/>
      <c r="F1443" s="257" t="s">
        <v>14648</v>
      </c>
      <c r="G1443" s="9"/>
      <c r="H1443" s="257" t="s">
        <v>19609</v>
      </c>
      <c r="I1443" s="9">
        <v>1</v>
      </c>
    </row>
    <row r="1444" spans="1:9">
      <c r="A1444" s="257" t="s">
        <v>2542</v>
      </c>
      <c r="B1444" s="9">
        <v>8</v>
      </c>
      <c r="C1444" s="257" t="s">
        <v>10023</v>
      </c>
      <c r="D1444" s="9">
        <v>1.4985168184915711E-2</v>
      </c>
      <c r="E1444" s="9"/>
      <c r="F1444" s="257" t="s">
        <v>14649</v>
      </c>
      <c r="G1444" s="9"/>
      <c r="H1444" s="257" t="s">
        <v>19610</v>
      </c>
      <c r="I1444" s="9">
        <v>1</v>
      </c>
    </row>
    <row r="1445" spans="1:9">
      <c r="A1445" s="257" t="s">
        <v>2543</v>
      </c>
      <c r="B1445" s="9">
        <v>8</v>
      </c>
      <c r="C1445" s="257" t="s">
        <v>10023</v>
      </c>
      <c r="D1445" s="9">
        <v>1.9548588740272675E-3</v>
      </c>
      <c r="E1445" s="9"/>
      <c r="F1445" s="257" t="s">
        <v>14650</v>
      </c>
      <c r="G1445" s="9"/>
      <c r="H1445" s="257" t="s">
        <v>19611</v>
      </c>
      <c r="I1445" s="9">
        <v>1</v>
      </c>
    </row>
    <row r="1446" spans="1:9">
      <c r="A1446" s="257" t="s">
        <v>2544</v>
      </c>
      <c r="B1446" s="9">
        <v>8</v>
      </c>
      <c r="C1446" s="257" t="s">
        <v>10023</v>
      </c>
      <c r="D1446" s="9">
        <v>1.4537675031014642E-2</v>
      </c>
      <c r="E1446" s="9"/>
      <c r="F1446" s="257" t="s">
        <v>14651</v>
      </c>
      <c r="G1446" s="9"/>
      <c r="H1446" s="257" t="s">
        <v>19612</v>
      </c>
      <c r="I1446" s="9">
        <v>1</v>
      </c>
    </row>
    <row r="1447" spans="1:9">
      <c r="A1447" s="257" t="s">
        <v>2545</v>
      </c>
      <c r="B1447" s="9">
        <v>8</v>
      </c>
      <c r="C1447" s="257" t="s">
        <v>10023</v>
      </c>
      <c r="D1447" s="9">
        <v>8.8979722300510673E-3</v>
      </c>
      <c r="E1447" s="9"/>
      <c r="F1447" s="257" t="s">
        <v>14652</v>
      </c>
      <c r="G1447" s="9"/>
      <c r="H1447" s="257" t="s">
        <v>19613</v>
      </c>
      <c r="I1447" s="9">
        <v>1</v>
      </c>
    </row>
    <row r="1448" spans="1:9">
      <c r="A1448" s="257" t="s">
        <v>2546</v>
      </c>
      <c r="B1448" s="9">
        <v>8</v>
      </c>
      <c r="C1448" s="257" t="s">
        <v>10023</v>
      </c>
      <c r="D1448" s="9">
        <v>4.0244905314516825E-3</v>
      </c>
      <c r="E1448" s="9"/>
      <c r="F1448" s="257" t="s">
        <v>14653</v>
      </c>
      <c r="G1448" s="9"/>
      <c r="H1448" s="257" t="s">
        <v>19614</v>
      </c>
      <c r="I1448" s="9">
        <v>1</v>
      </c>
    </row>
    <row r="1449" spans="1:9">
      <c r="A1449" s="257" t="s">
        <v>2547</v>
      </c>
      <c r="B1449" s="9">
        <v>8</v>
      </c>
      <c r="C1449" s="257" t="s">
        <v>10023</v>
      </c>
      <c r="D1449" s="9">
        <v>1.1088287948513008E-2</v>
      </c>
      <c r="E1449" s="9"/>
      <c r="F1449" s="257" t="s">
        <v>14654</v>
      </c>
      <c r="G1449" s="9"/>
      <c r="H1449" s="257" t="s">
        <v>19615</v>
      </c>
      <c r="I1449" s="9">
        <v>1</v>
      </c>
    </row>
    <row r="1450" spans="1:9">
      <c r="A1450" s="257" t="s">
        <v>2548</v>
      </c>
      <c r="B1450" s="9">
        <v>8</v>
      </c>
      <c r="C1450" s="257" t="s">
        <v>10023</v>
      </c>
      <c r="D1450" s="9">
        <v>-1.7730340904342466E-3</v>
      </c>
      <c r="E1450" s="9"/>
      <c r="F1450" s="257" t="s">
        <v>14655</v>
      </c>
      <c r="G1450" s="9"/>
      <c r="H1450" s="257" t="s">
        <v>19616</v>
      </c>
      <c r="I1450" s="9">
        <v>1</v>
      </c>
    </row>
    <row r="1451" spans="1:9">
      <c r="A1451" s="257" t="s">
        <v>2549</v>
      </c>
      <c r="B1451" s="9">
        <v>8</v>
      </c>
      <c r="C1451" s="257" t="s">
        <v>10023</v>
      </c>
      <c r="D1451" s="9">
        <v>-4.3850875841988128E-3</v>
      </c>
      <c r="E1451" s="9"/>
      <c r="F1451" s="257" t="s">
        <v>14656</v>
      </c>
      <c r="G1451" s="9"/>
      <c r="H1451" s="257" t="s">
        <v>19617</v>
      </c>
      <c r="I1451" s="9">
        <v>1</v>
      </c>
    </row>
    <row r="1452" spans="1:9">
      <c r="A1452" s="257" t="s">
        <v>2550</v>
      </c>
      <c r="B1452" s="9">
        <v>9</v>
      </c>
      <c r="C1452" s="257" t="s">
        <v>10023</v>
      </c>
      <c r="D1452" s="9">
        <v>1.5046809736682142E-2</v>
      </c>
      <c r="E1452" s="9"/>
      <c r="F1452" s="257" t="s">
        <v>14657</v>
      </c>
      <c r="G1452" s="9"/>
      <c r="H1452" s="257" t="s">
        <v>19618</v>
      </c>
      <c r="I1452" s="9">
        <v>1</v>
      </c>
    </row>
    <row r="1453" spans="1:9">
      <c r="A1453" s="257" t="s">
        <v>2551</v>
      </c>
      <c r="B1453" s="9">
        <v>9</v>
      </c>
      <c r="C1453" s="257" t="s">
        <v>10023</v>
      </c>
      <c r="D1453" s="9">
        <v>1.5046809736682142E-2</v>
      </c>
      <c r="E1453" s="9"/>
      <c r="F1453" s="257" t="s">
        <v>14658</v>
      </c>
      <c r="G1453" s="9"/>
      <c r="H1453" s="257" t="s">
        <v>19619</v>
      </c>
      <c r="I1453" s="9">
        <v>1</v>
      </c>
    </row>
    <row r="1454" spans="1:9">
      <c r="A1454" s="257" t="s">
        <v>2552</v>
      </c>
      <c r="B1454" s="9">
        <v>9</v>
      </c>
      <c r="C1454" s="257" t="s">
        <v>10023</v>
      </c>
      <c r="D1454" s="9">
        <v>7.7510787211858573E-3</v>
      </c>
      <c r="E1454" s="9"/>
      <c r="F1454" s="257" t="s">
        <v>14659</v>
      </c>
      <c r="G1454" s="9"/>
      <c r="H1454" s="257" t="s">
        <v>19620</v>
      </c>
      <c r="I1454" s="9">
        <v>1</v>
      </c>
    </row>
    <row r="1455" spans="1:9">
      <c r="A1455" s="257" t="s">
        <v>2553</v>
      </c>
      <c r="B1455" s="9">
        <v>9</v>
      </c>
      <c r="C1455" s="257" t="s">
        <v>10023</v>
      </c>
      <c r="D1455" s="9"/>
      <c r="E1455" s="9"/>
      <c r="F1455" s="257" t="s">
        <v>14660</v>
      </c>
      <c r="G1455" s="9"/>
      <c r="H1455" s="257" t="s">
        <v>19621</v>
      </c>
      <c r="I1455" s="9">
        <v>1</v>
      </c>
    </row>
    <row r="1456" spans="1:9">
      <c r="A1456" s="257" t="s">
        <v>2554</v>
      </c>
      <c r="B1456" s="9">
        <v>9</v>
      </c>
      <c r="C1456" s="257" t="s">
        <v>10023</v>
      </c>
      <c r="D1456" s="9"/>
      <c r="E1456" s="9"/>
      <c r="F1456" s="257" t="s">
        <v>14661</v>
      </c>
      <c r="G1456" s="9"/>
      <c r="H1456" s="257" t="s">
        <v>19622</v>
      </c>
      <c r="I1456" s="9">
        <v>1</v>
      </c>
    </row>
    <row r="1457" spans="1:9">
      <c r="A1457" s="257" t="s">
        <v>2555</v>
      </c>
      <c r="B1457" s="9">
        <v>9</v>
      </c>
      <c r="C1457" s="257" t="s">
        <v>10023</v>
      </c>
      <c r="D1457" s="9">
        <v>2.2797888457867999E-2</v>
      </c>
      <c r="E1457" s="9"/>
      <c r="F1457" s="257" t="s">
        <v>14662</v>
      </c>
      <c r="G1457" s="9"/>
      <c r="H1457" s="257" t="s">
        <v>19623</v>
      </c>
      <c r="I1457" s="9">
        <v>1</v>
      </c>
    </row>
    <row r="1458" spans="1:9">
      <c r="A1458" s="257" t="s">
        <v>2556</v>
      </c>
      <c r="B1458" s="9">
        <v>9</v>
      </c>
      <c r="C1458" s="257" t="s">
        <v>10023</v>
      </c>
      <c r="D1458" s="9">
        <v>2.2797888457867999E-2</v>
      </c>
      <c r="E1458" s="9"/>
      <c r="F1458" s="257" t="s">
        <v>14663</v>
      </c>
      <c r="G1458" s="9"/>
      <c r="H1458" s="257" t="s">
        <v>19624</v>
      </c>
      <c r="I1458" s="9">
        <v>1</v>
      </c>
    </row>
    <row r="1459" spans="1:9">
      <c r="A1459" s="257" t="s">
        <v>2557</v>
      </c>
      <c r="B1459" s="9">
        <v>9</v>
      </c>
      <c r="C1459" s="257" t="s">
        <v>10023</v>
      </c>
      <c r="D1459" s="9">
        <v>2.2797888457867999E-2</v>
      </c>
      <c r="E1459" s="9"/>
      <c r="F1459" s="257" t="s">
        <v>14664</v>
      </c>
      <c r="G1459" s="9"/>
      <c r="H1459" s="257" t="s">
        <v>19625</v>
      </c>
      <c r="I1459" s="9">
        <v>1</v>
      </c>
    </row>
    <row r="1460" spans="1:9">
      <c r="A1460" s="257" t="s">
        <v>2558</v>
      </c>
      <c r="B1460" s="9">
        <v>9</v>
      </c>
      <c r="C1460" s="257" t="s">
        <v>10023</v>
      </c>
      <c r="D1460" s="9">
        <v>2.6945791637628759E-2</v>
      </c>
      <c r="E1460" s="9"/>
      <c r="F1460" s="257" t="s">
        <v>14665</v>
      </c>
      <c r="G1460" s="9"/>
      <c r="H1460" s="257" t="s">
        <v>19626</v>
      </c>
      <c r="I1460" s="9">
        <v>1</v>
      </c>
    </row>
    <row r="1461" spans="1:9">
      <c r="A1461" s="257" t="s">
        <v>2559</v>
      </c>
      <c r="B1461" s="9">
        <v>9</v>
      </c>
      <c r="C1461" s="257" t="s">
        <v>10023</v>
      </c>
      <c r="D1461" s="9">
        <v>2.6945791637628759E-2</v>
      </c>
      <c r="E1461" s="9"/>
      <c r="F1461" s="257" t="s">
        <v>14666</v>
      </c>
      <c r="G1461" s="9"/>
      <c r="H1461" s="257" t="s">
        <v>19627</v>
      </c>
      <c r="I1461" s="9">
        <v>1</v>
      </c>
    </row>
    <row r="1462" spans="1:9">
      <c r="A1462" s="257" t="s">
        <v>2560</v>
      </c>
      <c r="B1462" s="9">
        <v>9</v>
      </c>
      <c r="C1462" s="257" t="s">
        <v>10023</v>
      </c>
      <c r="D1462" s="9">
        <v>-4.5784517687410603E-3</v>
      </c>
      <c r="E1462" s="9"/>
      <c r="F1462" s="257" t="s">
        <v>14667</v>
      </c>
      <c r="G1462" s="9"/>
      <c r="H1462" s="257" t="s">
        <v>19628</v>
      </c>
      <c r="I1462" s="9">
        <v>1</v>
      </c>
    </row>
    <row r="1463" spans="1:9">
      <c r="A1463" s="257" t="s">
        <v>2561</v>
      </c>
      <c r="B1463" s="9">
        <v>9</v>
      </c>
      <c r="C1463" s="257" t="s">
        <v>10023</v>
      </c>
      <c r="D1463" s="9"/>
      <c r="E1463" s="9"/>
      <c r="F1463" s="257" t="s">
        <v>14668</v>
      </c>
      <c r="G1463" s="9"/>
      <c r="H1463" s="257" t="s">
        <v>19629</v>
      </c>
      <c r="I1463" s="9">
        <v>1</v>
      </c>
    </row>
    <row r="1464" spans="1:9">
      <c r="A1464" s="257" t="s">
        <v>2562</v>
      </c>
      <c r="B1464" s="9">
        <v>9</v>
      </c>
      <c r="C1464" s="257" t="s">
        <v>10023</v>
      </c>
      <c r="D1464" s="9"/>
      <c r="E1464" s="9"/>
      <c r="F1464" s="257" t="s">
        <v>14669</v>
      </c>
      <c r="G1464" s="9"/>
      <c r="H1464" s="257" t="s">
        <v>19630</v>
      </c>
      <c r="I1464" s="9">
        <v>1</v>
      </c>
    </row>
    <row r="1465" spans="1:9">
      <c r="A1465" s="257" t="s">
        <v>2563</v>
      </c>
      <c r="B1465" s="9">
        <v>9</v>
      </c>
      <c r="C1465" s="257" t="s">
        <v>10023</v>
      </c>
      <c r="D1465" s="9"/>
      <c r="E1465" s="9"/>
      <c r="F1465" s="257" t="s">
        <v>14670</v>
      </c>
      <c r="G1465" s="9"/>
      <c r="H1465" s="257" t="s">
        <v>19631</v>
      </c>
      <c r="I1465" s="9">
        <v>1</v>
      </c>
    </row>
    <row r="1466" spans="1:9">
      <c r="A1466" s="257" t="s">
        <v>2564</v>
      </c>
      <c r="B1466" s="9">
        <v>9</v>
      </c>
      <c r="C1466" s="257" t="s">
        <v>10023</v>
      </c>
      <c r="D1466" s="9"/>
      <c r="E1466" s="9"/>
      <c r="F1466" s="257" t="s">
        <v>14671</v>
      </c>
      <c r="G1466" s="9"/>
      <c r="H1466" s="257" t="s">
        <v>19632</v>
      </c>
      <c r="I1466" s="9">
        <v>1</v>
      </c>
    </row>
    <row r="1467" spans="1:9">
      <c r="A1467" s="257" t="s">
        <v>2565</v>
      </c>
      <c r="B1467" s="9">
        <v>9</v>
      </c>
      <c r="C1467" s="257" t="s">
        <v>10023</v>
      </c>
      <c r="D1467" s="9"/>
      <c r="E1467" s="9"/>
      <c r="F1467" s="257" t="s">
        <v>14672</v>
      </c>
      <c r="G1467" s="9"/>
      <c r="H1467" s="257" t="s">
        <v>19633</v>
      </c>
      <c r="I1467" s="9">
        <v>1</v>
      </c>
    </row>
    <row r="1468" spans="1:9">
      <c r="A1468" s="257" t="s">
        <v>2566</v>
      </c>
      <c r="B1468" s="9">
        <v>9</v>
      </c>
      <c r="C1468" s="257" t="s">
        <v>10023</v>
      </c>
      <c r="D1468" s="9"/>
      <c r="E1468" s="9"/>
      <c r="F1468" s="257" t="s">
        <v>14673</v>
      </c>
      <c r="G1468" s="9"/>
      <c r="H1468" s="257" t="s">
        <v>19634</v>
      </c>
      <c r="I1468" s="9">
        <v>1</v>
      </c>
    </row>
    <row r="1469" spans="1:9">
      <c r="A1469" s="257" t="s">
        <v>2567</v>
      </c>
      <c r="B1469" s="9">
        <v>9</v>
      </c>
      <c r="C1469" s="257" t="s">
        <v>10023</v>
      </c>
      <c r="D1469" s="9">
        <v>1.5144232024777396E-2</v>
      </c>
      <c r="E1469" s="9"/>
      <c r="F1469" s="257" t="s">
        <v>14674</v>
      </c>
      <c r="G1469" s="9"/>
      <c r="H1469" s="257" t="s">
        <v>19635</v>
      </c>
      <c r="I1469" s="9">
        <v>1</v>
      </c>
    </row>
    <row r="1470" spans="1:9">
      <c r="A1470" s="257" t="s">
        <v>2568</v>
      </c>
      <c r="B1470" s="9">
        <v>9</v>
      </c>
      <c r="C1470" s="257" t="s">
        <v>10023</v>
      </c>
      <c r="D1470" s="9">
        <v>1.9346866758766042E-3</v>
      </c>
      <c r="E1470" s="9"/>
      <c r="F1470" s="257" t="s">
        <v>14675</v>
      </c>
      <c r="G1470" s="9"/>
      <c r="H1470" s="257" t="s">
        <v>19636</v>
      </c>
      <c r="I1470" s="9">
        <v>1</v>
      </c>
    </row>
    <row r="1471" spans="1:9">
      <c r="A1471" s="257" t="s">
        <v>2569</v>
      </c>
      <c r="B1471" s="9">
        <v>9</v>
      </c>
      <c r="C1471" s="257" t="s">
        <v>10023</v>
      </c>
      <c r="D1471" s="9">
        <v>1.5528837709047172E-2</v>
      </c>
      <c r="E1471" s="9"/>
      <c r="F1471" s="257" t="s">
        <v>14676</v>
      </c>
      <c r="G1471" s="9"/>
      <c r="H1471" s="257" t="s">
        <v>19637</v>
      </c>
      <c r="I1471" s="9">
        <v>1</v>
      </c>
    </row>
    <row r="1472" spans="1:9">
      <c r="A1472" s="257" t="s">
        <v>2570</v>
      </c>
      <c r="B1472" s="9">
        <v>9</v>
      </c>
      <c r="C1472" s="257" t="s">
        <v>10023</v>
      </c>
      <c r="D1472" s="9">
        <v>8.3097955200140804E-3</v>
      </c>
      <c r="E1472" s="9"/>
      <c r="F1472" s="257" t="s">
        <v>14677</v>
      </c>
      <c r="G1472" s="9"/>
      <c r="H1472" s="257" t="s">
        <v>19638</v>
      </c>
      <c r="I1472" s="9">
        <v>1</v>
      </c>
    </row>
    <row r="1473" spans="1:9">
      <c r="A1473" s="257" t="s">
        <v>2571</v>
      </c>
      <c r="B1473" s="9">
        <v>9</v>
      </c>
      <c r="C1473" s="257" t="s">
        <v>10023</v>
      </c>
      <c r="D1473" s="9">
        <v>3.9867946724971726E-3</v>
      </c>
      <c r="E1473" s="9"/>
      <c r="F1473" s="257" t="s">
        <v>14678</v>
      </c>
      <c r="G1473" s="9"/>
      <c r="H1473" s="257" t="s">
        <v>19639</v>
      </c>
      <c r="I1473" s="9">
        <v>1</v>
      </c>
    </row>
    <row r="1474" spans="1:9">
      <c r="A1474" s="257" t="s">
        <v>2572</v>
      </c>
      <c r="B1474" s="9">
        <v>9</v>
      </c>
      <c r="C1474" s="257" t="s">
        <v>10023</v>
      </c>
      <c r="D1474" s="9">
        <v>1.1416953928581585E-2</v>
      </c>
      <c r="E1474" s="9"/>
      <c r="F1474" s="257" t="s">
        <v>14679</v>
      </c>
      <c r="G1474" s="9"/>
      <c r="H1474" s="257" t="s">
        <v>19640</v>
      </c>
      <c r="I1474" s="9">
        <v>1</v>
      </c>
    </row>
    <row r="1475" spans="1:9">
      <c r="A1475" s="257" t="s">
        <v>2573</v>
      </c>
      <c r="B1475" s="9">
        <v>9</v>
      </c>
      <c r="C1475" s="257" t="s">
        <v>10023</v>
      </c>
      <c r="D1475" s="9">
        <v>-1.5770028757103097E-3</v>
      </c>
      <c r="E1475" s="9"/>
      <c r="F1475" s="257" t="s">
        <v>14680</v>
      </c>
      <c r="G1475" s="9"/>
      <c r="H1475" s="257" t="s">
        <v>19641</v>
      </c>
      <c r="I1475" s="9">
        <v>1</v>
      </c>
    </row>
    <row r="1476" spans="1:9">
      <c r="A1476" s="257" t="s">
        <v>2574</v>
      </c>
      <c r="B1476" s="9">
        <v>9</v>
      </c>
      <c r="C1476" s="257" t="s">
        <v>10023</v>
      </c>
      <c r="D1476" s="9">
        <v>-4.0998681623684481E-3</v>
      </c>
      <c r="E1476" s="9"/>
      <c r="F1476" s="257" t="s">
        <v>14681</v>
      </c>
      <c r="G1476" s="9"/>
      <c r="H1476" s="257" t="s">
        <v>19642</v>
      </c>
      <c r="I1476" s="9">
        <v>1</v>
      </c>
    </row>
    <row r="1477" spans="1:9">
      <c r="A1477" s="257" t="s">
        <v>2575</v>
      </c>
      <c r="B1477" s="9">
        <v>10</v>
      </c>
      <c r="C1477" s="257" t="s">
        <v>10023</v>
      </c>
      <c r="D1477" s="9">
        <v>1.4682347053848846E-2</v>
      </c>
      <c r="E1477" s="9"/>
      <c r="F1477" s="257" t="s">
        <v>14682</v>
      </c>
      <c r="G1477" s="9"/>
      <c r="H1477" s="257" t="s">
        <v>19643</v>
      </c>
      <c r="I1477" s="9">
        <v>1</v>
      </c>
    </row>
    <row r="1478" spans="1:9">
      <c r="A1478" s="257" t="s">
        <v>2576</v>
      </c>
      <c r="B1478" s="9">
        <v>10</v>
      </c>
      <c r="C1478" s="257" t="s">
        <v>10023</v>
      </c>
      <c r="D1478" s="9">
        <v>1.4682347053848846E-2</v>
      </c>
      <c r="E1478" s="9"/>
      <c r="F1478" s="257" t="s">
        <v>14683</v>
      </c>
      <c r="G1478" s="9"/>
      <c r="H1478" s="257" t="s">
        <v>19644</v>
      </c>
      <c r="I1478" s="9">
        <v>1</v>
      </c>
    </row>
    <row r="1479" spans="1:9">
      <c r="A1479" s="257" t="s">
        <v>2577</v>
      </c>
      <c r="B1479" s="9">
        <v>10</v>
      </c>
      <c r="C1479" s="257" t="s">
        <v>10023</v>
      </c>
      <c r="D1479" s="9">
        <v>8.7204342746713421E-3</v>
      </c>
      <c r="E1479" s="9"/>
      <c r="F1479" s="257" t="s">
        <v>14684</v>
      </c>
      <c r="G1479" s="9"/>
      <c r="H1479" s="257" t="s">
        <v>19645</v>
      </c>
      <c r="I1479" s="9">
        <v>1</v>
      </c>
    </row>
    <row r="1480" spans="1:9">
      <c r="A1480" s="257" t="s">
        <v>2578</v>
      </c>
      <c r="B1480" s="9">
        <v>10</v>
      </c>
      <c r="C1480" s="257" t="s">
        <v>10023</v>
      </c>
      <c r="D1480" s="9"/>
      <c r="E1480" s="9"/>
      <c r="F1480" s="257" t="s">
        <v>14685</v>
      </c>
      <c r="G1480" s="9"/>
      <c r="H1480" s="257" t="s">
        <v>19646</v>
      </c>
      <c r="I1480" s="9">
        <v>1</v>
      </c>
    </row>
    <row r="1481" spans="1:9">
      <c r="A1481" s="257" t="s">
        <v>2579</v>
      </c>
      <c r="B1481" s="9">
        <v>10</v>
      </c>
      <c r="C1481" s="257" t="s">
        <v>10023</v>
      </c>
      <c r="D1481" s="9"/>
      <c r="E1481" s="9"/>
      <c r="F1481" s="257" t="s">
        <v>14686</v>
      </c>
      <c r="G1481" s="9"/>
      <c r="H1481" s="257" t="s">
        <v>19647</v>
      </c>
      <c r="I1481" s="9">
        <v>1</v>
      </c>
    </row>
    <row r="1482" spans="1:9">
      <c r="A1482" s="257" t="s">
        <v>2580</v>
      </c>
      <c r="B1482" s="9">
        <v>10</v>
      </c>
      <c r="C1482" s="257" t="s">
        <v>10023</v>
      </c>
      <c r="D1482" s="9">
        <v>2.3402781328520191E-2</v>
      </c>
      <c r="E1482" s="9"/>
      <c r="F1482" s="257" t="s">
        <v>14687</v>
      </c>
      <c r="G1482" s="9"/>
      <c r="H1482" s="257" t="s">
        <v>19648</v>
      </c>
      <c r="I1482" s="9">
        <v>1</v>
      </c>
    </row>
    <row r="1483" spans="1:9">
      <c r="A1483" s="257" t="s">
        <v>2581</v>
      </c>
      <c r="B1483" s="9">
        <v>10</v>
      </c>
      <c r="C1483" s="257" t="s">
        <v>10023</v>
      </c>
      <c r="D1483" s="9">
        <v>2.3402781328520191E-2</v>
      </c>
      <c r="E1483" s="9"/>
      <c r="F1483" s="257" t="s">
        <v>14688</v>
      </c>
      <c r="G1483" s="9"/>
      <c r="H1483" s="257" t="s">
        <v>19649</v>
      </c>
      <c r="I1483" s="9">
        <v>1</v>
      </c>
    </row>
    <row r="1484" spans="1:9">
      <c r="A1484" s="257" t="s">
        <v>2582</v>
      </c>
      <c r="B1484" s="9">
        <v>10</v>
      </c>
      <c r="C1484" s="257" t="s">
        <v>10023</v>
      </c>
      <c r="D1484" s="9">
        <v>2.3402781328520191E-2</v>
      </c>
      <c r="E1484" s="9"/>
      <c r="F1484" s="257" t="s">
        <v>14689</v>
      </c>
      <c r="G1484" s="9"/>
      <c r="H1484" s="257" t="s">
        <v>19650</v>
      </c>
      <c r="I1484" s="9">
        <v>1</v>
      </c>
    </row>
    <row r="1485" spans="1:9">
      <c r="A1485" s="257" t="s">
        <v>2583</v>
      </c>
      <c r="B1485" s="9">
        <v>10</v>
      </c>
      <c r="C1485" s="257" t="s">
        <v>10023</v>
      </c>
      <c r="D1485" s="9">
        <v>2.8679358514038196E-2</v>
      </c>
      <c r="E1485" s="9"/>
      <c r="F1485" s="257" t="s">
        <v>14690</v>
      </c>
      <c r="G1485" s="9"/>
      <c r="H1485" s="257" t="s">
        <v>19651</v>
      </c>
      <c r="I1485" s="9">
        <v>1</v>
      </c>
    </row>
    <row r="1486" spans="1:9">
      <c r="A1486" s="257" t="s">
        <v>2584</v>
      </c>
      <c r="B1486" s="9">
        <v>10</v>
      </c>
      <c r="C1486" s="257" t="s">
        <v>10023</v>
      </c>
      <c r="D1486" s="9">
        <v>2.8679358514038196E-2</v>
      </c>
      <c r="E1486" s="9"/>
      <c r="F1486" s="257" t="s">
        <v>14691</v>
      </c>
      <c r="G1486" s="9"/>
      <c r="H1486" s="257" t="s">
        <v>19652</v>
      </c>
      <c r="I1486" s="9">
        <v>1</v>
      </c>
    </row>
    <row r="1487" spans="1:9">
      <c r="A1487" s="257" t="s">
        <v>2585</v>
      </c>
      <c r="B1487" s="9">
        <v>10</v>
      </c>
      <c r="C1487" s="257" t="s">
        <v>10023</v>
      </c>
      <c r="D1487" s="9">
        <v>-5.6639968444662488E-3</v>
      </c>
      <c r="E1487" s="9"/>
      <c r="F1487" s="257" t="s">
        <v>14692</v>
      </c>
      <c r="G1487" s="9"/>
      <c r="H1487" s="257" t="s">
        <v>19653</v>
      </c>
      <c r="I1487" s="9">
        <v>1</v>
      </c>
    </row>
    <row r="1488" spans="1:9">
      <c r="A1488" s="257" t="s">
        <v>2586</v>
      </c>
      <c r="B1488" s="9">
        <v>10</v>
      </c>
      <c r="C1488" s="257" t="s">
        <v>10023</v>
      </c>
      <c r="D1488" s="9"/>
      <c r="E1488" s="9"/>
      <c r="F1488" s="257" t="s">
        <v>14693</v>
      </c>
      <c r="G1488" s="9"/>
      <c r="H1488" s="257" t="s">
        <v>19654</v>
      </c>
      <c r="I1488" s="9">
        <v>1</v>
      </c>
    </row>
    <row r="1489" spans="1:9">
      <c r="A1489" s="257" t="s">
        <v>2587</v>
      </c>
      <c r="B1489" s="9">
        <v>10</v>
      </c>
      <c r="C1489" s="257" t="s">
        <v>10023</v>
      </c>
      <c r="D1489" s="9"/>
      <c r="E1489" s="9"/>
      <c r="F1489" s="257" t="s">
        <v>14694</v>
      </c>
      <c r="G1489" s="9"/>
      <c r="H1489" s="257" t="s">
        <v>19655</v>
      </c>
      <c r="I1489" s="9">
        <v>1</v>
      </c>
    </row>
    <row r="1490" spans="1:9">
      <c r="A1490" s="257" t="s">
        <v>2588</v>
      </c>
      <c r="B1490" s="9">
        <v>10</v>
      </c>
      <c r="C1490" s="257" t="s">
        <v>10023</v>
      </c>
      <c r="D1490" s="9"/>
      <c r="E1490" s="9"/>
      <c r="F1490" s="257" t="s">
        <v>14695</v>
      </c>
      <c r="G1490" s="9"/>
      <c r="H1490" s="257" t="s">
        <v>19656</v>
      </c>
      <c r="I1490" s="9">
        <v>1</v>
      </c>
    </row>
    <row r="1491" spans="1:9">
      <c r="A1491" s="257" t="s">
        <v>2589</v>
      </c>
      <c r="B1491" s="9">
        <v>10</v>
      </c>
      <c r="C1491" s="257" t="s">
        <v>10023</v>
      </c>
      <c r="D1491" s="9"/>
      <c r="E1491" s="9"/>
      <c r="F1491" s="257" t="s">
        <v>14696</v>
      </c>
      <c r="G1491" s="9"/>
      <c r="H1491" s="257" t="s">
        <v>19657</v>
      </c>
      <c r="I1491" s="9">
        <v>1</v>
      </c>
    </row>
    <row r="1492" spans="1:9">
      <c r="A1492" s="257" t="s">
        <v>2590</v>
      </c>
      <c r="B1492" s="9">
        <v>10</v>
      </c>
      <c r="C1492" s="257" t="s">
        <v>10023</v>
      </c>
      <c r="D1492" s="9"/>
      <c r="E1492" s="9"/>
      <c r="F1492" s="257" t="s">
        <v>14697</v>
      </c>
      <c r="G1492" s="9"/>
      <c r="H1492" s="257" t="s">
        <v>19658</v>
      </c>
      <c r="I1492" s="9">
        <v>1</v>
      </c>
    </row>
    <row r="1493" spans="1:9">
      <c r="A1493" s="257" t="s">
        <v>2591</v>
      </c>
      <c r="B1493" s="9">
        <v>10</v>
      </c>
      <c r="C1493" s="257" t="s">
        <v>10023</v>
      </c>
      <c r="D1493" s="9"/>
      <c r="E1493" s="9"/>
      <c r="F1493" s="257" t="s">
        <v>14698</v>
      </c>
      <c r="G1493" s="9"/>
      <c r="H1493" s="257" t="s">
        <v>19659</v>
      </c>
      <c r="I1493" s="9">
        <v>1</v>
      </c>
    </row>
    <row r="1494" spans="1:9">
      <c r="A1494" s="257" t="s">
        <v>2592</v>
      </c>
      <c r="B1494" s="9">
        <v>10</v>
      </c>
      <c r="C1494" s="257" t="s">
        <v>10023</v>
      </c>
      <c r="D1494" s="9">
        <v>1.4340124695758667E-2</v>
      </c>
      <c r="E1494" s="9"/>
      <c r="F1494" s="257" t="s">
        <v>14699</v>
      </c>
      <c r="G1494" s="9"/>
      <c r="H1494" s="257" t="s">
        <v>19660</v>
      </c>
      <c r="I1494" s="9">
        <v>1</v>
      </c>
    </row>
    <row r="1495" spans="1:9">
      <c r="A1495" s="257" t="s">
        <v>2593</v>
      </c>
      <c r="B1495" s="9">
        <v>10</v>
      </c>
      <c r="C1495" s="257" t="s">
        <v>10023</v>
      </c>
      <c r="D1495" s="9">
        <v>1.9309800219100425E-3</v>
      </c>
      <c r="E1495" s="9"/>
      <c r="F1495" s="257" t="s">
        <v>14700</v>
      </c>
      <c r="G1495" s="9"/>
      <c r="H1495" s="257" t="s">
        <v>19661</v>
      </c>
      <c r="I1495" s="9">
        <v>1</v>
      </c>
    </row>
    <row r="1496" spans="1:9">
      <c r="A1496" s="257" t="s">
        <v>2594</v>
      </c>
      <c r="B1496" s="9">
        <v>10</v>
      </c>
      <c r="C1496" s="257" t="s">
        <v>10023</v>
      </c>
      <c r="D1496" s="9">
        <v>1.5593511121870992E-2</v>
      </c>
      <c r="E1496" s="9"/>
      <c r="F1496" s="257" t="s">
        <v>14701</v>
      </c>
      <c r="G1496" s="9"/>
      <c r="H1496" s="257" t="s">
        <v>19662</v>
      </c>
      <c r="I1496" s="9">
        <v>1</v>
      </c>
    </row>
    <row r="1497" spans="1:9">
      <c r="A1497" s="257" t="s">
        <v>2595</v>
      </c>
      <c r="B1497" s="9">
        <v>10</v>
      </c>
      <c r="C1497" s="257" t="s">
        <v>10023</v>
      </c>
      <c r="D1497" s="9">
        <v>9.8200808127761486E-3</v>
      </c>
      <c r="E1497" s="9"/>
      <c r="F1497" s="257" t="s">
        <v>14702</v>
      </c>
      <c r="G1497" s="9"/>
      <c r="H1497" s="257" t="s">
        <v>19663</v>
      </c>
      <c r="I1497" s="9">
        <v>1</v>
      </c>
    </row>
    <row r="1498" spans="1:9">
      <c r="A1498" s="257" t="s">
        <v>2596</v>
      </c>
      <c r="B1498" s="9">
        <v>10</v>
      </c>
      <c r="C1498" s="257" t="s">
        <v>10023</v>
      </c>
      <c r="D1498" s="9">
        <v>4.0980617771800964E-3</v>
      </c>
      <c r="E1498" s="9"/>
      <c r="F1498" s="257" t="s">
        <v>14703</v>
      </c>
      <c r="G1498" s="9"/>
      <c r="H1498" s="257" t="s">
        <v>19664</v>
      </c>
      <c r="I1498" s="9">
        <v>1</v>
      </c>
    </row>
    <row r="1499" spans="1:9">
      <c r="A1499" s="257" t="s">
        <v>2597</v>
      </c>
      <c r="B1499" s="9">
        <v>10</v>
      </c>
      <c r="C1499" s="257" t="s">
        <v>10023</v>
      </c>
      <c r="D1499" s="9">
        <v>1.3085847392167204E-2</v>
      </c>
      <c r="E1499" s="9"/>
      <c r="F1499" s="257" t="s">
        <v>14704</v>
      </c>
      <c r="G1499" s="9"/>
      <c r="H1499" s="257" t="s">
        <v>19665</v>
      </c>
      <c r="I1499" s="9">
        <v>1</v>
      </c>
    </row>
    <row r="1500" spans="1:9">
      <c r="A1500" s="257" t="s">
        <v>2598</v>
      </c>
      <c r="B1500" s="9">
        <v>10</v>
      </c>
      <c r="C1500" s="257" t="s">
        <v>10023</v>
      </c>
      <c r="D1500" s="9">
        <v>-2.0416378039047156E-3</v>
      </c>
      <c r="E1500" s="9"/>
      <c r="F1500" s="257" t="s">
        <v>14705</v>
      </c>
      <c r="G1500" s="9"/>
      <c r="H1500" s="257" t="s">
        <v>19666</v>
      </c>
      <c r="I1500" s="9">
        <v>1</v>
      </c>
    </row>
    <row r="1501" spans="1:9">
      <c r="A1501" s="257" t="s">
        <v>2599</v>
      </c>
      <c r="B1501" s="9">
        <v>10</v>
      </c>
      <c r="C1501" s="257" t="s">
        <v>10023</v>
      </c>
      <c r="D1501" s="9">
        <v>-4.7696631218571758E-3</v>
      </c>
      <c r="E1501" s="9"/>
      <c r="F1501" s="257" t="s">
        <v>14706</v>
      </c>
      <c r="G1501" s="9"/>
      <c r="H1501" s="257" t="s">
        <v>19667</v>
      </c>
      <c r="I1501" s="9">
        <v>1</v>
      </c>
    </row>
    <row r="1502" spans="1:9">
      <c r="A1502" s="257" t="s">
        <v>2600</v>
      </c>
      <c r="B1502" s="9">
        <v>1</v>
      </c>
      <c r="C1502" s="257" t="s">
        <v>10024</v>
      </c>
      <c r="D1502" s="9">
        <v>1.0493016552724698E-2</v>
      </c>
      <c r="E1502" s="9">
        <v>1721536.5294189453</v>
      </c>
      <c r="F1502" s="257" t="s">
        <v>14707</v>
      </c>
      <c r="G1502" s="9"/>
      <c r="H1502" s="257" t="s">
        <v>19668</v>
      </c>
      <c r="I1502" s="9">
        <v>1</v>
      </c>
    </row>
    <row r="1503" spans="1:9">
      <c r="A1503" s="257" t="s">
        <v>2601</v>
      </c>
      <c r="B1503" s="9">
        <v>1</v>
      </c>
      <c r="C1503" s="257" t="s">
        <v>10024</v>
      </c>
      <c r="D1503" s="9">
        <v>1.2117325577098682E-3</v>
      </c>
      <c r="E1503" s="9">
        <v>1721536.5294189453</v>
      </c>
      <c r="F1503" s="257" t="s">
        <v>14708</v>
      </c>
      <c r="G1503" s="9"/>
      <c r="H1503" s="257" t="s">
        <v>19669</v>
      </c>
      <c r="I1503" s="9">
        <v>1</v>
      </c>
    </row>
    <row r="1504" spans="1:9">
      <c r="A1504" s="257" t="s">
        <v>2602</v>
      </c>
      <c r="B1504" s="9">
        <v>1</v>
      </c>
      <c r="C1504" s="257" t="s">
        <v>10024</v>
      </c>
      <c r="D1504" s="9">
        <v>1.0493016552724698E-2</v>
      </c>
      <c r="E1504" s="9">
        <v>1721536.5294189453</v>
      </c>
      <c r="F1504" s="257" t="s">
        <v>14709</v>
      </c>
      <c r="G1504" s="9"/>
      <c r="H1504" s="257" t="s">
        <v>19670</v>
      </c>
      <c r="I1504" s="9">
        <v>1</v>
      </c>
    </row>
    <row r="1505" spans="1:9">
      <c r="A1505" s="257" t="s">
        <v>2603</v>
      </c>
      <c r="B1505" s="9">
        <v>1</v>
      </c>
      <c r="C1505" s="257" t="s">
        <v>10024</v>
      </c>
      <c r="D1505" s="9"/>
      <c r="E1505" s="9">
        <v>1721536.5294189453</v>
      </c>
      <c r="F1505" s="257" t="s">
        <v>14710</v>
      </c>
      <c r="G1505" s="9"/>
      <c r="H1505" s="257" t="s">
        <v>19671</v>
      </c>
      <c r="I1505" s="9">
        <v>1</v>
      </c>
    </row>
    <row r="1506" spans="1:9">
      <c r="A1506" s="257" t="s">
        <v>2604</v>
      </c>
      <c r="B1506" s="9">
        <v>1</v>
      </c>
      <c r="C1506" s="257" t="s">
        <v>10024</v>
      </c>
      <c r="D1506" s="9"/>
      <c r="E1506" s="9">
        <v>1721536.5294189453</v>
      </c>
      <c r="F1506" s="257" t="s">
        <v>14711</v>
      </c>
      <c r="G1506" s="9"/>
      <c r="H1506" s="257" t="s">
        <v>19672</v>
      </c>
      <c r="I1506" s="9">
        <v>1</v>
      </c>
    </row>
    <row r="1507" spans="1:9">
      <c r="A1507" s="257" t="s">
        <v>2605</v>
      </c>
      <c r="B1507" s="9">
        <v>1</v>
      </c>
      <c r="C1507" s="257" t="s">
        <v>10024</v>
      </c>
      <c r="D1507" s="9"/>
      <c r="E1507" s="9">
        <v>1721536.5294189453</v>
      </c>
      <c r="F1507" s="257" t="s">
        <v>14712</v>
      </c>
      <c r="G1507" s="9"/>
      <c r="H1507" s="257" t="s">
        <v>19673</v>
      </c>
      <c r="I1507" s="9">
        <v>1</v>
      </c>
    </row>
    <row r="1508" spans="1:9">
      <c r="A1508" s="257" t="s">
        <v>2606</v>
      </c>
      <c r="B1508" s="9">
        <v>1</v>
      </c>
      <c r="C1508" s="257" t="s">
        <v>10024</v>
      </c>
      <c r="D1508" s="9"/>
      <c r="E1508" s="9">
        <v>1721536.5294189453</v>
      </c>
      <c r="F1508" s="257" t="s">
        <v>14713</v>
      </c>
      <c r="G1508" s="9"/>
      <c r="H1508" s="257" t="s">
        <v>19674</v>
      </c>
      <c r="I1508" s="9">
        <v>1</v>
      </c>
    </row>
    <row r="1509" spans="1:9">
      <c r="A1509" s="257" t="s">
        <v>2607</v>
      </c>
      <c r="B1509" s="9">
        <v>1</v>
      </c>
      <c r="C1509" s="257" t="s">
        <v>10024</v>
      </c>
      <c r="D1509" s="9">
        <v>1.0497101953408364E-2</v>
      </c>
      <c r="E1509" s="9">
        <v>1721536.5294189453</v>
      </c>
      <c r="F1509" s="257" t="s">
        <v>14714</v>
      </c>
      <c r="G1509" s="9"/>
      <c r="H1509" s="257" t="s">
        <v>19675</v>
      </c>
      <c r="I1509" s="9">
        <v>1</v>
      </c>
    </row>
    <row r="1510" spans="1:9">
      <c r="A1510" s="257" t="s">
        <v>2608</v>
      </c>
      <c r="B1510" s="9">
        <v>1</v>
      </c>
      <c r="C1510" s="257" t="s">
        <v>10024</v>
      </c>
      <c r="D1510" s="9"/>
      <c r="E1510" s="9">
        <v>1721536.5294189453</v>
      </c>
      <c r="F1510" s="257" t="s">
        <v>14715</v>
      </c>
      <c r="G1510" s="9"/>
      <c r="H1510" s="257" t="s">
        <v>19676</v>
      </c>
      <c r="I1510" s="9">
        <v>1</v>
      </c>
    </row>
    <row r="1511" spans="1:9">
      <c r="A1511" s="257" t="s">
        <v>2609</v>
      </c>
      <c r="B1511" s="9">
        <v>1</v>
      </c>
      <c r="C1511" s="257" t="s">
        <v>10024</v>
      </c>
      <c r="D1511" s="9">
        <v>1.5815427282143819E-2</v>
      </c>
      <c r="E1511" s="9">
        <v>1721536.5294189453</v>
      </c>
      <c r="F1511" s="257" t="s">
        <v>14716</v>
      </c>
      <c r="G1511" s="9"/>
      <c r="H1511" s="257" t="s">
        <v>19677</v>
      </c>
      <c r="I1511" s="9">
        <v>1</v>
      </c>
    </row>
    <row r="1512" spans="1:9">
      <c r="A1512" s="257" t="s">
        <v>2610</v>
      </c>
      <c r="B1512" s="9">
        <v>1</v>
      </c>
      <c r="C1512" s="257" t="s">
        <v>10024</v>
      </c>
      <c r="D1512" s="9"/>
      <c r="E1512" s="9">
        <v>1721536.5294189453</v>
      </c>
      <c r="F1512" s="257" t="s">
        <v>14717</v>
      </c>
      <c r="G1512" s="9"/>
      <c r="H1512" s="257" t="s">
        <v>19678</v>
      </c>
      <c r="I1512" s="9">
        <v>1</v>
      </c>
    </row>
    <row r="1513" spans="1:9">
      <c r="A1513" s="257" t="s">
        <v>2611</v>
      </c>
      <c r="B1513" s="9">
        <v>1</v>
      </c>
      <c r="C1513" s="257" t="s">
        <v>10024</v>
      </c>
      <c r="D1513" s="9">
        <v>1.0088961894492626E-2</v>
      </c>
      <c r="E1513" s="9">
        <v>1721536.5294189453</v>
      </c>
      <c r="F1513" s="257" t="s">
        <v>14718</v>
      </c>
      <c r="G1513" s="9"/>
      <c r="H1513" s="257" t="s">
        <v>19679</v>
      </c>
      <c r="I1513" s="9">
        <v>1</v>
      </c>
    </row>
    <row r="1514" spans="1:9">
      <c r="A1514" s="257" t="s">
        <v>2612</v>
      </c>
      <c r="B1514" s="9">
        <v>1</v>
      </c>
      <c r="C1514" s="257" t="s">
        <v>10024</v>
      </c>
      <c r="D1514" s="9">
        <v>1.1111328215431019E-2</v>
      </c>
      <c r="E1514" s="9">
        <v>1721536.5294189453</v>
      </c>
      <c r="F1514" s="257" t="s">
        <v>14719</v>
      </c>
      <c r="G1514" s="9"/>
      <c r="H1514" s="257" t="s">
        <v>19680</v>
      </c>
      <c r="I1514" s="9">
        <v>1</v>
      </c>
    </row>
    <row r="1515" spans="1:9">
      <c r="A1515" s="257" t="s">
        <v>2613</v>
      </c>
      <c r="B1515" s="9">
        <v>1</v>
      </c>
      <c r="C1515" s="257" t="s">
        <v>10024</v>
      </c>
      <c r="D1515" s="9">
        <v>1.2638266967807244E-2</v>
      </c>
      <c r="E1515" s="9">
        <v>1721536.5294189453</v>
      </c>
      <c r="F1515" s="257" t="s">
        <v>14720</v>
      </c>
      <c r="G1515" s="9"/>
      <c r="H1515" s="257" t="s">
        <v>19681</v>
      </c>
      <c r="I1515" s="9">
        <v>1</v>
      </c>
    </row>
    <row r="1516" spans="1:9">
      <c r="A1516" s="257" t="s">
        <v>2614</v>
      </c>
      <c r="B1516" s="9">
        <v>1</v>
      </c>
      <c r="C1516" s="257" t="s">
        <v>10024</v>
      </c>
      <c r="D1516" s="9"/>
      <c r="E1516" s="9">
        <v>1721536.5294189453</v>
      </c>
      <c r="F1516" s="257" t="s">
        <v>14721</v>
      </c>
      <c r="G1516" s="9"/>
      <c r="H1516" s="257" t="s">
        <v>19682</v>
      </c>
      <c r="I1516" s="9">
        <v>1</v>
      </c>
    </row>
    <row r="1517" spans="1:9">
      <c r="A1517" s="257" t="s">
        <v>2615</v>
      </c>
      <c r="B1517" s="9">
        <v>1</v>
      </c>
      <c r="C1517" s="257" t="s">
        <v>10024</v>
      </c>
      <c r="D1517" s="9"/>
      <c r="E1517" s="9">
        <v>1721536.5294189453</v>
      </c>
      <c r="F1517" s="257" t="s">
        <v>14722</v>
      </c>
      <c r="G1517" s="9"/>
      <c r="H1517" s="257" t="s">
        <v>19683</v>
      </c>
      <c r="I1517" s="9">
        <v>1</v>
      </c>
    </row>
    <row r="1518" spans="1:9">
      <c r="A1518" s="257" t="s">
        <v>2616</v>
      </c>
      <c r="B1518" s="9">
        <v>1</v>
      </c>
      <c r="C1518" s="257" t="s">
        <v>10024</v>
      </c>
      <c r="D1518" s="9">
        <v>7.7901297713241441E-3</v>
      </c>
      <c r="E1518" s="9">
        <v>1721536.5294189453</v>
      </c>
      <c r="F1518" s="257" t="s">
        <v>14723</v>
      </c>
      <c r="G1518" s="9"/>
      <c r="H1518" s="257" t="s">
        <v>19684</v>
      </c>
      <c r="I1518" s="9">
        <v>1</v>
      </c>
    </row>
    <row r="1519" spans="1:9">
      <c r="A1519" s="257" t="s">
        <v>2617</v>
      </c>
      <c r="B1519" s="9">
        <v>1</v>
      </c>
      <c r="C1519" s="257" t="s">
        <v>10024</v>
      </c>
      <c r="D1519" s="9">
        <v>1.3316355727795371E-2</v>
      </c>
      <c r="E1519" s="9">
        <v>1721536.5294189453</v>
      </c>
      <c r="F1519" s="257" t="s">
        <v>14724</v>
      </c>
      <c r="G1519" s="9"/>
      <c r="H1519" s="257" t="s">
        <v>19685</v>
      </c>
      <c r="I1519" s="9">
        <v>1</v>
      </c>
    </row>
    <row r="1520" spans="1:9">
      <c r="A1520" s="257" t="s">
        <v>2618</v>
      </c>
      <c r="B1520" s="9">
        <v>1</v>
      </c>
      <c r="C1520" s="257" t="s">
        <v>10024</v>
      </c>
      <c r="D1520" s="9">
        <v>1.3316355727795371E-2</v>
      </c>
      <c r="E1520" s="9">
        <v>1721536.5294189453</v>
      </c>
      <c r="F1520" s="257" t="s">
        <v>14725</v>
      </c>
      <c r="G1520" s="9"/>
      <c r="H1520" s="257" t="s">
        <v>19686</v>
      </c>
      <c r="I1520" s="9">
        <v>1</v>
      </c>
    </row>
    <row r="1521" spans="1:9">
      <c r="A1521" s="257" t="s">
        <v>2619</v>
      </c>
      <c r="B1521" s="9">
        <v>1</v>
      </c>
      <c r="C1521" s="257" t="s">
        <v>10024</v>
      </c>
      <c r="D1521" s="9">
        <v>1.8175063638549052E-2</v>
      </c>
      <c r="E1521" s="9">
        <v>1721536.5294189453</v>
      </c>
      <c r="F1521" s="257" t="s">
        <v>14726</v>
      </c>
      <c r="G1521" s="9"/>
      <c r="H1521" s="257" t="s">
        <v>19687</v>
      </c>
      <c r="I1521" s="9">
        <v>1</v>
      </c>
    </row>
    <row r="1522" spans="1:9">
      <c r="A1522" s="257" t="s">
        <v>2620</v>
      </c>
      <c r="B1522" s="9">
        <v>1</v>
      </c>
      <c r="C1522" s="257" t="s">
        <v>10024</v>
      </c>
      <c r="D1522" s="9">
        <v>2.4113190096632729E-2</v>
      </c>
      <c r="E1522" s="9">
        <v>1721536.5294189453</v>
      </c>
      <c r="F1522" s="257" t="s">
        <v>14727</v>
      </c>
      <c r="G1522" s="9"/>
      <c r="H1522" s="257" t="s">
        <v>19688</v>
      </c>
      <c r="I1522" s="9">
        <v>1</v>
      </c>
    </row>
    <row r="1523" spans="1:9">
      <c r="A1523" s="257" t="s">
        <v>2621</v>
      </c>
      <c r="B1523" s="9">
        <v>1</v>
      </c>
      <c r="C1523" s="257" t="s">
        <v>10024</v>
      </c>
      <c r="D1523" s="9">
        <v>1.2638266967807244E-2</v>
      </c>
      <c r="E1523" s="9">
        <v>1721536.5294189453</v>
      </c>
      <c r="F1523" s="257" t="s">
        <v>14728</v>
      </c>
      <c r="G1523" s="9"/>
      <c r="H1523" s="257" t="s">
        <v>19689</v>
      </c>
      <c r="I1523" s="9">
        <v>1</v>
      </c>
    </row>
    <row r="1524" spans="1:9">
      <c r="A1524" s="257" t="s">
        <v>2622</v>
      </c>
      <c r="B1524" s="9">
        <v>1</v>
      </c>
      <c r="C1524" s="257" t="s">
        <v>10024</v>
      </c>
      <c r="D1524" s="9">
        <v>2.3851802028715809E-2</v>
      </c>
      <c r="E1524" s="9">
        <v>1721536.5294189453</v>
      </c>
      <c r="F1524" s="257" t="s">
        <v>14729</v>
      </c>
      <c r="G1524" s="9"/>
      <c r="H1524" s="257" t="s">
        <v>19690</v>
      </c>
      <c r="I1524" s="9">
        <v>1</v>
      </c>
    </row>
    <row r="1525" spans="1:9">
      <c r="A1525" s="257" t="s">
        <v>2623</v>
      </c>
      <c r="B1525" s="9">
        <v>1</v>
      </c>
      <c r="C1525" s="257" t="s">
        <v>10024</v>
      </c>
      <c r="D1525" s="9">
        <v>1.3316355727795371E-2</v>
      </c>
      <c r="E1525" s="9">
        <v>1721536.5294189453</v>
      </c>
      <c r="F1525" s="257" t="s">
        <v>14730</v>
      </c>
      <c r="G1525" s="9"/>
      <c r="H1525" s="257" t="s">
        <v>19691</v>
      </c>
      <c r="I1525" s="9">
        <v>1</v>
      </c>
    </row>
    <row r="1526" spans="1:9">
      <c r="A1526" s="257" t="s">
        <v>2624</v>
      </c>
      <c r="B1526" s="9">
        <v>1</v>
      </c>
      <c r="C1526" s="257" t="s">
        <v>10024</v>
      </c>
      <c r="D1526" s="9">
        <v>9.1038115107102708E-3</v>
      </c>
      <c r="E1526" s="9">
        <v>1721536.5294189453</v>
      </c>
      <c r="F1526" s="257" t="s">
        <v>14731</v>
      </c>
      <c r="G1526" s="9"/>
      <c r="H1526" s="257" t="s">
        <v>19692</v>
      </c>
      <c r="I1526" s="9">
        <v>1</v>
      </c>
    </row>
    <row r="1527" spans="1:9">
      <c r="A1527" s="257" t="s">
        <v>2625</v>
      </c>
      <c r="B1527" s="9">
        <v>2</v>
      </c>
      <c r="C1527" s="257" t="s">
        <v>10024</v>
      </c>
      <c r="D1527" s="9"/>
      <c r="E1527" s="9">
        <v>1728935.5716552734</v>
      </c>
      <c r="F1527" s="257" t="s">
        <v>14732</v>
      </c>
      <c r="G1527" s="9"/>
      <c r="H1527" s="257" t="s">
        <v>19693</v>
      </c>
      <c r="I1527" s="9">
        <v>1</v>
      </c>
    </row>
    <row r="1528" spans="1:9">
      <c r="A1528" s="257" t="s">
        <v>2626</v>
      </c>
      <c r="B1528" s="9">
        <v>2</v>
      </c>
      <c r="C1528" s="257" t="s">
        <v>10024</v>
      </c>
      <c r="D1528" s="9">
        <v>2.3847998482285665E-2</v>
      </c>
      <c r="E1528" s="9">
        <v>1728935.5716552734</v>
      </c>
      <c r="F1528" s="257" t="s">
        <v>14733</v>
      </c>
      <c r="G1528" s="9"/>
      <c r="H1528" s="257" t="s">
        <v>19694</v>
      </c>
      <c r="I1528" s="9">
        <v>1</v>
      </c>
    </row>
    <row r="1529" spans="1:9">
      <c r="A1529" s="257" t="s">
        <v>2627</v>
      </c>
      <c r="B1529" s="9">
        <v>2</v>
      </c>
      <c r="C1529" s="257" t="s">
        <v>10024</v>
      </c>
      <c r="D1529" s="9">
        <v>3.113397207547601E-2</v>
      </c>
      <c r="E1529" s="9">
        <v>1728935.5716552734</v>
      </c>
      <c r="F1529" s="257" t="s">
        <v>14734</v>
      </c>
      <c r="G1529" s="9"/>
      <c r="H1529" s="257" t="s">
        <v>19695</v>
      </c>
      <c r="I1529" s="9">
        <v>1</v>
      </c>
    </row>
    <row r="1530" spans="1:9">
      <c r="A1530" s="257" t="s">
        <v>2628</v>
      </c>
      <c r="B1530" s="9">
        <v>2</v>
      </c>
      <c r="C1530" s="257" t="s">
        <v>10024</v>
      </c>
      <c r="D1530" s="9">
        <v>2.3103496454869851E-2</v>
      </c>
      <c r="E1530" s="9">
        <v>1728935.5716552734</v>
      </c>
      <c r="F1530" s="257" t="s">
        <v>14735</v>
      </c>
      <c r="G1530" s="9"/>
      <c r="H1530" s="257" t="s">
        <v>19696</v>
      </c>
      <c r="I1530" s="9">
        <v>1</v>
      </c>
    </row>
    <row r="1531" spans="1:9">
      <c r="A1531" s="257" t="s">
        <v>2629</v>
      </c>
      <c r="B1531" s="9">
        <v>2</v>
      </c>
      <c r="C1531" s="257" t="s">
        <v>10024</v>
      </c>
      <c r="D1531" s="9">
        <v>1.9137122477742088E-2</v>
      </c>
      <c r="E1531" s="9">
        <v>1728935.5716552734</v>
      </c>
      <c r="F1531" s="257" t="s">
        <v>14736</v>
      </c>
      <c r="G1531" s="9"/>
      <c r="H1531" s="257" t="s">
        <v>19697</v>
      </c>
      <c r="I1531" s="9">
        <v>1</v>
      </c>
    </row>
    <row r="1532" spans="1:9">
      <c r="A1532" s="257" t="s">
        <v>2630</v>
      </c>
      <c r="B1532" s="9">
        <v>2</v>
      </c>
      <c r="C1532" s="257" t="s">
        <v>10024</v>
      </c>
      <c r="D1532" s="9">
        <v>8.6554838735649915E-3</v>
      </c>
      <c r="E1532" s="9">
        <v>1728935.5716552734</v>
      </c>
      <c r="F1532" s="257" t="s">
        <v>14737</v>
      </c>
      <c r="G1532" s="9"/>
      <c r="H1532" s="257" t="s">
        <v>19698</v>
      </c>
      <c r="I1532" s="9">
        <v>1</v>
      </c>
    </row>
    <row r="1533" spans="1:9">
      <c r="A1533" s="257" t="s">
        <v>2631</v>
      </c>
      <c r="B1533" s="9">
        <v>2</v>
      </c>
      <c r="C1533" s="257" t="s">
        <v>10024</v>
      </c>
      <c r="D1533" s="9">
        <v>3.7446555105965562E-2</v>
      </c>
      <c r="E1533" s="9">
        <v>1728935.5716552734</v>
      </c>
      <c r="F1533" s="257" t="s">
        <v>14738</v>
      </c>
      <c r="G1533" s="9"/>
      <c r="H1533" s="257" t="s">
        <v>19699</v>
      </c>
      <c r="I1533" s="9">
        <v>1</v>
      </c>
    </row>
    <row r="1534" spans="1:9">
      <c r="A1534" s="257" t="s">
        <v>2632</v>
      </c>
      <c r="B1534" s="9">
        <v>2</v>
      </c>
      <c r="C1534" s="257" t="s">
        <v>10024</v>
      </c>
      <c r="D1534" s="9">
        <v>2.8370054008606961E-2</v>
      </c>
      <c r="E1534" s="9">
        <v>1728935.5716552734</v>
      </c>
      <c r="F1534" s="257" t="s">
        <v>14739</v>
      </c>
      <c r="G1534" s="9"/>
      <c r="H1534" s="257" t="s">
        <v>19700</v>
      </c>
      <c r="I1534" s="9">
        <v>1</v>
      </c>
    </row>
    <row r="1535" spans="1:9">
      <c r="A1535" s="257" t="s">
        <v>2633</v>
      </c>
      <c r="B1535" s="9">
        <v>2</v>
      </c>
      <c r="C1535" s="257" t="s">
        <v>10024</v>
      </c>
      <c r="D1535" s="9">
        <v>2.3847998482285665E-2</v>
      </c>
      <c r="E1535" s="9">
        <v>1728935.5716552734</v>
      </c>
      <c r="F1535" s="257" t="s">
        <v>14740</v>
      </c>
      <c r="G1535" s="9"/>
      <c r="H1535" s="257" t="s">
        <v>19701</v>
      </c>
      <c r="I1535" s="9">
        <v>1</v>
      </c>
    </row>
    <row r="1536" spans="1:9">
      <c r="A1536" s="257" t="s">
        <v>2634</v>
      </c>
      <c r="B1536" s="9">
        <v>2</v>
      </c>
      <c r="C1536" s="257" t="s">
        <v>10024</v>
      </c>
      <c r="D1536" s="9">
        <v>2.0117067185282046E-2</v>
      </c>
      <c r="E1536" s="9">
        <v>1728935.5716552734</v>
      </c>
      <c r="F1536" s="257" t="s">
        <v>14741</v>
      </c>
      <c r="G1536" s="9"/>
      <c r="H1536" s="257" t="s">
        <v>19702</v>
      </c>
      <c r="I1536" s="9">
        <v>1</v>
      </c>
    </row>
    <row r="1537" spans="1:9">
      <c r="A1537" s="257" t="s">
        <v>2635</v>
      </c>
      <c r="B1537" s="9">
        <v>2</v>
      </c>
      <c r="C1537" s="257" t="s">
        <v>10024</v>
      </c>
      <c r="D1537" s="9"/>
      <c r="E1537" s="9">
        <v>1728935.5716552734</v>
      </c>
      <c r="F1537" s="257" t="s">
        <v>14742</v>
      </c>
      <c r="G1537" s="9"/>
      <c r="H1537" s="257" t="s">
        <v>19703</v>
      </c>
      <c r="I1537" s="9">
        <v>1</v>
      </c>
    </row>
    <row r="1538" spans="1:9">
      <c r="A1538" s="257" t="s">
        <v>2636</v>
      </c>
      <c r="B1538" s="9">
        <v>2</v>
      </c>
      <c r="C1538" s="257" t="s">
        <v>10024</v>
      </c>
      <c r="D1538" s="9">
        <v>2.3247434441550995E-2</v>
      </c>
      <c r="E1538" s="9">
        <v>1728935.5716552734</v>
      </c>
      <c r="F1538" s="257" t="s">
        <v>14743</v>
      </c>
      <c r="G1538" s="9"/>
      <c r="H1538" s="257" t="s">
        <v>19704</v>
      </c>
      <c r="I1538" s="9">
        <v>1</v>
      </c>
    </row>
    <row r="1539" spans="1:9">
      <c r="A1539" s="257" t="s">
        <v>2637</v>
      </c>
      <c r="B1539" s="9">
        <v>2</v>
      </c>
      <c r="C1539" s="257" t="s">
        <v>10024</v>
      </c>
      <c r="D1539" s="9"/>
      <c r="E1539" s="9">
        <v>1728935.5716552734</v>
      </c>
      <c r="F1539" s="257" t="s">
        <v>14744</v>
      </c>
      <c r="G1539" s="9"/>
      <c r="H1539" s="257" t="s">
        <v>19705</v>
      </c>
      <c r="I1539" s="9">
        <v>1</v>
      </c>
    </row>
    <row r="1540" spans="1:9">
      <c r="A1540" s="257" t="s">
        <v>2638</v>
      </c>
      <c r="B1540" s="9">
        <v>2</v>
      </c>
      <c r="C1540" s="257" t="s">
        <v>10024</v>
      </c>
      <c r="D1540" s="9">
        <v>1.9614203191019881E-2</v>
      </c>
      <c r="E1540" s="9">
        <v>1728935.5716552734</v>
      </c>
      <c r="F1540" s="257" t="s">
        <v>14745</v>
      </c>
      <c r="G1540" s="9"/>
      <c r="H1540" s="257" t="s">
        <v>19706</v>
      </c>
      <c r="I1540" s="9">
        <v>1</v>
      </c>
    </row>
    <row r="1541" spans="1:9">
      <c r="A1541" s="257" t="s">
        <v>2639</v>
      </c>
      <c r="B1541" s="9">
        <v>2</v>
      </c>
      <c r="C1541" s="257" t="s">
        <v>10024</v>
      </c>
      <c r="D1541" s="9">
        <v>2.3847998482285665E-2</v>
      </c>
      <c r="E1541" s="9">
        <v>1728935.5716552734</v>
      </c>
      <c r="F1541" s="257" t="s">
        <v>14746</v>
      </c>
      <c r="G1541" s="9"/>
      <c r="H1541" s="257" t="s">
        <v>19707</v>
      </c>
      <c r="I1541" s="9">
        <v>1</v>
      </c>
    </row>
    <row r="1542" spans="1:9">
      <c r="A1542" s="257" t="s">
        <v>2640</v>
      </c>
      <c r="B1542" s="9">
        <v>2</v>
      </c>
      <c r="C1542" s="257" t="s">
        <v>10024</v>
      </c>
      <c r="D1542" s="9"/>
      <c r="E1542" s="9">
        <v>1728935.5716552734</v>
      </c>
      <c r="F1542" s="257" t="s">
        <v>14747</v>
      </c>
      <c r="G1542" s="9"/>
      <c r="H1542" s="257" t="s">
        <v>19708</v>
      </c>
      <c r="I1542" s="9">
        <v>1</v>
      </c>
    </row>
    <row r="1543" spans="1:9">
      <c r="A1543" s="257" t="s">
        <v>2641</v>
      </c>
      <c r="B1543" s="9">
        <v>2</v>
      </c>
      <c r="C1543" s="257" t="s">
        <v>10024</v>
      </c>
      <c r="D1543" s="9"/>
      <c r="E1543" s="9">
        <v>1728935.5716552734</v>
      </c>
      <c r="F1543" s="257" t="s">
        <v>14748</v>
      </c>
      <c r="G1543" s="9"/>
      <c r="H1543" s="257" t="s">
        <v>19709</v>
      </c>
      <c r="I1543" s="9">
        <v>1</v>
      </c>
    </row>
    <row r="1544" spans="1:9">
      <c r="A1544" s="257" t="s">
        <v>2642</v>
      </c>
      <c r="B1544" s="9">
        <v>2</v>
      </c>
      <c r="C1544" s="257" t="s">
        <v>10024</v>
      </c>
      <c r="D1544" s="9">
        <v>1.9614203191019881E-2</v>
      </c>
      <c r="E1544" s="9">
        <v>1728935.5716552734</v>
      </c>
      <c r="F1544" s="257" t="s">
        <v>14749</v>
      </c>
      <c r="G1544" s="9"/>
      <c r="H1544" s="257" t="s">
        <v>19710</v>
      </c>
      <c r="I1544" s="9">
        <v>1</v>
      </c>
    </row>
    <row r="1545" spans="1:9">
      <c r="A1545" s="257" t="s">
        <v>2643</v>
      </c>
      <c r="B1545" s="9">
        <v>2</v>
      </c>
      <c r="C1545" s="257" t="s">
        <v>10024</v>
      </c>
      <c r="D1545" s="9"/>
      <c r="E1545" s="9">
        <v>1728935.5716552734</v>
      </c>
      <c r="F1545" s="257" t="s">
        <v>14750</v>
      </c>
      <c r="G1545" s="9"/>
      <c r="H1545" s="257" t="s">
        <v>19711</v>
      </c>
      <c r="I1545" s="9">
        <v>1</v>
      </c>
    </row>
    <row r="1546" spans="1:9">
      <c r="A1546" s="257" t="s">
        <v>2644</v>
      </c>
      <c r="B1546" s="9">
        <v>2</v>
      </c>
      <c r="C1546" s="257" t="s">
        <v>10024</v>
      </c>
      <c r="D1546" s="9">
        <v>2.3247434441550995E-2</v>
      </c>
      <c r="E1546" s="9">
        <v>1728935.5716552734</v>
      </c>
      <c r="F1546" s="257" t="s">
        <v>14751</v>
      </c>
      <c r="G1546" s="9"/>
      <c r="H1546" s="257" t="s">
        <v>19712</v>
      </c>
      <c r="I1546" s="9">
        <v>1</v>
      </c>
    </row>
    <row r="1547" spans="1:9">
      <c r="A1547" s="257" t="s">
        <v>2645</v>
      </c>
      <c r="B1547" s="9">
        <v>2</v>
      </c>
      <c r="C1547" s="257" t="s">
        <v>10024</v>
      </c>
      <c r="D1547" s="9">
        <v>3.7367319909258317E-2</v>
      </c>
      <c r="E1547" s="9">
        <v>1728935.5716552734</v>
      </c>
      <c r="F1547" s="257" t="s">
        <v>14752</v>
      </c>
      <c r="G1547" s="9"/>
      <c r="H1547" s="257" t="s">
        <v>19713</v>
      </c>
      <c r="I1547" s="9">
        <v>1</v>
      </c>
    </row>
    <row r="1548" spans="1:9">
      <c r="A1548" s="257" t="s">
        <v>2646</v>
      </c>
      <c r="B1548" s="9">
        <v>2</v>
      </c>
      <c r="C1548" s="257" t="s">
        <v>10024</v>
      </c>
      <c r="D1548" s="9">
        <v>2.2140528250674984E-2</v>
      </c>
      <c r="E1548" s="9">
        <v>1728935.5716552734</v>
      </c>
      <c r="F1548" s="257" t="s">
        <v>14753</v>
      </c>
      <c r="G1548" s="9"/>
      <c r="H1548" s="257" t="s">
        <v>19714</v>
      </c>
      <c r="I1548" s="9">
        <v>1</v>
      </c>
    </row>
    <row r="1549" spans="1:9">
      <c r="A1549" s="257" t="s">
        <v>2647</v>
      </c>
      <c r="B1549" s="9">
        <v>2</v>
      </c>
      <c r="C1549" s="257" t="s">
        <v>10024</v>
      </c>
      <c r="D1549" s="9"/>
      <c r="E1549" s="9">
        <v>1728935.5716552734</v>
      </c>
      <c r="F1549" s="257" t="s">
        <v>14754</v>
      </c>
      <c r="G1549" s="9"/>
      <c r="H1549" s="257" t="s">
        <v>19715</v>
      </c>
      <c r="I1549" s="9">
        <v>1</v>
      </c>
    </row>
    <row r="1550" spans="1:9">
      <c r="A1550" s="257" t="s">
        <v>2648</v>
      </c>
      <c r="B1550" s="9">
        <v>2</v>
      </c>
      <c r="C1550" s="257" t="s">
        <v>10024</v>
      </c>
      <c r="D1550" s="9">
        <v>1.6135865561776735E-2</v>
      </c>
      <c r="E1550" s="9">
        <v>1728935.5716552734</v>
      </c>
      <c r="F1550" s="257" t="s">
        <v>14755</v>
      </c>
      <c r="G1550" s="9"/>
      <c r="H1550" s="257" t="s">
        <v>19716</v>
      </c>
      <c r="I1550" s="9">
        <v>1</v>
      </c>
    </row>
    <row r="1551" spans="1:9">
      <c r="A1551" s="257" t="s">
        <v>2649</v>
      </c>
      <c r="B1551" s="9">
        <v>2</v>
      </c>
      <c r="C1551" s="257" t="s">
        <v>10024</v>
      </c>
      <c r="D1551" s="9"/>
      <c r="E1551" s="9">
        <v>1728935.5716552734</v>
      </c>
      <c r="F1551" s="257" t="s">
        <v>14756</v>
      </c>
      <c r="G1551" s="9"/>
      <c r="H1551" s="257" t="s">
        <v>19717</v>
      </c>
      <c r="I1551" s="9">
        <v>1</v>
      </c>
    </row>
    <row r="1552" spans="1:9">
      <c r="A1552" s="257" t="s">
        <v>2650</v>
      </c>
      <c r="B1552" s="9">
        <v>3</v>
      </c>
      <c r="C1552" s="257" t="s">
        <v>10024</v>
      </c>
      <c r="D1552" s="9"/>
      <c r="E1552" s="9">
        <v>1724459.8235549927</v>
      </c>
      <c r="F1552" s="257" t="s">
        <v>14757</v>
      </c>
      <c r="G1552" s="9"/>
      <c r="H1552" s="257" t="s">
        <v>19718</v>
      </c>
      <c r="I1552" s="9">
        <v>1</v>
      </c>
    </row>
    <row r="1553" spans="1:9">
      <c r="A1553" s="257" t="s">
        <v>2651</v>
      </c>
      <c r="B1553" s="9">
        <v>3</v>
      </c>
      <c r="C1553" s="257" t="s">
        <v>10024</v>
      </c>
      <c r="D1553" s="9">
        <v>3.0054104427804897E-2</v>
      </c>
      <c r="E1553" s="9">
        <v>1724459.8235549927</v>
      </c>
      <c r="F1553" s="257" t="s">
        <v>14758</v>
      </c>
      <c r="G1553" s="9"/>
      <c r="H1553" s="257" t="s">
        <v>19719</v>
      </c>
      <c r="I1553" s="9">
        <v>1</v>
      </c>
    </row>
    <row r="1554" spans="1:9">
      <c r="A1554" s="257" t="s">
        <v>2652</v>
      </c>
      <c r="B1554" s="9">
        <v>3</v>
      </c>
      <c r="C1554" s="257" t="s">
        <v>10024</v>
      </c>
      <c r="D1554" s="9">
        <v>2.8607539518770944E-2</v>
      </c>
      <c r="E1554" s="9">
        <v>1724459.8235549927</v>
      </c>
      <c r="F1554" s="257" t="s">
        <v>14759</v>
      </c>
      <c r="G1554" s="9"/>
      <c r="H1554" s="257" t="s">
        <v>19720</v>
      </c>
      <c r="I1554" s="9">
        <v>1</v>
      </c>
    </row>
    <row r="1555" spans="1:9">
      <c r="A1555" s="257" t="s">
        <v>2653</v>
      </c>
      <c r="B1555" s="9">
        <v>3</v>
      </c>
      <c r="C1555" s="257" t="s">
        <v>10024</v>
      </c>
      <c r="D1555" s="9">
        <v>4.6386531257942239E-2</v>
      </c>
      <c r="E1555" s="9">
        <v>1724459.8235549927</v>
      </c>
      <c r="F1555" s="257" t="s">
        <v>14760</v>
      </c>
      <c r="G1555" s="9"/>
      <c r="H1555" s="257" t="s">
        <v>19721</v>
      </c>
      <c r="I1555" s="9">
        <v>1</v>
      </c>
    </row>
    <row r="1556" spans="1:9">
      <c r="A1556" s="257" t="s">
        <v>2654</v>
      </c>
      <c r="B1556" s="9">
        <v>3</v>
      </c>
      <c r="C1556" s="257" t="s">
        <v>10024</v>
      </c>
      <c r="D1556" s="9">
        <v>2.926383511965255E-2</v>
      </c>
      <c r="E1556" s="9">
        <v>1724459.8235549927</v>
      </c>
      <c r="F1556" s="257" t="s">
        <v>14761</v>
      </c>
      <c r="G1556" s="9"/>
      <c r="H1556" s="257" t="s">
        <v>19722</v>
      </c>
      <c r="I1556" s="9">
        <v>1</v>
      </c>
    </row>
    <row r="1557" spans="1:9">
      <c r="A1557" s="257" t="s">
        <v>2655</v>
      </c>
      <c r="B1557" s="9">
        <v>3</v>
      </c>
      <c r="C1557" s="257" t="s">
        <v>10024</v>
      </c>
      <c r="D1557" s="9">
        <v>1.418848397009969E-2</v>
      </c>
      <c r="E1557" s="9">
        <v>1724459.8235549927</v>
      </c>
      <c r="F1557" s="257" t="s">
        <v>14762</v>
      </c>
      <c r="G1557" s="9"/>
      <c r="H1557" s="257" t="s">
        <v>19723</v>
      </c>
      <c r="I1557" s="9">
        <v>1</v>
      </c>
    </row>
    <row r="1558" spans="1:9">
      <c r="A1558" s="257" t="s">
        <v>2656</v>
      </c>
      <c r="B1558" s="9">
        <v>3</v>
      </c>
      <c r="C1558" s="257" t="s">
        <v>10024</v>
      </c>
      <c r="D1558" s="9">
        <v>2.926383511965255E-2</v>
      </c>
      <c r="E1558" s="9">
        <v>1724459.8235549927</v>
      </c>
      <c r="F1558" s="257" t="s">
        <v>14763</v>
      </c>
      <c r="G1558" s="9"/>
      <c r="H1558" s="257" t="s">
        <v>19724</v>
      </c>
      <c r="I1558" s="9">
        <v>1</v>
      </c>
    </row>
    <row r="1559" spans="1:9">
      <c r="A1559" s="257" t="s">
        <v>2657</v>
      </c>
      <c r="B1559" s="9">
        <v>3</v>
      </c>
      <c r="C1559" s="257" t="s">
        <v>10024</v>
      </c>
      <c r="D1559" s="9">
        <v>3.1619781622943509E-2</v>
      </c>
      <c r="E1559" s="9">
        <v>1724459.8235549927</v>
      </c>
      <c r="F1559" s="257" t="s">
        <v>14764</v>
      </c>
      <c r="G1559" s="9"/>
      <c r="H1559" s="257" t="s">
        <v>19725</v>
      </c>
      <c r="I1559" s="9">
        <v>1</v>
      </c>
    </row>
    <row r="1560" spans="1:9">
      <c r="A1560" s="257" t="s">
        <v>2658</v>
      </c>
      <c r="B1560" s="9">
        <v>3</v>
      </c>
      <c r="C1560" s="257" t="s">
        <v>10024</v>
      </c>
      <c r="D1560" s="9">
        <v>4.5895122583935806E-2</v>
      </c>
      <c r="E1560" s="9">
        <v>1724459.8235549927</v>
      </c>
      <c r="F1560" s="257" t="s">
        <v>14765</v>
      </c>
      <c r="G1560" s="9"/>
      <c r="H1560" s="257" t="s">
        <v>19726</v>
      </c>
      <c r="I1560" s="9">
        <v>1</v>
      </c>
    </row>
    <row r="1561" spans="1:9">
      <c r="A1561" s="257" t="s">
        <v>2659</v>
      </c>
      <c r="B1561" s="9">
        <v>3</v>
      </c>
      <c r="C1561" s="257" t="s">
        <v>10024</v>
      </c>
      <c r="D1561" s="9"/>
      <c r="E1561" s="9">
        <v>1724459.8235549927</v>
      </c>
      <c r="F1561" s="257" t="s">
        <v>14766</v>
      </c>
      <c r="G1561" s="9"/>
      <c r="H1561" s="257" t="s">
        <v>19727</v>
      </c>
      <c r="I1561" s="9">
        <v>1</v>
      </c>
    </row>
    <row r="1562" spans="1:9">
      <c r="A1562" s="257" t="s">
        <v>2660</v>
      </c>
      <c r="B1562" s="9">
        <v>3</v>
      </c>
      <c r="C1562" s="257" t="s">
        <v>10024</v>
      </c>
      <c r="D1562" s="9"/>
      <c r="E1562" s="9">
        <v>1724459.8235549927</v>
      </c>
      <c r="F1562" s="257" t="s">
        <v>14767</v>
      </c>
      <c r="G1562" s="9"/>
      <c r="H1562" s="257" t="s">
        <v>19728</v>
      </c>
      <c r="I1562" s="9">
        <v>1</v>
      </c>
    </row>
    <row r="1563" spans="1:9">
      <c r="A1563" s="257" t="s">
        <v>2661</v>
      </c>
      <c r="B1563" s="9">
        <v>3</v>
      </c>
      <c r="C1563" s="257" t="s">
        <v>10024</v>
      </c>
      <c r="D1563" s="9">
        <v>3.1856936371774183E-2</v>
      </c>
      <c r="E1563" s="9">
        <v>1724459.8235549927</v>
      </c>
      <c r="F1563" s="257" t="s">
        <v>14768</v>
      </c>
      <c r="G1563" s="9"/>
      <c r="H1563" s="257" t="s">
        <v>19729</v>
      </c>
      <c r="I1563" s="9">
        <v>1</v>
      </c>
    </row>
    <row r="1564" spans="1:9">
      <c r="A1564" s="257" t="s">
        <v>2662</v>
      </c>
      <c r="B1564" s="9">
        <v>3</v>
      </c>
      <c r="C1564" s="257" t="s">
        <v>10024</v>
      </c>
      <c r="D1564" s="9"/>
      <c r="E1564" s="9">
        <v>1724459.8235549927</v>
      </c>
      <c r="F1564" s="257" t="s">
        <v>14769</v>
      </c>
      <c r="G1564" s="9"/>
      <c r="H1564" s="257" t="s">
        <v>19730</v>
      </c>
      <c r="I1564" s="9">
        <v>1</v>
      </c>
    </row>
    <row r="1565" spans="1:9">
      <c r="A1565" s="257" t="s">
        <v>2663</v>
      </c>
      <c r="B1565" s="9">
        <v>3</v>
      </c>
      <c r="C1565" s="257" t="s">
        <v>10024</v>
      </c>
      <c r="D1565" s="9"/>
      <c r="E1565" s="9">
        <v>1724459.8235549927</v>
      </c>
      <c r="F1565" s="257" t="s">
        <v>14770</v>
      </c>
      <c r="G1565" s="9"/>
      <c r="H1565" s="257" t="s">
        <v>19731</v>
      </c>
      <c r="I1565" s="9">
        <v>1</v>
      </c>
    </row>
    <row r="1566" spans="1:9">
      <c r="A1566" s="257" t="s">
        <v>2664</v>
      </c>
      <c r="B1566" s="9">
        <v>3</v>
      </c>
      <c r="C1566" s="257" t="s">
        <v>10024</v>
      </c>
      <c r="D1566" s="9">
        <v>3.1619781622943509E-2</v>
      </c>
      <c r="E1566" s="9">
        <v>1724459.8235549927</v>
      </c>
      <c r="F1566" s="257" t="s">
        <v>14771</v>
      </c>
      <c r="G1566" s="9"/>
      <c r="H1566" s="257" t="s">
        <v>19732</v>
      </c>
      <c r="I1566" s="9">
        <v>1</v>
      </c>
    </row>
    <row r="1567" spans="1:9">
      <c r="A1567" s="257" t="s">
        <v>2665</v>
      </c>
      <c r="B1567" s="9">
        <v>3</v>
      </c>
      <c r="C1567" s="257" t="s">
        <v>10024</v>
      </c>
      <c r="D1567" s="9"/>
      <c r="E1567" s="9">
        <v>1724459.8235549927</v>
      </c>
      <c r="F1567" s="257" t="s">
        <v>14772</v>
      </c>
      <c r="G1567" s="9"/>
      <c r="H1567" s="257" t="s">
        <v>19733</v>
      </c>
      <c r="I1567" s="9">
        <v>1</v>
      </c>
    </row>
    <row r="1568" spans="1:9">
      <c r="A1568" s="257" t="s">
        <v>2666</v>
      </c>
      <c r="B1568" s="9">
        <v>3</v>
      </c>
      <c r="C1568" s="257" t="s">
        <v>10024</v>
      </c>
      <c r="D1568" s="9">
        <v>2.3253415032126121E-2</v>
      </c>
      <c r="E1568" s="9">
        <v>1724459.8235549927</v>
      </c>
      <c r="F1568" s="257" t="s">
        <v>14773</v>
      </c>
      <c r="G1568" s="9"/>
      <c r="H1568" s="257" t="s">
        <v>19734</v>
      </c>
      <c r="I1568" s="9">
        <v>1</v>
      </c>
    </row>
    <row r="1569" spans="1:9">
      <c r="A1569" s="257" t="s">
        <v>2667</v>
      </c>
      <c r="B1569" s="9">
        <v>3</v>
      </c>
      <c r="C1569" s="257" t="s">
        <v>10024</v>
      </c>
      <c r="D1569" s="9">
        <v>3.1619781622943509E-2</v>
      </c>
      <c r="E1569" s="9">
        <v>1724459.8235549927</v>
      </c>
      <c r="F1569" s="257" t="s">
        <v>14774</v>
      </c>
      <c r="G1569" s="9"/>
      <c r="H1569" s="257" t="s">
        <v>19735</v>
      </c>
      <c r="I1569" s="9">
        <v>1</v>
      </c>
    </row>
    <row r="1570" spans="1:9">
      <c r="A1570" s="257" t="s">
        <v>2668</v>
      </c>
      <c r="B1570" s="9">
        <v>3</v>
      </c>
      <c r="C1570" s="257" t="s">
        <v>10024</v>
      </c>
      <c r="D1570" s="9">
        <v>3.0054104427804897E-2</v>
      </c>
      <c r="E1570" s="9">
        <v>1724459.8235549927</v>
      </c>
      <c r="F1570" s="257" t="s">
        <v>14775</v>
      </c>
      <c r="G1570" s="9"/>
      <c r="H1570" s="257" t="s">
        <v>19736</v>
      </c>
      <c r="I1570" s="9">
        <v>1</v>
      </c>
    </row>
    <row r="1571" spans="1:9">
      <c r="A1571" s="257" t="s">
        <v>2669</v>
      </c>
      <c r="B1571" s="9">
        <v>3</v>
      </c>
      <c r="C1571" s="257" t="s">
        <v>10024</v>
      </c>
      <c r="D1571" s="9"/>
      <c r="E1571" s="9">
        <v>1724459.8235549927</v>
      </c>
      <c r="F1571" s="257" t="s">
        <v>14776</v>
      </c>
      <c r="G1571" s="9"/>
      <c r="H1571" s="257" t="s">
        <v>19737</v>
      </c>
      <c r="I1571" s="9">
        <v>1</v>
      </c>
    </row>
    <row r="1572" spans="1:9">
      <c r="A1572" s="257" t="s">
        <v>2670</v>
      </c>
      <c r="B1572" s="9">
        <v>3</v>
      </c>
      <c r="C1572" s="257" t="s">
        <v>10024</v>
      </c>
      <c r="D1572" s="9">
        <v>3.5674149590463999E-2</v>
      </c>
      <c r="E1572" s="9">
        <v>1724459.8235549927</v>
      </c>
      <c r="F1572" s="257" t="s">
        <v>14777</v>
      </c>
      <c r="G1572" s="9"/>
      <c r="H1572" s="257" t="s">
        <v>19738</v>
      </c>
      <c r="I1572" s="9">
        <v>1</v>
      </c>
    </row>
    <row r="1573" spans="1:9">
      <c r="A1573" s="257" t="s">
        <v>2671</v>
      </c>
      <c r="B1573" s="9">
        <v>3</v>
      </c>
      <c r="C1573" s="257" t="s">
        <v>10024</v>
      </c>
      <c r="D1573" s="9">
        <v>2.1893201854361811E-2</v>
      </c>
      <c r="E1573" s="9">
        <v>1724459.8235549927</v>
      </c>
      <c r="F1573" s="257" t="s">
        <v>14778</v>
      </c>
      <c r="G1573" s="9"/>
      <c r="H1573" s="257" t="s">
        <v>19739</v>
      </c>
      <c r="I1573" s="9">
        <v>1</v>
      </c>
    </row>
    <row r="1574" spans="1:9">
      <c r="A1574" s="257" t="s">
        <v>2672</v>
      </c>
      <c r="B1574" s="9">
        <v>3</v>
      </c>
      <c r="C1574" s="257" t="s">
        <v>10024</v>
      </c>
      <c r="D1574" s="9">
        <v>2.3352025152583826E-2</v>
      </c>
      <c r="E1574" s="9">
        <v>1724459.8235549927</v>
      </c>
      <c r="F1574" s="257" t="s">
        <v>14779</v>
      </c>
      <c r="G1574" s="9"/>
      <c r="H1574" s="257" t="s">
        <v>19740</v>
      </c>
      <c r="I1574" s="9">
        <v>1</v>
      </c>
    </row>
    <row r="1575" spans="1:9">
      <c r="A1575" s="257" t="s">
        <v>2673</v>
      </c>
      <c r="B1575" s="9">
        <v>3</v>
      </c>
      <c r="C1575" s="257" t="s">
        <v>10024</v>
      </c>
      <c r="D1575" s="9">
        <v>2.5773782772279902E-2</v>
      </c>
      <c r="E1575" s="9">
        <v>1724459.8235549927</v>
      </c>
      <c r="F1575" s="257" t="s">
        <v>14780</v>
      </c>
      <c r="G1575" s="9"/>
      <c r="H1575" s="257" t="s">
        <v>19741</v>
      </c>
      <c r="I1575" s="9">
        <v>1</v>
      </c>
    </row>
    <row r="1576" spans="1:9">
      <c r="A1576" s="257" t="s">
        <v>2674</v>
      </c>
      <c r="B1576" s="9">
        <v>3</v>
      </c>
      <c r="C1576" s="257" t="s">
        <v>10024</v>
      </c>
      <c r="D1576" s="9"/>
      <c r="E1576" s="9">
        <v>1724459.8235549927</v>
      </c>
      <c r="F1576" s="257" t="s">
        <v>14781</v>
      </c>
      <c r="G1576" s="9"/>
      <c r="H1576" s="257" t="s">
        <v>19742</v>
      </c>
      <c r="I1576" s="9">
        <v>1</v>
      </c>
    </row>
    <row r="1577" spans="1:9">
      <c r="A1577" s="257" t="s">
        <v>2675</v>
      </c>
      <c r="B1577" s="9">
        <v>4</v>
      </c>
      <c r="C1577" s="257" t="s">
        <v>10024</v>
      </c>
      <c r="D1577" s="9">
        <v>4.3569679088903086E-2</v>
      </c>
      <c r="E1577" s="9">
        <v>1728561.5107574463</v>
      </c>
      <c r="F1577" s="257" t="s">
        <v>14782</v>
      </c>
      <c r="G1577" s="9"/>
      <c r="H1577" s="257" t="s">
        <v>19743</v>
      </c>
      <c r="I1577" s="9">
        <v>1</v>
      </c>
    </row>
    <row r="1578" spans="1:9">
      <c r="A1578" s="257" t="s">
        <v>2676</v>
      </c>
      <c r="B1578" s="9">
        <v>4</v>
      </c>
      <c r="C1578" s="257" t="s">
        <v>10024</v>
      </c>
      <c r="D1578" s="9">
        <v>1.1389459908180214E-2</v>
      </c>
      <c r="E1578" s="9">
        <v>1728561.5107574463</v>
      </c>
      <c r="F1578" s="257" t="s">
        <v>14783</v>
      </c>
      <c r="G1578" s="9"/>
      <c r="H1578" s="257" t="s">
        <v>19744</v>
      </c>
      <c r="I1578" s="9">
        <v>1</v>
      </c>
    </row>
    <row r="1579" spans="1:9">
      <c r="A1579" s="257" t="s">
        <v>2677</v>
      </c>
      <c r="B1579" s="9">
        <v>4</v>
      </c>
      <c r="C1579" s="257" t="s">
        <v>10024</v>
      </c>
      <c r="D1579" s="9"/>
      <c r="E1579" s="9">
        <v>1728561.5107574463</v>
      </c>
      <c r="F1579" s="257" t="s">
        <v>14784</v>
      </c>
      <c r="G1579" s="9"/>
      <c r="H1579" s="257" t="s">
        <v>19745</v>
      </c>
      <c r="I1579" s="9">
        <v>1</v>
      </c>
    </row>
    <row r="1580" spans="1:9">
      <c r="A1580" s="257" t="s">
        <v>2678</v>
      </c>
      <c r="B1580" s="9">
        <v>4</v>
      </c>
      <c r="C1580" s="257" t="s">
        <v>10024</v>
      </c>
      <c r="D1580" s="9">
        <v>4.1105790086292719E-2</v>
      </c>
      <c r="E1580" s="9">
        <v>1728561.5107574463</v>
      </c>
      <c r="F1580" s="257" t="s">
        <v>14785</v>
      </c>
      <c r="G1580" s="9"/>
      <c r="H1580" s="257" t="s">
        <v>19746</v>
      </c>
      <c r="I1580" s="9">
        <v>1</v>
      </c>
    </row>
    <row r="1581" spans="1:9">
      <c r="A1581" s="257" t="s">
        <v>2679</v>
      </c>
      <c r="B1581" s="9">
        <v>4</v>
      </c>
      <c r="C1581" s="257" t="s">
        <v>10024</v>
      </c>
      <c r="D1581" s="9">
        <v>4.0997792816366584E-2</v>
      </c>
      <c r="E1581" s="9">
        <v>1728561.5107574463</v>
      </c>
      <c r="F1581" s="257" t="s">
        <v>14786</v>
      </c>
      <c r="G1581" s="9"/>
      <c r="H1581" s="257" t="s">
        <v>19747</v>
      </c>
      <c r="I1581" s="9">
        <v>1</v>
      </c>
    </row>
    <row r="1582" spans="1:9">
      <c r="A1582" s="257" t="s">
        <v>2680</v>
      </c>
      <c r="B1582" s="9">
        <v>4</v>
      </c>
      <c r="C1582" s="257" t="s">
        <v>10024</v>
      </c>
      <c r="D1582" s="9"/>
      <c r="E1582" s="9">
        <v>1728561.5107574463</v>
      </c>
      <c r="F1582" s="257" t="s">
        <v>14787</v>
      </c>
      <c r="G1582" s="9"/>
      <c r="H1582" s="257" t="s">
        <v>19748</v>
      </c>
      <c r="I1582" s="9">
        <v>1</v>
      </c>
    </row>
    <row r="1583" spans="1:9">
      <c r="A1583" s="257" t="s">
        <v>2681</v>
      </c>
      <c r="B1583" s="9">
        <v>4</v>
      </c>
      <c r="C1583" s="257" t="s">
        <v>10024</v>
      </c>
      <c r="D1583" s="9"/>
      <c r="E1583" s="9">
        <v>1728561.5107574463</v>
      </c>
      <c r="F1583" s="257" t="s">
        <v>14788</v>
      </c>
      <c r="G1583" s="9"/>
      <c r="H1583" s="257" t="s">
        <v>19749</v>
      </c>
      <c r="I1583" s="9">
        <v>1</v>
      </c>
    </row>
    <row r="1584" spans="1:9">
      <c r="A1584" s="257" t="s">
        <v>2682</v>
      </c>
      <c r="B1584" s="9">
        <v>4</v>
      </c>
      <c r="C1584" s="257" t="s">
        <v>10024</v>
      </c>
      <c r="D1584" s="9">
        <v>4.2345441320215463E-2</v>
      </c>
      <c r="E1584" s="9">
        <v>1728561.5107574463</v>
      </c>
      <c r="F1584" s="257" t="s">
        <v>14789</v>
      </c>
      <c r="G1584" s="9"/>
      <c r="H1584" s="257" t="s">
        <v>19750</v>
      </c>
      <c r="I1584" s="9">
        <v>1</v>
      </c>
    </row>
    <row r="1585" spans="1:9">
      <c r="A1585" s="257" t="s">
        <v>2683</v>
      </c>
      <c r="B1585" s="9">
        <v>4</v>
      </c>
      <c r="C1585" s="257" t="s">
        <v>10024</v>
      </c>
      <c r="D1585" s="9">
        <v>4.1105790086292719E-2</v>
      </c>
      <c r="E1585" s="9">
        <v>1728561.5107574463</v>
      </c>
      <c r="F1585" s="257" t="s">
        <v>14790</v>
      </c>
      <c r="G1585" s="9"/>
      <c r="H1585" s="257" t="s">
        <v>19751</v>
      </c>
      <c r="I1585" s="9">
        <v>1</v>
      </c>
    </row>
    <row r="1586" spans="1:9">
      <c r="A1586" s="257" t="s">
        <v>2684</v>
      </c>
      <c r="B1586" s="9">
        <v>4</v>
      </c>
      <c r="C1586" s="257" t="s">
        <v>10024</v>
      </c>
      <c r="D1586" s="9">
        <v>4.1240385448635869E-2</v>
      </c>
      <c r="E1586" s="9">
        <v>1728561.5107574463</v>
      </c>
      <c r="F1586" s="257" t="s">
        <v>14791</v>
      </c>
      <c r="G1586" s="9"/>
      <c r="H1586" s="257" t="s">
        <v>19752</v>
      </c>
      <c r="I1586" s="9">
        <v>1</v>
      </c>
    </row>
    <row r="1587" spans="1:9">
      <c r="A1587" s="257" t="s">
        <v>2685</v>
      </c>
      <c r="B1587" s="9">
        <v>4</v>
      </c>
      <c r="C1587" s="257" t="s">
        <v>10024</v>
      </c>
      <c r="D1587" s="9">
        <v>3.1222540868277037E-2</v>
      </c>
      <c r="E1587" s="9">
        <v>1728561.5107574463</v>
      </c>
      <c r="F1587" s="257" t="s">
        <v>14792</v>
      </c>
      <c r="G1587" s="9"/>
      <c r="H1587" s="257" t="s">
        <v>19753</v>
      </c>
      <c r="I1587" s="9">
        <v>1</v>
      </c>
    </row>
    <row r="1588" spans="1:9">
      <c r="A1588" s="257" t="s">
        <v>2686</v>
      </c>
      <c r="B1588" s="9">
        <v>4</v>
      </c>
      <c r="C1588" s="257" t="s">
        <v>10024</v>
      </c>
      <c r="D1588" s="9">
        <v>4.5676480065522253E-2</v>
      </c>
      <c r="E1588" s="9">
        <v>1728561.5107574463</v>
      </c>
      <c r="F1588" s="257" t="s">
        <v>14793</v>
      </c>
      <c r="G1588" s="9"/>
      <c r="H1588" s="257" t="s">
        <v>19754</v>
      </c>
      <c r="I1588" s="9">
        <v>1</v>
      </c>
    </row>
    <row r="1589" spans="1:9">
      <c r="A1589" s="257" t="s">
        <v>2687</v>
      </c>
      <c r="B1589" s="9">
        <v>4</v>
      </c>
      <c r="C1589" s="257" t="s">
        <v>10024</v>
      </c>
      <c r="D1589" s="9"/>
      <c r="E1589" s="9">
        <v>1728561.5107574463</v>
      </c>
      <c r="F1589" s="257" t="s">
        <v>14794</v>
      </c>
      <c r="G1589" s="9"/>
      <c r="H1589" s="257" t="s">
        <v>19755</v>
      </c>
      <c r="I1589" s="9">
        <v>1</v>
      </c>
    </row>
    <row r="1590" spans="1:9">
      <c r="A1590" s="257" t="s">
        <v>2688</v>
      </c>
      <c r="B1590" s="9">
        <v>4</v>
      </c>
      <c r="C1590" s="257" t="s">
        <v>10024</v>
      </c>
      <c r="D1590" s="9">
        <v>5.8354640922200281E-2</v>
      </c>
      <c r="E1590" s="9">
        <v>1728561.5107574463</v>
      </c>
      <c r="F1590" s="257" t="s">
        <v>14795</v>
      </c>
      <c r="G1590" s="9"/>
      <c r="H1590" s="257" t="s">
        <v>19756</v>
      </c>
      <c r="I1590" s="9">
        <v>1</v>
      </c>
    </row>
    <row r="1591" spans="1:9">
      <c r="A1591" s="257" t="s">
        <v>2689</v>
      </c>
      <c r="B1591" s="9">
        <v>4</v>
      </c>
      <c r="C1591" s="257" t="s">
        <v>10024</v>
      </c>
      <c r="D1591" s="9">
        <v>4.3569679088903086E-2</v>
      </c>
      <c r="E1591" s="9">
        <v>1728561.5107574463</v>
      </c>
      <c r="F1591" s="257" t="s">
        <v>14796</v>
      </c>
      <c r="G1591" s="9"/>
      <c r="H1591" s="257" t="s">
        <v>19757</v>
      </c>
      <c r="I1591" s="9">
        <v>1</v>
      </c>
    </row>
    <row r="1592" spans="1:9">
      <c r="A1592" s="257" t="s">
        <v>2690</v>
      </c>
      <c r="B1592" s="9">
        <v>4</v>
      </c>
      <c r="C1592" s="257" t="s">
        <v>10024</v>
      </c>
      <c r="D1592" s="9">
        <v>4.3569679088903086E-2</v>
      </c>
      <c r="E1592" s="9">
        <v>1728561.5107574463</v>
      </c>
      <c r="F1592" s="257" t="s">
        <v>14797</v>
      </c>
      <c r="G1592" s="9"/>
      <c r="H1592" s="257" t="s">
        <v>19758</v>
      </c>
      <c r="I1592" s="9">
        <v>1</v>
      </c>
    </row>
    <row r="1593" spans="1:9">
      <c r="A1593" s="257" t="s">
        <v>2691</v>
      </c>
      <c r="B1593" s="9">
        <v>4</v>
      </c>
      <c r="C1593" s="257" t="s">
        <v>10024</v>
      </c>
      <c r="D1593" s="9">
        <v>2.8263067356144679E-2</v>
      </c>
      <c r="E1593" s="9">
        <v>1728561.5107574463</v>
      </c>
      <c r="F1593" s="257" t="s">
        <v>14798</v>
      </c>
      <c r="G1593" s="9"/>
      <c r="H1593" s="257" t="s">
        <v>19759</v>
      </c>
      <c r="I1593" s="9">
        <v>1</v>
      </c>
    </row>
    <row r="1594" spans="1:9">
      <c r="A1594" s="257" t="s">
        <v>2692</v>
      </c>
      <c r="B1594" s="9">
        <v>4</v>
      </c>
      <c r="C1594" s="257" t="s">
        <v>10024</v>
      </c>
      <c r="D1594" s="9"/>
      <c r="E1594" s="9">
        <v>1728561.5107574463</v>
      </c>
      <c r="F1594" s="257" t="s">
        <v>14799</v>
      </c>
      <c r="G1594" s="9"/>
      <c r="H1594" s="257" t="s">
        <v>19760</v>
      </c>
      <c r="I1594" s="9">
        <v>1</v>
      </c>
    </row>
    <row r="1595" spans="1:9">
      <c r="A1595" s="257" t="s">
        <v>2693</v>
      </c>
      <c r="B1595" s="9">
        <v>4</v>
      </c>
      <c r="C1595" s="257" t="s">
        <v>10024</v>
      </c>
      <c r="D1595" s="9">
        <v>5.5847824462011343E-2</v>
      </c>
      <c r="E1595" s="9">
        <v>1728561.5107574463</v>
      </c>
      <c r="F1595" s="257" t="s">
        <v>14800</v>
      </c>
      <c r="G1595" s="9"/>
      <c r="H1595" s="257" t="s">
        <v>19761</v>
      </c>
      <c r="I1595" s="9">
        <v>1</v>
      </c>
    </row>
    <row r="1596" spans="1:9">
      <c r="A1596" s="257" t="s">
        <v>2694</v>
      </c>
      <c r="B1596" s="9">
        <v>4</v>
      </c>
      <c r="C1596" s="257" t="s">
        <v>10024</v>
      </c>
      <c r="D1596" s="9"/>
      <c r="E1596" s="9">
        <v>1728561.5107574463</v>
      </c>
      <c r="F1596" s="257" t="s">
        <v>14801</v>
      </c>
      <c r="G1596" s="9"/>
      <c r="H1596" s="257" t="s">
        <v>19762</v>
      </c>
      <c r="I1596" s="9">
        <v>1</v>
      </c>
    </row>
    <row r="1597" spans="1:9">
      <c r="A1597" s="257" t="s">
        <v>2695</v>
      </c>
      <c r="B1597" s="9">
        <v>4</v>
      </c>
      <c r="C1597" s="257" t="s">
        <v>10024</v>
      </c>
      <c r="D1597" s="9">
        <v>3.8563596132953563E-2</v>
      </c>
      <c r="E1597" s="9">
        <v>1728561.5107574463</v>
      </c>
      <c r="F1597" s="257" t="s">
        <v>14802</v>
      </c>
      <c r="G1597" s="9"/>
      <c r="H1597" s="257" t="s">
        <v>19763</v>
      </c>
      <c r="I1597" s="9">
        <v>1</v>
      </c>
    </row>
    <row r="1598" spans="1:9">
      <c r="A1598" s="257" t="s">
        <v>2696</v>
      </c>
      <c r="B1598" s="9">
        <v>4</v>
      </c>
      <c r="C1598" s="257" t="s">
        <v>10024</v>
      </c>
      <c r="D1598" s="9"/>
      <c r="E1598" s="9">
        <v>1728561.5107574463</v>
      </c>
      <c r="F1598" s="257" t="s">
        <v>14803</v>
      </c>
      <c r="G1598" s="9"/>
      <c r="H1598" s="257" t="s">
        <v>19764</v>
      </c>
      <c r="I1598" s="9">
        <v>1</v>
      </c>
    </row>
    <row r="1599" spans="1:9">
      <c r="A1599" s="257" t="s">
        <v>2697</v>
      </c>
      <c r="B1599" s="9">
        <v>4</v>
      </c>
      <c r="C1599" s="257" t="s">
        <v>10024</v>
      </c>
      <c r="D1599" s="9"/>
      <c r="E1599" s="9">
        <v>1728561.5107574463</v>
      </c>
      <c r="F1599" s="257" t="s">
        <v>14804</v>
      </c>
      <c r="G1599" s="9"/>
      <c r="H1599" s="257" t="s">
        <v>19765</v>
      </c>
      <c r="I1599" s="9">
        <v>1</v>
      </c>
    </row>
    <row r="1600" spans="1:9">
      <c r="A1600" s="257" t="s">
        <v>2698</v>
      </c>
      <c r="B1600" s="9">
        <v>4</v>
      </c>
      <c r="C1600" s="257" t="s">
        <v>10024</v>
      </c>
      <c r="D1600" s="9">
        <v>3.1241982814428366E-2</v>
      </c>
      <c r="E1600" s="9">
        <v>1728561.5107574463</v>
      </c>
      <c r="F1600" s="257" t="s">
        <v>14805</v>
      </c>
      <c r="G1600" s="9"/>
      <c r="H1600" s="257" t="s">
        <v>19766</v>
      </c>
      <c r="I1600" s="9">
        <v>1</v>
      </c>
    </row>
    <row r="1601" spans="1:9">
      <c r="A1601" s="257" t="s">
        <v>2699</v>
      </c>
      <c r="B1601" s="9">
        <v>4</v>
      </c>
      <c r="C1601" s="257" t="s">
        <v>10024</v>
      </c>
      <c r="D1601" s="9">
        <v>4.2345441320215463E-2</v>
      </c>
      <c r="E1601" s="9">
        <v>1728561.5107574463</v>
      </c>
      <c r="F1601" s="257" t="s">
        <v>14806</v>
      </c>
      <c r="G1601" s="9"/>
      <c r="H1601" s="257" t="s">
        <v>19767</v>
      </c>
      <c r="I1601" s="9">
        <v>1</v>
      </c>
    </row>
    <row r="1602" spans="1:9">
      <c r="A1602" s="257" t="s">
        <v>2700</v>
      </c>
      <c r="B1602" s="9">
        <v>5</v>
      </c>
      <c r="C1602" s="257" t="s">
        <v>10024</v>
      </c>
      <c r="D1602" s="9">
        <v>5.4317665936045804E-2</v>
      </c>
      <c r="E1602" s="9">
        <v>1724465.2324523926</v>
      </c>
      <c r="F1602" s="257" t="s">
        <v>14807</v>
      </c>
      <c r="G1602" s="9"/>
      <c r="H1602" s="257" t="s">
        <v>19768</v>
      </c>
      <c r="I1602" s="9">
        <v>1</v>
      </c>
    </row>
    <row r="1603" spans="1:9">
      <c r="A1603" s="257" t="s">
        <v>2701</v>
      </c>
      <c r="B1603" s="9">
        <v>5</v>
      </c>
      <c r="C1603" s="257" t="s">
        <v>10024</v>
      </c>
      <c r="D1603" s="9">
        <v>5.7867381245983091E-2</v>
      </c>
      <c r="E1603" s="9">
        <v>1724465.2324523926</v>
      </c>
      <c r="F1603" s="257" t="s">
        <v>14808</v>
      </c>
      <c r="G1603" s="9"/>
      <c r="H1603" s="257" t="s">
        <v>19769</v>
      </c>
      <c r="I1603" s="9">
        <v>1</v>
      </c>
    </row>
    <row r="1604" spans="1:9">
      <c r="A1604" s="257" t="s">
        <v>2702</v>
      </c>
      <c r="B1604" s="9">
        <v>5</v>
      </c>
      <c r="C1604" s="257" t="s">
        <v>10024</v>
      </c>
      <c r="D1604" s="9">
        <v>9.5679398453440093E-3</v>
      </c>
      <c r="E1604" s="9">
        <v>1724465.2324523926</v>
      </c>
      <c r="F1604" s="257" t="s">
        <v>14809</v>
      </c>
      <c r="G1604" s="9"/>
      <c r="H1604" s="257" t="s">
        <v>19770</v>
      </c>
      <c r="I1604" s="9">
        <v>1</v>
      </c>
    </row>
    <row r="1605" spans="1:9">
      <c r="A1605" s="257" t="s">
        <v>2703</v>
      </c>
      <c r="B1605" s="9">
        <v>5</v>
      </c>
      <c r="C1605" s="257" t="s">
        <v>10024</v>
      </c>
      <c r="D1605" s="9">
        <v>6.9262926254852655E-2</v>
      </c>
      <c r="E1605" s="9">
        <v>1724465.2324523926</v>
      </c>
      <c r="F1605" s="257" t="s">
        <v>14810</v>
      </c>
      <c r="G1605" s="9"/>
      <c r="H1605" s="257" t="s">
        <v>19771</v>
      </c>
      <c r="I1605" s="9">
        <v>1</v>
      </c>
    </row>
    <row r="1606" spans="1:9">
      <c r="A1606" s="257" t="s">
        <v>2704</v>
      </c>
      <c r="B1606" s="9">
        <v>5</v>
      </c>
      <c r="C1606" s="257" t="s">
        <v>10024</v>
      </c>
      <c r="D1606" s="9">
        <v>4.7485410500723579E-2</v>
      </c>
      <c r="E1606" s="9">
        <v>1724465.2324523926</v>
      </c>
      <c r="F1606" s="257" t="s">
        <v>14811</v>
      </c>
      <c r="G1606" s="9"/>
      <c r="H1606" s="257" t="s">
        <v>19772</v>
      </c>
      <c r="I1606" s="9">
        <v>1</v>
      </c>
    </row>
    <row r="1607" spans="1:9">
      <c r="A1607" s="257" t="s">
        <v>2705</v>
      </c>
      <c r="B1607" s="9">
        <v>5</v>
      </c>
      <c r="C1607" s="257" t="s">
        <v>10024</v>
      </c>
      <c r="D1607" s="9"/>
      <c r="E1607" s="9">
        <v>1724465.2324523926</v>
      </c>
      <c r="F1607" s="257" t="s">
        <v>14812</v>
      </c>
      <c r="G1607" s="9"/>
      <c r="H1607" s="257" t="s">
        <v>19773</v>
      </c>
      <c r="I1607" s="9">
        <v>1</v>
      </c>
    </row>
    <row r="1608" spans="1:9">
      <c r="A1608" s="257" t="s">
        <v>2706</v>
      </c>
      <c r="B1608" s="9">
        <v>5</v>
      </c>
      <c r="C1608" s="257" t="s">
        <v>10024</v>
      </c>
      <c r="D1608" s="9"/>
      <c r="E1608" s="9">
        <v>1724465.2324523926</v>
      </c>
      <c r="F1608" s="257" t="s">
        <v>14813</v>
      </c>
      <c r="G1608" s="9"/>
      <c r="H1608" s="257" t="s">
        <v>19774</v>
      </c>
      <c r="I1608" s="9">
        <v>1</v>
      </c>
    </row>
    <row r="1609" spans="1:9">
      <c r="A1609" s="257" t="s">
        <v>2707</v>
      </c>
      <c r="B1609" s="9">
        <v>5</v>
      </c>
      <c r="C1609" s="257" t="s">
        <v>10024</v>
      </c>
      <c r="D1609" s="9">
        <v>5.2254967276446941E-2</v>
      </c>
      <c r="E1609" s="9">
        <v>1724465.2324523926</v>
      </c>
      <c r="F1609" s="257" t="s">
        <v>14814</v>
      </c>
      <c r="G1609" s="9"/>
      <c r="H1609" s="257" t="s">
        <v>19775</v>
      </c>
      <c r="I1609" s="9">
        <v>1</v>
      </c>
    </row>
    <row r="1610" spans="1:9">
      <c r="A1610" s="257" t="s">
        <v>2708</v>
      </c>
      <c r="B1610" s="9">
        <v>5</v>
      </c>
      <c r="C1610" s="257" t="s">
        <v>10024</v>
      </c>
      <c r="D1610" s="9">
        <v>5.1979087378720597E-2</v>
      </c>
      <c r="E1610" s="9">
        <v>1724465.2324523926</v>
      </c>
      <c r="F1610" s="257" t="s">
        <v>14815</v>
      </c>
      <c r="G1610" s="9"/>
      <c r="H1610" s="257" t="s">
        <v>19776</v>
      </c>
      <c r="I1610" s="9">
        <v>1</v>
      </c>
    </row>
    <row r="1611" spans="1:9">
      <c r="A1611" s="257" t="s">
        <v>2709</v>
      </c>
      <c r="B1611" s="9">
        <v>5</v>
      </c>
      <c r="C1611" s="257" t="s">
        <v>10024</v>
      </c>
      <c r="D1611" s="9">
        <v>5.1979087378720597E-2</v>
      </c>
      <c r="E1611" s="9">
        <v>1724465.2324523926</v>
      </c>
      <c r="F1611" s="257" t="s">
        <v>14816</v>
      </c>
      <c r="G1611" s="9"/>
      <c r="H1611" s="257" t="s">
        <v>19777</v>
      </c>
      <c r="I1611" s="9">
        <v>1</v>
      </c>
    </row>
    <row r="1612" spans="1:9">
      <c r="A1612" s="257" t="s">
        <v>2710</v>
      </c>
      <c r="B1612" s="9">
        <v>5</v>
      </c>
      <c r="C1612" s="257" t="s">
        <v>10024</v>
      </c>
      <c r="D1612" s="9">
        <v>5.0396615319015022E-2</v>
      </c>
      <c r="E1612" s="9">
        <v>1724465.2324523926</v>
      </c>
      <c r="F1612" s="257" t="s">
        <v>14817</v>
      </c>
      <c r="G1612" s="9"/>
      <c r="H1612" s="257" t="s">
        <v>19778</v>
      </c>
      <c r="I1612" s="9">
        <v>1</v>
      </c>
    </row>
    <row r="1613" spans="1:9">
      <c r="A1613" s="257" t="s">
        <v>2711</v>
      </c>
      <c r="B1613" s="9">
        <v>5</v>
      </c>
      <c r="C1613" s="257" t="s">
        <v>10024</v>
      </c>
      <c r="D1613" s="9"/>
      <c r="E1613" s="9">
        <v>1724465.2324523926</v>
      </c>
      <c r="F1613" s="257" t="s">
        <v>14818</v>
      </c>
      <c r="G1613" s="9"/>
      <c r="H1613" s="257" t="s">
        <v>19779</v>
      </c>
      <c r="I1613" s="9">
        <v>1</v>
      </c>
    </row>
    <row r="1614" spans="1:9">
      <c r="A1614" s="257" t="s">
        <v>2712</v>
      </c>
      <c r="B1614" s="9">
        <v>5</v>
      </c>
      <c r="C1614" s="257" t="s">
        <v>10024</v>
      </c>
      <c r="D1614" s="9">
        <v>5.4317665936045804E-2</v>
      </c>
      <c r="E1614" s="9">
        <v>1724465.2324523926</v>
      </c>
      <c r="F1614" s="257" t="s">
        <v>14819</v>
      </c>
      <c r="G1614" s="9"/>
      <c r="H1614" s="257" t="s">
        <v>19780</v>
      </c>
      <c r="I1614" s="9">
        <v>1</v>
      </c>
    </row>
    <row r="1615" spans="1:9">
      <c r="A1615" s="257" t="s">
        <v>2713</v>
      </c>
      <c r="B1615" s="9">
        <v>5</v>
      </c>
      <c r="C1615" s="257" t="s">
        <v>10024</v>
      </c>
      <c r="D1615" s="9">
        <v>5.2254967276446941E-2</v>
      </c>
      <c r="E1615" s="9">
        <v>1724465.2324523926</v>
      </c>
      <c r="F1615" s="257" t="s">
        <v>14820</v>
      </c>
      <c r="G1615" s="9"/>
      <c r="H1615" s="257" t="s">
        <v>19781</v>
      </c>
      <c r="I1615" s="9">
        <v>1</v>
      </c>
    </row>
    <row r="1616" spans="1:9">
      <c r="A1616" s="257" t="s">
        <v>2714</v>
      </c>
      <c r="B1616" s="9">
        <v>5</v>
      </c>
      <c r="C1616" s="257" t="s">
        <v>10024</v>
      </c>
      <c r="D1616" s="9">
        <v>4.5124937108805364E-2</v>
      </c>
      <c r="E1616" s="9">
        <v>1724465.2324523926</v>
      </c>
      <c r="F1616" s="257" t="s">
        <v>14821</v>
      </c>
      <c r="G1616" s="9"/>
      <c r="H1616" s="257" t="s">
        <v>19782</v>
      </c>
      <c r="I1616" s="9">
        <v>1</v>
      </c>
    </row>
    <row r="1617" spans="1:9">
      <c r="A1617" s="257" t="s">
        <v>2715</v>
      </c>
      <c r="B1617" s="9">
        <v>5</v>
      </c>
      <c r="C1617" s="257" t="s">
        <v>10024</v>
      </c>
      <c r="D1617" s="9">
        <v>5.3951298346828006E-2</v>
      </c>
      <c r="E1617" s="9">
        <v>1724465.2324523926</v>
      </c>
      <c r="F1617" s="257" t="s">
        <v>14822</v>
      </c>
      <c r="G1617" s="9"/>
      <c r="H1617" s="257" t="s">
        <v>19783</v>
      </c>
      <c r="I1617" s="9">
        <v>1</v>
      </c>
    </row>
    <row r="1618" spans="1:9">
      <c r="A1618" s="257" t="s">
        <v>2716</v>
      </c>
      <c r="B1618" s="9">
        <v>5</v>
      </c>
      <c r="C1618" s="257" t="s">
        <v>10024</v>
      </c>
      <c r="D1618" s="9">
        <v>6.8156677179737779E-2</v>
      </c>
      <c r="E1618" s="9">
        <v>1724465.2324523926</v>
      </c>
      <c r="F1618" s="257" t="s">
        <v>14823</v>
      </c>
      <c r="G1618" s="9"/>
      <c r="H1618" s="257" t="s">
        <v>19784</v>
      </c>
      <c r="I1618" s="9">
        <v>1</v>
      </c>
    </row>
    <row r="1619" spans="1:9">
      <c r="A1619" s="257" t="s">
        <v>2717</v>
      </c>
      <c r="B1619" s="9">
        <v>5</v>
      </c>
      <c r="C1619" s="257" t="s">
        <v>10024</v>
      </c>
      <c r="D1619" s="9"/>
      <c r="E1619" s="9">
        <v>1724465.2324523926</v>
      </c>
      <c r="F1619" s="257" t="s">
        <v>14824</v>
      </c>
      <c r="G1619" s="9"/>
      <c r="H1619" s="257" t="s">
        <v>19785</v>
      </c>
      <c r="I1619" s="9">
        <v>1</v>
      </c>
    </row>
    <row r="1620" spans="1:9">
      <c r="A1620" s="257" t="s">
        <v>2718</v>
      </c>
      <c r="B1620" s="9">
        <v>5</v>
      </c>
      <c r="C1620" s="257" t="s">
        <v>10024</v>
      </c>
      <c r="D1620" s="9"/>
      <c r="E1620" s="9">
        <v>1724465.2324523926</v>
      </c>
      <c r="F1620" s="257" t="s">
        <v>14825</v>
      </c>
      <c r="G1620" s="9"/>
      <c r="H1620" s="257" t="s">
        <v>19786</v>
      </c>
      <c r="I1620" s="9">
        <v>1</v>
      </c>
    </row>
    <row r="1621" spans="1:9">
      <c r="A1621" s="257" t="s">
        <v>2719</v>
      </c>
      <c r="B1621" s="9">
        <v>5</v>
      </c>
      <c r="C1621" s="257" t="s">
        <v>10024</v>
      </c>
      <c r="D1621" s="9">
        <v>5.4317665936045804E-2</v>
      </c>
      <c r="E1621" s="9">
        <v>1724465.2324523926</v>
      </c>
      <c r="F1621" s="257" t="s">
        <v>14826</v>
      </c>
      <c r="G1621" s="9"/>
      <c r="H1621" s="257" t="s">
        <v>19787</v>
      </c>
      <c r="I1621" s="9">
        <v>1</v>
      </c>
    </row>
    <row r="1622" spans="1:9">
      <c r="A1622" s="257" t="s">
        <v>2720</v>
      </c>
      <c r="B1622" s="9">
        <v>5</v>
      </c>
      <c r="C1622" s="257" t="s">
        <v>10024</v>
      </c>
      <c r="D1622" s="9"/>
      <c r="E1622" s="9">
        <v>1724465.2324523926</v>
      </c>
      <c r="F1622" s="257" t="s">
        <v>14827</v>
      </c>
      <c r="G1622" s="9"/>
      <c r="H1622" s="257" t="s">
        <v>19788</v>
      </c>
      <c r="I1622" s="9">
        <v>1</v>
      </c>
    </row>
    <row r="1623" spans="1:9">
      <c r="A1623" s="257" t="s">
        <v>2721</v>
      </c>
      <c r="B1623" s="9">
        <v>5</v>
      </c>
      <c r="C1623" s="257" t="s">
        <v>10024</v>
      </c>
      <c r="D1623" s="9">
        <v>3.978953015330252E-2</v>
      </c>
      <c r="E1623" s="9">
        <v>1724465.2324523926</v>
      </c>
      <c r="F1623" s="257" t="s">
        <v>14828</v>
      </c>
      <c r="G1623" s="9"/>
      <c r="H1623" s="257" t="s">
        <v>19789</v>
      </c>
      <c r="I1623" s="9">
        <v>1</v>
      </c>
    </row>
    <row r="1624" spans="1:9">
      <c r="A1624" s="257" t="s">
        <v>2722</v>
      </c>
      <c r="B1624" s="9">
        <v>5</v>
      </c>
      <c r="C1624" s="257" t="s">
        <v>10024</v>
      </c>
      <c r="D1624" s="9">
        <v>4.4988623406524063E-2</v>
      </c>
      <c r="E1624" s="9">
        <v>1724465.2324523926</v>
      </c>
      <c r="F1624" s="257" t="s">
        <v>14829</v>
      </c>
      <c r="G1624" s="9"/>
      <c r="H1624" s="257" t="s">
        <v>19790</v>
      </c>
      <c r="I1624" s="9">
        <v>1</v>
      </c>
    </row>
    <row r="1625" spans="1:9">
      <c r="A1625" s="257" t="s">
        <v>2723</v>
      </c>
      <c r="B1625" s="9">
        <v>5</v>
      </c>
      <c r="C1625" s="257" t="s">
        <v>10024</v>
      </c>
      <c r="D1625" s="9"/>
      <c r="E1625" s="9">
        <v>1724465.2324523926</v>
      </c>
      <c r="F1625" s="257" t="s">
        <v>14830</v>
      </c>
      <c r="G1625" s="9"/>
      <c r="H1625" s="257" t="s">
        <v>19791</v>
      </c>
      <c r="I1625" s="9">
        <v>1</v>
      </c>
    </row>
    <row r="1626" spans="1:9">
      <c r="A1626" s="257" t="s">
        <v>2724</v>
      </c>
      <c r="B1626" s="9">
        <v>5</v>
      </c>
      <c r="C1626" s="257" t="s">
        <v>10024</v>
      </c>
      <c r="D1626" s="9"/>
      <c r="E1626" s="9">
        <v>1724465.2324523926</v>
      </c>
      <c r="F1626" s="257" t="s">
        <v>14831</v>
      </c>
      <c r="G1626" s="9"/>
      <c r="H1626" s="257" t="s">
        <v>19792</v>
      </c>
      <c r="I1626" s="9">
        <v>1</v>
      </c>
    </row>
    <row r="1627" spans="1:9">
      <c r="A1627" s="257" t="s">
        <v>2725</v>
      </c>
      <c r="B1627" s="9">
        <v>6</v>
      </c>
      <c r="C1627" s="257" t="s">
        <v>10024</v>
      </c>
      <c r="D1627" s="9">
        <v>6.1353773160896567E-2</v>
      </c>
      <c r="E1627" s="9">
        <v>1727309.5965805054</v>
      </c>
      <c r="F1627" s="257" t="s">
        <v>14832</v>
      </c>
      <c r="G1627" s="9"/>
      <c r="H1627" s="257" t="s">
        <v>19793</v>
      </c>
      <c r="I1627" s="9">
        <v>1</v>
      </c>
    </row>
    <row r="1628" spans="1:9">
      <c r="A1628" s="257" t="s">
        <v>2726</v>
      </c>
      <c r="B1628" s="9">
        <v>6</v>
      </c>
      <c r="C1628" s="257" t="s">
        <v>10024</v>
      </c>
      <c r="D1628" s="9">
        <v>7.1880492421972003E-2</v>
      </c>
      <c r="E1628" s="9">
        <v>1727309.5965805054</v>
      </c>
      <c r="F1628" s="257" t="s">
        <v>14833</v>
      </c>
      <c r="G1628" s="9"/>
      <c r="H1628" s="257" t="s">
        <v>19794</v>
      </c>
      <c r="I1628" s="9">
        <v>1</v>
      </c>
    </row>
    <row r="1629" spans="1:9">
      <c r="A1629" s="257" t="s">
        <v>2727</v>
      </c>
      <c r="B1629" s="9">
        <v>6</v>
      </c>
      <c r="C1629" s="257" t="s">
        <v>10024</v>
      </c>
      <c r="D1629" s="9">
        <v>7.3432379748017848E-2</v>
      </c>
      <c r="E1629" s="9">
        <v>1727309.5965805054</v>
      </c>
      <c r="F1629" s="257" t="s">
        <v>14834</v>
      </c>
      <c r="G1629" s="9"/>
      <c r="H1629" s="257" t="s">
        <v>19795</v>
      </c>
      <c r="I1629" s="9">
        <v>1</v>
      </c>
    </row>
    <row r="1630" spans="1:9">
      <c r="A1630" s="257" t="s">
        <v>2728</v>
      </c>
      <c r="B1630" s="9">
        <v>6</v>
      </c>
      <c r="C1630" s="257" t="s">
        <v>10024</v>
      </c>
      <c r="D1630" s="9"/>
      <c r="E1630" s="9">
        <v>1727309.5965805054</v>
      </c>
      <c r="F1630" s="257" t="s">
        <v>14835</v>
      </c>
      <c r="G1630" s="9"/>
      <c r="H1630" s="257" t="s">
        <v>19796</v>
      </c>
      <c r="I1630" s="9">
        <v>1</v>
      </c>
    </row>
    <row r="1631" spans="1:9">
      <c r="A1631" s="257" t="s">
        <v>2729</v>
      </c>
      <c r="B1631" s="9">
        <v>6</v>
      </c>
      <c r="C1631" s="257" t="s">
        <v>10024</v>
      </c>
      <c r="D1631" s="9"/>
      <c r="E1631" s="9">
        <v>1727309.5965805054</v>
      </c>
      <c r="F1631" s="257" t="s">
        <v>14836</v>
      </c>
      <c r="G1631" s="9"/>
      <c r="H1631" s="257" t="s">
        <v>19797</v>
      </c>
      <c r="I1631" s="9">
        <v>1</v>
      </c>
    </row>
    <row r="1632" spans="1:9">
      <c r="A1632" s="257" t="s">
        <v>2730</v>
      </c>
      <c r="B1632" s="9">
        <v>6</v>
      </c>
      <c r="C1632" s="257" t="s">
        <v>10024</v>
      </c>
      <c r="D1632" s="9"/>
      <c r="E1632" s="9">
        <v>1727309.5965805054</v>
      </c>
      <c r="F1632" s="257" t="s">
        <v>14837</v>
      </c>
      <c r="G1632" s="9"/>
      <c r="H1632" s="257" t="s">
        <v>19798</v>
      </c>
      <c r="I1632" s="9">
        <v>1</v>
      </c>
    </row>
    <row r="1633" spans="1:9">
      <c r="A1633" s="257" t="s">
        <v>2731</v>
      </c>
      <c r="B1633" s="9">
        <v>6</v>
      </c>
      <c r="C1633" s="257" t="s">
        <v>10024</v>
      </c>
      <c r="D1633" s="9">
        <v>3.9000126415459677E-2</v>
      </c>
      <c r="E1633" s="9">
        <v>1727309.5965805054</v>
      </c>
      <c r="F1633" s="257" t="s">
        <v>14838</v>
      </c>
      <c r="G1633" s="9"/>
      <c r="H1633" s="257" t="s">
        <v>19799</v>
      </c>
      <c r="I1633" s="9">
        <v>1</v>
      </c>
    </row>
    <row r="1634" spans="1:9">
      <c r="A1634" s="257" t="s">
        <v>2732</v>
      </c>
      <c r="B1634" s="9">
        <v>6</v>
      </c>
      <c r="C1634" s="257" t="s">
        <v>10024</v>
      </c>
      <c r="D1634" s="9">
        <v>7.1632024123896187E-2</v>
      </c>
      <c r="E1634" s="9">
        <v>1727309.5965805054</v>
      </c>
      <c r="F1634" s="257" t="s">
        <v>14839</v>
      </c>
      <c r="G1634" s="9"/>
      <c r="H1634" s="257" t="s">
        <v>19800</v>
      </c>
      <c r="I1634" s="9">
        <v>1</v>
      </c>
    </row>
    <row r="1635" spans="1:9">
      <c r="A1635" s="257" t="s">
        <v>2733</v>
      </c>
      <c r="B1635" s="9">
        <v>6</v>
      </c>
      <c r="C1635" s="257" t="s">
        <v>10024</v>
      </c>
      <c r="D1635" s="9">
        <v>7.433416358919577E-2</v>
      </c>
      <c r="E1635" s="9">
        <v>1727309.5965805054</v>
      </c>
      <c r="F1635" s="257" t="s">
        <v>14840</v>
      </c>
      <c r="G1635" s="9"/>
      <c r="H1635" s="257" t="s">
        <v>19801</v>
      </c>
      <c r="I1635" s="9">
        <v>1</v>
      </c>
    </row>
    <row r="1636" spans="1:9">
      <c r="A1636" s="257" t="s">
        <v>2734</v>
      </c>
      <c r="B1636" s="9">
        <v>6</v>
      </c>
      <c r="C1636" s="257" t="s">
        <v>10024</v>
      </c>
      <c r="D1636" s="9">
        <v>7.2795919277109017E-2</v>
      </c>
      <c r="E1636" s="9">
        <v>1727309.5965805054</v>
      </c>
      <c r="F1636" s="257" t="s">
        <v>14841</v>
      </c>
      <c r="G1636" s="9"/>
      <c r="H1636" s="257" t="s">
        <v>19802</v>
      </c>
      <c r="I1636" s="9">
        <v>1</v>
      </c>
    </row>
    <row r="1637" spans="1:9">
      <c r="A1637" s="257" t="s">
        <v>2735</v>
      </c>
      <c r="B1637" s="9">
        <v>6</v>
      </c>
      <c r="C1637" s="257" t="s">
        <v>10024</v>
      </c>
      <c r="D1637" s="9"/>
      <c r="E1637" s="9">
        <v>1727309.5965805054</v>
      </c>
      <c r="F1637" s="257" t="s">
        <v>14842</v>
      </c>
      <c r="G1637" s="9"/>
      <c r="H1637" s="257" t="s">
        <v>19803</v>
      </c>
      <c r="I1637" s="9">
        <v>1</v>
      </c>
    </row>
    <row r="1638" spans="1:9">
      <c r="A1638" s="257" t="s">
        <v>2736</v>
      </c>
      <c r="B1638" s="9">
        <v>6</v>
      </c>
      <c r="C1638" s="257" t="s">
        <v>10024</v>
      </c>
      <c r="D1638" s="9"/>
      <c r="E1638" s="9">
        <v>1727309.5965805054</v>
      </c>
      <c r="F1638" s="257" t="s">
        <v>14843</v>
      </c>
      <c r="G1638" s="9"/>
      <c r="H1638" s="257" t="s">
        <v>19804</v>
      </c>
      <c r="I1638" s="9">
        <v>1</v>
      </c>
    </row>
    <row r="1639" spans="1:9">
      <c r="A1639" s="257" t="s">
        <v>2737</v>
      </c>
      <c r="B1639" s="9">
        <v>6</v>
      </c>
      <c r="C1639" s="257" t="s">
        <v>10024</v>
      </c>
      <c r="D1639" s="9">
        <v>6.1655253895709937E-2</v>
      </c>
      <c r="E1639" s="9">
        <v>1727309.5965805054</v>
      </c>
      <c r="F1639" s="257" t="s">
        <v>14844</v>
      </c>
      <c r="G1639" s="9"/>
      <c r="H1639" s="257" t="s">
        <v>19805</v>
      </c>
      <c r="I1639" s="9">
        <v>1</v>
      </c>
    </row>
    <row r="1640" spans="1:9">
      <c r="A1640" s="257" t="s">
        <v>2738</v>
      </c>
      <c r="B1640" s="9">
        <v>6</v>
      </c>
      <c r="C1640" s="257" t="s">
        <v>10024</v>
      </c>
      <c r="D1640" s="9">
        <v>8.1353075837813579E-2</v>
      </c>
      <c r="E1640" s="9">
        <v>1727309.5965805054</v>
      </c>
      <c r="F1640" s="257" t="s">
        <v>14845</v>
      </c>
      <c r="G1640" s="9"/>
      <c r="H1640" s="257" t="s">
        <v>19806</v>
      </c>
      <c r="I1640" s="9">
        <v>1</v>
      </c>
    </row>
    <row r="1641" spans="1:9">
      <c r="A1641" s="257" t="s">
        <v>2739</v>
      </c>
      <c r="B1641" s="9">
        <v>6</v>
      </c>
      <c r="C1641" s="257" t="s">
        <v>10024</v>
      </c>
      <c r="D1641" s="9"/>
      <c r="E1641" s="9">
        <v>1727309.5965805054</v>
      </c>
      <c r="F1641" s="257" t="s">
        <v>14846</v>
      </c>
      <c r="G1641" s="9"/>
      <c r="H1641" s="257" t="s">
        <v>19807</v>
      </c>
      <c r="I1641" s="9">
        <v>1</v>
      </c>
    </row>
    <row r="1642" spans="1:9">
      <c r="A1642" s="257" t="s">
        <v>2740</v>
      </c>
      <c r="B1642" s="9">
        <v>6</v>
      </c>
      <c r="C1642" s="257" t="s">
        <v>10024</v>
      </c>
      <c r="D1642" s="9">
        <v>7.0989422073514746E-2</v>
      </c>
      <c r="E1642" s="9">
        <v>1727309.5965805054</v>
      </c>
      <c r="F1642" s="257" t="s">
        <v>14847</v>
      </c>
      <c r="G1642" s="9"/>
      <c r="H1642" s="257" t="s">
        <v>19808</v>
      </c>
      <c r="I1642" s="9">
        <v>1</v>
      </c>
    </row>
    <row r="1643" spans="1:9">
      <c r="A1643" s="257" t="s">
        <v>2741</v>
      </c>
      <c r="B1643" s="9">
        <v>6</v>
      </c>
      <c r="C1643" s="257" t="s">
        <v>10024</v>
      </c>
      <c r="D1643" s="9">
        <v>7.3432379748017848E-2</v>
      </c>
      <c r="E1643" s="9">
        <v>1727309.5965805054</v>
      </c>
      <c r="F1643" s="257" t="s">
        <v>14848</v>
      </c>
      <c r="G1643" s="9"/>
      <c r="H1643" s="257" t="s">
        <v>19809</v>
      </c>
      <c r="I1643" s="9">
        <v>1</v>
      </c>
    </row>
    <row r="1644" spans="1:9">
      <c r="A1644" s="257" t="s">
        <v>2742</v>
      </c>
      <c r="B1644" s="9">
        <v>6</v>
      </c>
      <c r="C1644" s="257" t="s">
        <v>10024</v>
      </c>
      <c r="D1644" s="9"/>
      <c r="E1644" s="9">
        <v>1727309.5965805054</v>
      </c>
      <c r="F1644" s="257" t="s">
        <v>14849</v>
      </c>
      <c r="G1644" s="9"/>
      <c r="H1644" s="257" t="s">
        <v>19810</v>
      </c>
      <c r="I1644" s="9">
        <v>1</v>
      </c>
    </row>
    <row r="1645" spans="1:9">
      <c r="A1645" s="257" t="s">
        <v>2743</v>
      </c>
      <c r="B1645" s="9">
        <v>6</v>
      </c>
      <c r="C1645" s="257" t="s">
        <v>10024</v>
      </c>
      <c r="D1645" s="9">
        <v>5.8255801353632036E-2</v>
      </c>
      <c r="E1645" s="9">
        <v>1727309.5965805054</v>
      </c>
      <c r="F1645" s="257" t="s">
        <v>14850</v>
      </c>
      <c r="G1645" s="9"/>
      <c r="H1645" s="257" t="s">
        <v>19811</v>
      </c>
      <c r="I1645" s="9">
        <v>1</v>
      </c>
    </row>
    <row r="1646" spans="1:9">
      <c r="A1646" s="257" t="s">
        <v>2744</v>
      </c>
      <c r="B1646" s="9">
        <v>6</v>
      </c>
      <c r="C1646" s="257" t="s">
        <v>10024</v>
      </c>
      <c r="D1646" s="9"/>
      <c r="E1646" s="9">
        <v>1727309.5965805054</v>
      </c>
      <c r="F1646" s="257" t="s">
        <v>14851</v>
      </c>
      <c r="G1646" s="9"/>
      <c r="H1646" s="257" t="s">
        <v>19812</v>
      </c>
      <c r="I1646" s="9">
        <v>1</v>
      </c>
    </row>
    <row r="1647" spans="1:9">
      <c r="A1647" s="257" t="s">
        <v>2745</v>
      </c>
      <c r="B1647" s="9">
        <v>6</v>
      </c>
      <c r="C1647" s="257" t="s">
        <v>10024</v>
      </c>
      <c r="D1647" s="9">
        <v>6.8738011960500223E-2</v>
      </c>
      <c r="E1647" s="9">
        <v>1727309.5965805054</v>
      </c>
      <c r="F1647" s="257" t="s">
        <v>14852</v>
      </c>
      <c r="G1647" s="9"/>
      <c r="H1647" s="257" t="s">
        <v>19813</v>
      </c>
      <c r="I1647" s="9">
        <v>1</v>
      </c>
    </row>
    <row r="1648" spans="1:9">
      <c r="A1648" s="257" t="s">
        <v>2746</v>
      </c>
      <c r="B1648" s="9">
        <v>6</v>
      </c>
      <c r="C1648" s="257" t="s">
        <v>10024</v>
      </c>
      <c r="D1648" s="9">
        <v>7.0989422073514746E-2</v>
      </c>
      <c r="E1648" s="9">
        <v>1727309.5965805054</v>
      </c>
      <c r="F1648" s="257" t="s">
        <v>14853</v>
      </c>
      <c r="G1648" s="9"/>
      <c r="H1648" s="257" t="s">
        <v>19814</v>
      </c>
      <c r="I1648" s="9">
        <v>1</v>
      </c>
    </row>
    <row r="1649" spans="1:9">
      <c r="A1649" s="257" t="s">
        <v>2747</v>
      </c>
      <c r="B1649" s="9">
        <v>6</v>
      </c>
      <c r="C1649" s="257" t="s">
        <v>10024</v>
      </c>
      <c r="D1649" s="9">
        <v>7.433416358919577E-2</v>
      </c>
      <c r="E1649" s="9">
        <v>1727309.5965805054</v>
      </c>
      <c r="F1649" s="257" t="s">
        <v>14854</v>
      </c>
      <c r="G1649" s="9"/>
      <c r="H1649" s="257" t="s">
        <v>19815</v>
      </c>
      <c r="I1649" s="9">
        <v>1</v>
      </c>
    </row>
    <row r="1650" spans="1:9">
      <c r="A1650" s="257" t="s">
        <v>2748</v>
      </c>
      <c r="B1650" s="9">
        <v>6</v>
      </c>
      <c r="C1650" s="257" t="s">
        <v>10024</v>
      </c>
      <c r="D1650" s="9">
        <v>7.3432379748017848E-2</v>
      </c>
      <c r="E1650" s="9">
        <v>1727309.5965805054</v>
      </c>
      <c r="F1650" s="257" t="s">
        <v>14855</v>
      </c>
      <c r="G1650" s="9"/>
      <c r="H1650" s="257" t="s">
        <v>19816</v>
      </c>
      <c r="I1650" s="9">
        <v>1</v>
      </c>
    </row>
    <row r="1651" spans="1:9">
      <c r="A1651" s="257" t="s">
        <v>2749</v>
      </c>
      <c r="B1651" s="9">
        <v>6</v>
      </c>
      <c r="C1651" s="257" t="s">
        <v>10024</v>
      </c>
      <c r="D1651" s="9">
        <v>7.9896364354204802E-2</v>
      </c>
      <c r="E1651" s="9">
        <v>1727309.5965805054</v>
      </c>
      <c r="F1651" s="257" t="s">
        <v>14856</v>
      </c>
      <c r="G1651" s="9"/>
      <c r="H1651" s="257" t="s">
        <v>19817</v>
      </c>
      <c r="I1651" s="9">
        <v>1</v>
      </c>
    </row>
    <row r="1652" spans="1:9">
      <c r="A1652" s="257" t="s">
        <v>2750</v>
      </c>
      <c r="B1652" s="9">
        <v>7</v>
      </c>
      <c r="C1652" s="257" t="s">
        <v>10024</v>
      </c>
      <c r="D1652" s="9">
        <v>0.1009235616108151</v>
      </c>
      <c r="E1652" s="9">
        <v>1724929.0217895508</v>
      </c>
      <c r="F1652" s="257" t="s">
        <v>14857</v>
      </c>
      <c r="G1652" s="9"/>
      <c r="H1652" s="257" t="s">
        <v>19818</v>
      </c>
      <c r="I1652" s="9">
        <v>1</v>
      </c>
    </row>
    <row r="1653" spans="1:9">
      <c r="A1653" s="257" t="s">
        <v>2751</v>
      </c>
      <c r="B1653" s="9">
        <v>7</v>
      </c>
      <c r="C1653" s="257" t="s">
        <v>10024</v>
      </c>
      <c r="D1653" s="9">
        <v>5.1854022971874178E-2</v>
      </c>
      <c r="E1653" s="9">
        <v>1724929.0217895508</v>
      </c>
      <c r="F1653" s="257" t="s">
        <v>14858</v>
      </c>
      <c r="G1653" s="9"/>
      <c r="H1653" s="257" t="s">
        <v>19819</v>
      </c>
      <c r="I1653" s="9">
        <v>1</v>
      </c>
    </row>
    <row r="1654" spans="1:9">
      <c r="A1654" s="257" t="s">
        <v>2752</v>
      </c>
      <c r="B1654" s="9">
        <v>7</v>
      </c>
      <c r="C1654" s="257" t="s">
        <v>10024</v>
      </c>
      <c r="D1654" s="9"/>
      <c r="E1654" s="9">
        <v>1724929.0217895508</v>
      </c>
      <c r="F1654" s="257" t="s">
        <v>14859</v>
      </c>
      <c r="G1654" s="9"/>
      <c r="H1654" s="257" t="s">
        <v>19820</v>
      </c>
      <c r="I1654" s="9">
        <v>1</v>
      </c>
    </row>
    <row r="1655" spans="1:9">
      <c r="A1655" s="257" t="s">
        <v>2753</v>
      </c>
      <c r="B1655" s="9">
        <v>7</v>
      </c>
      <c r="C1655" s="257" t="s">
        <v>10024</v>
      </c>
      <c r="D1655" s="9">
        <v>9.4010597985339228E-2</v>
      </c>
      <c r="E1655" s="9">
        <v>1724929.0217895508</v>
      </c>
      <c r="F1655" s="257" t="s">
        <v>14860</v>
      </c>
      <c r="G1655" s="9"/>
      <c r="H1655" s="257" t="s">
        <v>19821</v>
      </c>
      <c r="I1655" s="9">
        <v>1</v>
      </c>
    </row>
    <row r="1656" spans="1:9">
      <c r="A1656" s="257" t="s">
        <v>2754</v>
      </c>
      <c r="B1656" s="9">
        <v>7</v>
      </c>
      <c r="C1656" s="257" t="s">
        <v>10024</v>
      </c>
      <c r="D1656" s="9">
        <v>9.7706736529848584E-2</v>
      </c>
      <c r="E1656" s="9">
        <v>1724929.0217895508</v>
      </c>
      <c r="F1656" s="257" t="s">
        <v>14861</v>
      </c>
      <c r="G1656" s="9"/>
      <c r="H1656" s="257" t="s">
        <v>19822</v>
      </c>
      <c r="I1656" s="9">
        <v>1</v>
      </c>
    </row>
    <row r="1657" spans="1:9">
      <c r="A1657" s="257" t="s">
        <v>2755</v>
      </c>
      <c r="B1657" s="9">
        <v>7</v>
      </c>
      <c r="C1657" s="257" t="s">
        <v>10024</v>
      </c>
      <c r="D1657" s="9"/>
      <c r="E1657" s="9">
        <v>1724929.0217895508</v>
      </c>
      <c r="F1657" s="257" t="s">
        <v>14862</v>
      </c>
      <c r="G1657" s="9"/>
      <c r="H1657" s="257" t="s">
        <v>19823</v>
      </c>
      <c r="I1657" s="9">
        <v>1</v>
      </c>
    </row>
    <row r="1658" spans="1:9">
      <c r="A1658" s="257" t="s">
        <v>2756</v>
      </c>
      <c r="B1658" s="9">
        <v>7</v>
      </c>
      <c r="C1658" s="257" t="s">
        <v>10024</v>
      </c>
      <c r="D1658" s="9">
        <v>0.10010900752559372</v>
      </c>
      <c r="E1658" s="9">
        <v>1724929.0217895508</v>
      </c>
      <c r="F1658" s="257" t="s">
        <v>14863</v>
      </c>
      <c r="G1658" s="9"/>
      <c r="H1658" s="257" t="s">
        <v>19824</v>
      </c>
      <c r="I1658" s="9">
        <v>1</v>
      </c>
    </row>
    <row r="1659" spans="1:9">
      <c r="A1659" s="257" t="s">
        <v>2757</v>
      </c>
      <c r="B1659" s="9">
        <v>7</v>
      </c>
      <c r="C1659" s="257" t="s">
        <v>10024</v>
      </c>
      <c r="D1659" s="9">
        <v>9.4010597985339228E-2</v>
      </c>
      <c r="E1659" s="9">
        <v>1724929.0217895508</v>
      </c>
      <c r="F1659" s="257" t="s">
        <v>14864</v>
      </c>
      <c r="G1659" s="9"/>
      <c r="H1659" s="257" t="s">
        <v>19825</v>
      </c>
      <c r="I1659" s="9">
        <v>1</v>
      </c>
    </row>
    <row r="1660" spans="1:9">
      <c r="A1660" s="257" t="s">
        <v>2758</v>
      </c>
      <c r="B1660" s="9">
        <v>7</v>
      </c>
      <c r="C1660" s="257" t="s">
        <v>10024</v>
      </c>
      <c r="D1660" s="9">
        <v>0.10276202916343244</v>
      </c>
      <c r="E1660" s="9">
        <v>1724929.0217895508</v>
      </c>
      <c r="F1660" s="257" t="s">
        <v>14865</v>
      </c>
      <c r="G1660" s="9"/>
      <c r="H1660" s="257" t="s">
        <v>19826</v>
      </c>
      <c r="I1660" s="9">
        <v>1</v>
      </c>
    </row>
    <row r="1661" spans="1:9">
      <c r="A1661" s="257" t="s">
        <v>2759</v>
      </c>
      <c r="B1661" s="9">
        <v>7</v>
      </c>
      <c r="C1661" s="257" t="s">
        <v>10024</v>
      </c>
      <c r="D1661" s="9">
        <v>7.4744923903001761E-2</v>
      </c>
      <c r="E1661" s="9">
        <v>1724929.0217895508</v>
      </c>
      <c r="F1661" s="257" t="s">
        <v>14866</v>
      </c>
      <c r="G1661" s="9"/>
      <c r="H1661" s="257" t="s">
        <v>19827</v>
      </c>
      <c r="I1661" s="9">
        <v>1</v>
      </c>
    </row>
    <row r="1662" spans="1:9">
      <c r="A1662" s="257" t="s">
        <v>2760</v>
      </c>
      <c r="B1662" s="9">
        <v>7</v>
      </c>
      <c r="C1662" s="257" t="s">
        <v>10024</v>
      </c>
      <c r="D1662" s="9">
        <v>7.7528679320398711E-2</v>
      </c>
      <c r="E1662" s="9">
        <v>1724929.0217895508</v>
      </c>
      <c r="F1662" s="257" t="s">
        <v>14867</v>
      </c>
      <c r="G1662" s="9"/>
      <c r="H1662" s="257" t="s">
        <v>19828</v>
      </c>
      <c r="I1662" s="9">
        <v>1</v>
      </c>
    </row>
    <row r="1663" spans="1:9">
      <c r="A1663" s="257" t="s">
        <v>2761</v>
      </c>
      <c r="B1663" s="9">
        <v>7</v>
      </c>
      <c r="C1663" s="257" t="s">
        <v>10024</v>
      </c>
      <c r="D1663" s="9">
        <v>7.8786149755153648E-2</v>
      </c>
      <c r="E1663" s="9">
        <v>1724929.0217895508</v>
      </c>
      <c r="F1663" s="257" t="s">
        <v>14868</v>
      </c>
      <c r="G1663" s="9"/>
      <c r="H1663" s="257" t="s">
        <v>19829</v>
      </c>
      <c r="I1663" s="9">
        <v>1</v>
      </c>
    </row>
    <row r="1664" spans="1:9">
      <c r="A1664" s="257" t="s">
        <v>2762</v>
      </c>
      <c r="B1664" s="9">
        <v>7</v>
      </c>
      <c r="C1664" s="257" t="s">
        <v>10024</v>
      </c>
      <c r="D1664" s="9">
        <v>8.5865896789137447E-2</v>
      </c>
      <c r="E1664" s="9">
        <v>1724929.0217895508</v>
      </c>
      <c r="F1664" s="257" t="s">
        <v>14869</v>
      </c>
      <c r="G1664" s="9"/>
      <c r="H1664" s="257" t="s">
        <v>19830</v>
      </c>
      <c r="I1664" s="9">
        <v>1</v>
      </c>
    </row>
    <row r="1665" spans="1:9">
      <c r="A1665" s="257" t="s">
        <v>2763</v>
      </c>
      <c r="B1665" s="9">
        <v>7</v>
      </c>
      <c r="C1665" s="257" t="s">
        <v>10024</v>
      </c>
      <c r="D1665" s="9"/>
      <c r="E1665" s="9">
        <v>1724929.0217895508</v>
      </c>
      <c r="F1665" s="257" t="s">
        <v>14870</v>
      </c>
      <c r="G1665" s="9"/>
      <c r="H1665" s="257" t="s">
        <v>19831</v>
      </c>
      <c r="I1665" s="9">
        <v>1</v>
      </c>
    </row>
    <row r="1666" spans="1:9">
      <c r="A1666" s="257" t="s">
        <v>2764</v>
      </c>
      <c r="B1666" s="9">
        <v>7</v>
      </c>
      <c r="C1666" s="257" t="s">
        <v>10024</v>
      </c>
      <c r="D1666" s="9">
        <v>8.9007041315456323E-2</v>
      </c>
      <c r="E1666" s="9">
        <v>1724929.0217895508</v>
      </c>
      <c r="F1666" s="257" t="s">
        <v>14871</v>
      </c>
      <c r="G1666" s="9"/>
      <c r="H1666" s="257" t="s">
        <v>19832</v>
      </c>
      <c r="I1666" s="9">
        <v>1</v>
      </c>
    </row>
    <row r="1667" spans="1:9">
      <c r="A1667" s="257" t="s">
        <v>2765</v>
      </c>
      <c r="B1667" s="9">
        <v>7</v>
      </c>
      <c r="C1667" s="257" t="s">
        <v>10024</v>
      </c>
      <c r="D1667" s="9">
        <v>9.7706736529848584E-2</v>
      </c>
      <c r="E1667" s="9">
        <v>1724929.0217895508</v>
      </c>
      <c r="F1667" s="257" t="s">
        <v>14872</v>
      </c>
      <c r="G1667" s="9"/>
      <c r="H1667" s="257" t="s">
        <v>19833</v>
      </c>
      <c r="I1667" s="9">
        <v>1</v>
      </c>
    </row>
    <row r="1668" spans="1:9">
      <c r="A1668" s="257" t="s">
        <v>2766</v>
      </c>
      <c r="B1668" s="9">
        <v>7</v>
      </c>
      <c r="C1668" s="257" t="s">
        <v>10024</v>
      </c>
      <c r="D1668" s="9"/>
      <c r="E1668" s="9">
        <v>1724929.0217895508</v>
      </c>
      <c r="F1668" s="257" t="s">
        <v>14873</v>
      </c>
      <c r="G1668" s="9"/>
      <c r="H1668" s="257" t="s">
        <v>19834</v>
      </c>
      <c r="I1668" s="9">
        <v>1</v>
      </c>
    </row>
    <row r="1669" spans="1:9">
      <c r="A1669" s="257" t="s">
        <v>2767</v>
      </c>
      <c r="B1669" s="9">
        <v>7</v>
      </c>
      <c r="C1669" s="257" t="s">
        <v>10024</v>
      </c>
      <c r="D1669" s="9">
        <v>9.7706736529848584E-2</v>
      </c>
      <c r="E1669" s="9">
        <v>1724929.0217895508</v>
      </c>
      <c r="F1669" s="257" t="s">
        <v>14874</v>
      </c>
      <c r="G1669" s="9"/>
      <c r="H1669" s="257" t="s">
        <v>19835</v>
      </c>
      <c r="I1669" s="9">
        <v>1</v>
      </c>
    </row>
    <row r="1670" spans="1:9">
      <c r="A1670" s="257" t="s">
        <v>2768</v>
      </c>
      <c r="B1670" s="9">
        <v>7</v>
      </c>
      <c r="C1670" s="257" t="s">
        <v>10024</v>
      </c>
      <c r="D1670" s="9"/>
      <c r="E1670" s="9">
        <v>1724929.0217895508</v>
      </c>
      <c r="F1670" s="257" t="s">
        <v>14875</v>
      </c>
      <c r="G1670" s="9"/>
      <c r="H1670" s="257" t="s">
        <v>19836</v>
      </c>
      <c r="I1670" s="9">
        <v>1</v>
      </c>
    </row>
    <row r="1671" spans="1:9">
      <c r="A1671" s="257" t="s">
        <v>2769</v>
      </c>
      <c r="B1671" s="9">
        <v>7</v>
      </c>
      <c r="C1671" s="257" t="s">
        <v>10024</v>
      </c>
      <c r="D1671" s="9"/>
      <c r="E1671" s="9">
        <v>1724929.0217895508</v>
      </c>
      <c r="F1671" s="257" t="s">
        <v>14876</v>
      </c>
      <c r="G1671" s="9"/>
      <c r="H1671" s="257" t="s">
        <v>19837</v>
      </c>
      <c r="I1671" s="9">
        <v>1</v>
      </c>
    </row>
    <row r="1672" spans="1:9">
      <c r="A1672" s="257" t="s">
        <v>2770</v>
      </c>
      <c r="B1672" s="9">
        <v>7</v>
      </c>
      <c r="C1672" s="257" t="s">
        <v>10024</v>
      </c>
      <c r="D1672" s="9"/>
      <c r="E1672" s="9">
        <v>1724929.0217895508</v>
      </c>
      <c r="F1672" s="257" t="s">
        <v>14877</v>
      </c>
      <c r="G1672" s="9"/>
      <c r="H1672" s="257" t="s">
        <v>19838</v>
      </c>
      <c r="I1672" s="9">
        <v>1</v>
      </c>
    </row>
    <row r="1673" spans="1:9">
      <c r="A1673" s="257" t="s">
        <v>2771</v>
      </c>
      <c r="B1673" s="9">
        <v>7</v>
      </c>
      <c r="C1673" s="257" t="s">
        <v>10024</v>
      </c>
      <c r="D1673" s="9">
        <v>0.10276202916343244</v>
      </c>
      <c r="E1673" s="9">
        <v>1724929.0217895508</v>
      </c>
      <c r="F1673" s="257" t="s">
        <v>14878</v>
      </c>
      <c r="G1673" s="9"/>
      <c r="H1673" s="257" t="s">
        <v>19839</v>
      </c>
      <c r="I1673" s="9">
        <v>1</v>
      </c>
    </row>
    <row r="1674" spans="1:9">
      <c r="A1674" s="257" t="s">
        <v>2772</v>
      </c>
      <c r="B1674" s="9">
        <v>7</v>
      </c>
      <c r="C1674" s="257" t="s">
        <v>10024</v>
      </c>
      <c r="D1674" s="9">
        <v>0.10054578224608192</v>
      </c>
      <c r="E1674" s="9">
        <v>1724929.0217895508</v>
      </c>
      <c r="F1674" s="257" t="s">
        <v>14879</v>
      </c>
      <c r="G1674" s="9"/>
      <c r="H1674" s="257" t="s">
        <v>19840</v>
      </c>
      <c r="I1674" s="9">
        <v>1</v>
      </c>
    </row>
    <row r="1675" spans="1:9">
      <c r="A1675" s="257" t="s">
        <v>2773</v>
      </c>
      <c r="B1675" s="9">
        <v>7</v>
      </c>
      <c r="C1675" s="257" t="s">
        <v>10024</v>
      </c>
      <c r="D1675" s="9">
        <v>9.8241105898608766E-2</v>
      </c>
      <c r="E1675" s="9">
        <v>1724929.0217895508</v>
      </c>
      <c r="F1675" s="257" t="s">
        <v>14880</v>
      </c>
      <c r="G1675" s="9"/>
      <c r="H1675" s="257" t="s">
        <v>19841</v>
      </c>
      <c r="I1675" s="9">
        <v>1</v>
      </c>
    </row>
    <row r="1676" spans="1:9">
      <c r="A1676" s="257" t="s">
        <v>2774</v>
      </c>
      <c r="B1676" s="9">
        <v>7</v>
      </c>
      <c r="C1676" s="257" t="s">
        <v>10024</v>
      </c>
      <c r="D1676" s="9"/>
      <c r="E1676" s="9">
        <v>1724929.0217895508</v>
      </c>
      <c r="F1676" s="257" t="s">
        <v>14881</v>
      </c>
      <c r="G1676" s="9"/>
      <c r="H1676" s="257" t="s">
        <v>19842</v>
      </c>
      <c r="I1676" s="9">
        <v>1</v>
      </c>
    </row>
    <row r="1677" spans="1:9">
      <c r="A1677" s="257" t="s">
        <v>2775</v>
      </c>
      <c r="B1677" s="9">
        <v>8</v>
      </c>
      <c r="C1677" s="257" t="s">
        <v>10024</v>
      </c>
      <c r="D1677" s="9">
        <v>0.12951651554261584</v>
      </c>
      <c r="E1677" s="9">
        <v>1724851.1857852936</v>
      </c>
      <c r="F1677" s="257" t="s">
        <v>14882</v>
      </c>
      <c r="G1677" s="9"/>
      <c r="H1677" s="257" t="s">
        <v>19843</v>
      </c>
      <c r="I1677" s="9">
        <v>1</v>
      </c>
    </row>
    <row r="1678" spans="1:9">
      <c r="A1678" s="257" t="s">
        <v>2776</v>
      </c>
      <c r="B1678" s="9">
        <v>8</v>
      </c>
      <c r="C1678" s="257" t="s">
        <v>10024</v>
      </c>
      <c r="D1678" s="9"/>
      <c r="E1678" s="9">
        <v>1724851.1857852936</v>
      </c>
      <c r="F1678" s="257" t="s">
        <v>14883</v>
      </c>
      <c r="G1678" s="9"/>
      <c r="H1678" s="257" t="s">
        <v>19844</v>
      </c>
      <c r="I1678" s="9">
        <v>1</v>
      </c>
    </row>
    <row r="1679" spans="1:9">
      <c r="A1679" s="257" t="s">
        <v>2777</v>
      </c>
      <c r="B1679" s="9">
        <v>8</v>
      </c>
      <c r="C1679" s="257" t="s">
        <v>10024</v>
      </c>
      <c r="D1679" s="9">
        <v>0.11831132573576435</v>
      </c>
      <c r="E1679" s="9">
        <v>1724851.1857852936</v>
      </c>
      <c r="F1679" s="257" t="s">
        <v>14884</v>
      </c>
      <c r="G1679" s="9"/>
      <c r="H1679" s="257" t="s">
        <v>19845</v>
      </c>
      <c r="I1679" s="9">
        <v>1</v>
      </c>
    </row>
    <row r="1680" spans="1:9">
      <c r="A1680" s="257" t="s">
        <v>2778</v>
      </c>
      <c r="B1680" s="9">
        <v>8</v>
      </c>
      <c r="C1680" s="257" t="s">
        <v>10024</v>
      </c>
      <c r="D1680" s="9">
        <v>0.13178995704849986</v>
      </c>
      <c r="E1680" s="9">
        <v>1724851.1857852936</v>
      </c>
      <c r="F1680" s="257" t="s">
        <v>14885</v>
      </c>
      <c r="G1680" s="9"/>
      <c r="H1680" s="257" t="s">
        <v>19846</v>
      </c>
      <c r="I1680" s="9">
        <v>1</v>
      </c>
    </row>
    <row r="1681" spans="1:9">
      <c r="A1681" s="257" t="s">
        <v>2779</v>
      </c>
      <c r="B1681" s="9">
        <v>8</v>
      </c>
      <c r="C1681" s="257" t="s">
        <v>10024</v>
      </c>
      <c r="D1681" s="9"/>
      <c r="E1681" s="9">
        <v>1724851.1857852936</v>
      </c>
      <c r="F1681" s="257" t="s">
        <v>14886</v>
      </c>
      <c r="G1681" s="9"/>
      <c r="H1681" s="257" t="s">
        <v>19847</v>
      </c>
      <c r="I1681" s="9">
        <v>1</v>
      </c>
    </row>
    <row r="1682" spans="1:9">
      <c r="A1682" s="257" t="s">
        <v>2780</v>
      </c>
      <c r="B1682" s="9">
        <v>8</v>
      </c>
      <c r="C1682" s="257" t="s">
        <v>10024</v>
      </c>
      <c r="D1682" s="9">
        <v>0.13043101524112796</v>
      </c>
      <c r="E1682" s="9">
        <v>1724851.1857852936</v>
      </c>
      <c r="F1682" s="257" t="s">
        <v>14887</v>
      </c>
      <c r="G1682" s="9"/>
      <c r="H1682" s="257" t="s">
        <v>19848</v>
      </c>
      <c r="I1682" s="9">
        <v>1</v>
      </c>
    </row>
    <row r="1683" spans="1:9">
      <c r="A1683" s="257" t="s">
        <v>2781</v>
      </c>
      <c r="B1683" s="9">
        <v>8</v>
      </c>
      <c r="C1683" s="257" t="s">
        <v>10024</v>
      </c>
      <c r="D1683" s="9"/>
      <c r="E1683" s="9">
        <v>1724851.1857852936</v>
      </c>
      <c r="F1683" s="257" t="s">
        <v>14888</v>
      </c>
      <c r="G1683" s="9"/>
      <c r="H1683" s="257" t="s">
        <v>19849</v>
      </c>
      <c r="I1683" s="9">
        <v>1</v>
      </c>
    </row>
    <row r="1684" spans="1:9">
      <c r="A1684" s="257" t="s">
        <v>2782</v>
      </c>
      <c r="B1684" s="9">
        <v>8</v>
      </c>
      <c r="C1684" s="257" t="s">
        <v>10024</v>
      </c>
      <c r="D1684" s="9"/>
      <c r="E1684" s="9">
        <v>1724851.1857852936</v>
      </c>
      <c r="F1684" s="257" t="s">
        <v>14889</v>
      </c>
      <c r="G1684" s="9"/>
      <c r="H1684" s="257" t="s">
        <v>19850</v>
      </c>
      <c r="I1684" s="9">
        <v>1</v>
      </c>
    </row>
    <row r="1685" spans="1:9">
      <c r="A1685" s="257" t="s">
        <v>2783</v>
      </c>
      <c r="B1685" s="9">
        <v>8</v>
      </c>
      <c r="C1685" s="257" t="s">
        <v>10024</v>
      </c>
      <c r="D1685" s="9">
        <v>0.12393752944203631</v>
      </c>
      <c r="E1685" s="9">
        <v>1724851.1857852936</v>
      </c>
      <c r="F1685" s="257" t="s">
        <v>14890</v>
      </c>
      <c r="G1685" s="9"/>
      <c r="H1685" s="257" t="s">
        <v>19851</v>
      </c>
      <c r="I1685" s="9">
        <v>1</v>
      </c>
    </row>
    <row r="1686" spans="1:9">
      <c r="A1686" s="257" t="s">
        <v>2784</v>
      </c>
      <c r="B1686" s="9">
        <v>8</v>
      </c>
      <c r="C1686" s="257" t="s">
        <v>10024</v>
      </c>
      <c r="D1686" s="9"/>
      <c r="E1686" s="9">
        <v>1724851.1857852936</v>
      </c>
      <c r="F1686" s="257" t="s">
        <v>14891</v>
      </c>
      <c r="G1686" s="9"/>
      <c r="H1686" s="257" t="s">
        <v>19852</v>
      </c>
      <c r="I1686" s="9">
        <v>1</v>
      </c>
    </row>
    <row r="1687" spans="1:9">
      <c r="A1687" s="257" t="s">
        <v>2785</v>
      </c>
      <c r="B1687" s="9">
        <v>8</v>
      </c>
      <c r="C1687" s="257" t="s">
        <v>10024</v>
      </c>
      <c r="D1687" s="9">
        <v>0.12811173746498108</v>
      </c>
      <c r="E1687" s="9">
        <v>1724851.1857852936</v>
      </c>
      <c r="F1687" s="257" t="s">
        <v>14892</v>
      </c>
      <c r="G1687" s="9"/>
      <c r="H1687" s="257" t="s">
        <v>19853</v>
      </c>
      <c r="I1687" s="9">
        <v>1</v>
      </c>
    </row>
    <row r="1688" spans="1:9">
      <c r="A1688" s="257" t="s">
        <v>2786</v>
      </c>
      <c r="B1688" s="9">
        <v>8</v>
      </c>
      <c r="C1688" s="257" t="s">
        <v>10024</v>
      </c>
      <c r="D1688" s="9">
        <v>0.12366136699133572</v>
      </c>
      <c r="E1688" s="9">
        <v>1724851.1857852936</v>
      </c>
      <c r="F1688" s="257" t="s">
        <v>14893</v>
      </c>
      <c r="G1688" s="9"/>
      <c r="H1688" s="257" t="s">
        <v>19854</v>
      </c>
      <c r="I1688" s="9">
        <v>1</v>
      </c>
    </row>
    <row r="1689" spans="1:9">
      <c r="A1689" s="257" t="s">
        <v>2787</v>
      </c>
      <c r="B1689" s="9">
        <v>8</v>
      </c>
      <c r="C1689" s="257" t="s">
        <v>10024</v>
      </c>
      <c r="D1689" s="9">
        <v>7.9568170138560906E-2</v>
      </c>
      <c r="E1689" s="9">
        <v>1724851.1857852936</v>
      </c>
      <c r="F1689" s="257" t="s">
        <v>14894</v>
      </c>
      <c r="G1689" s="9"/>
      <c r="H1689" s="257" t="s">
        <v>19855</v>
      </c>
      <c r="I1689" s="9">
        <v>1</v>
      </c>
    </row>
    <row r="1690" spans="1:9">
      <c r="A1690" s="257" t="s">
        <v>2788</v>
      </c>
      <c r="B1690" s="9">
        <v>8</v>
      </c>
      <c r="C1690" s="257" t="s">
        <v>10024</v>
      </c>
      <c r="D1690" s="9"/>
      <c r="E1690" s="9">
        <v>1724851.1857852936</v>
      </c>
      <c r="F1690" s="257" t="s">
        <v>14895</v>
      </c>
      <c r="G1690" s="9"/>
      <c r="H1690" s="257" t="s">
        <v>19856</v>
      </c>
      <c r="I1690" s="9">
        <v>1</v>
      </c>
    </row>
    <row r="1691" spans="1:9">
      <c r="A1691" s="257" t="s">
        <v>2789</v>
      </c>
      <c r="B1691" s="9">
        <v>8</v>
      </c>
      <c r="C1691" s="257" t="s">
        <v>10024</v>
      </c>
      <c r="D1691" s="9">
        <v>0.12137539801981556</v>
      </c>
      <c r="E1691" s="9">
        <v>1724851.1857852936</v>
      </c>
      <c r="F1691" s="257" t="s">
        <v>14896</v>
      </c>
      <c r="G1691" s="9"/>
      <c r="H1691" s="257" t="s">
        <v>19857</v>
      </c>
      <c r="I1691" s="9">
        <v>1</v>
      </c>
    </row>
    <row r="1692" spans="1:9">
      <c r="A1692" s="257" t="s">
        <v>2790</v>
      </c>
      <c r="B1692" s="9">
        <v>8</v>
      </c>
      <c r="C1692" s="257" t="s">
        <v>10024</v>
      </c>
      <c r="D1692" s="9"/>
      <c r="E1692" s="9">
        <v>1724851.1857852936</v>
      </c>
      <c r="F1692" s="257" t="s">
        <v>14897</v>
      </c>
      <c r="G1692" s="9"/>
      <c r="H1692" s="257" t="s">
        <v>19858</v>
      </c>
      <c r="I1692" s="9">
        <v>1</v>
      </c>
    </row>
    <row r="1693" spans="1:9">
      <c r="A1693" s="257" t="s">
        <v>2791</v>
      </c>
      <c r="B1693" s="9">
        <v>8</v>
      </c>
      <c r="C1693" s="257" t="s">
        <v>10024</v>
      </c>
      <c r="D1693" s="9">
        <v>0.13178995704849986</v>
      </c>
      <c r="E1693" s="9">
        <v>1724851.1857852936</v>
      </c>
      <c r="F1693" s="257" t="s">
        <v>14898</v>
      </c>
      <c r="G1693" s="9"/>
      <c r="H1693" s="257" t="s">
        <v>19859</v>
      </c>
      <c r="I1693" s="9">
        <v>1</v>
      </c>
    </row>
    <row r="1694" spans="1:9">
      <c r="A1694" s="257" t="s">
        <v>2792</v>
      </c>
      <c r="B1694" s="9">
        <v>8</v>
      </c>
      <c r="C1694" s="257" t="s">
        <v>10024</v>
      </c>
      <c r="D1694" s="9">
        <v>0.12178185873637097</v>
      </c>
      <c r="E1694" s="9">
        <v>1724851.1857852936</v>
      </c>
      <c r="F1694" s="257" t="s">
        <v>14899</v>
      </c>
      <c r="G1694" s="9"/>
      <c r="H1694" s="257" t="s">
        <v>19860</v>
      </c>
      <c r="I1694" s="9">
        <v>1</v>
      </c>
    </row>
    <row r="1695" spans="1:9">
      <c r="A1695" s="257" t="s">
        <v>2793</v>
      </c>
      <c r="B1695" s="9">
        <v>8</v>
      </c>
      <c r="C1695" s="257" t="s">
        <v>10024</v>
      </c>
      <c r="D1695" s="9">
        <v>0.12653417561770483</v>
      </c>
      <c r="E1695" s="9">
        <v>1724851.1857852936</v>
      </c>
      <c r="F1695" s="257" t="s">
        <v>14900</v>
      </c>
      <c r="G1695" s="9"/>
      <c r="H1695" s="257" t="s">
        <v>19861</v>
      </c>
      <c r="I1695" s="9">
        <v>1</v>
      </c>
    </row>
    <row r="1696" spans="1:9">
      <c r="A1696" s="257" t="s">
        <v>2794</v>
      </c>
      <c r="B1696" s="9">
        <v>8</v>
      </c>
      <c r="C1696" s="257" t="s">
        <v>10024</v>
      </c>
      <c r="D1696" s="9">
        <v>0.12811173746498108</v>
      </c>
      <c r="E1696" s="9">
        <v>1724851.1857852936</v>
      </c>
      <c r="F1696" s="257" t="s">
        <v>14901</v>
      </c>
      <c r="G1696" s="9"/>
      <c r="H1696" s="257" t="s">
        <v>19862</v>
      </c>
      <c r="I1696" s="9">
        <v>1</v>
      </c>
    </row>
    <row r="1697" spans="1:9">
      <c r="A1697" s="257" t="s">
        <v>2795</v>
      </c>
      <c r="B1697" s="9">
        <v>8</v>
      </c>
      <c r="C1697" s="257" t="s">
        <v>10024</v>
      </c>
      <c r="D1697" s="9">
        <v>0.12811173746498108</v>
      </c>
      <c r="E1697" s="9">
        <v>1724851.1857852936</v>
      </c>
      <c r="F1697" s="257" t="s">
        <v>14902</v>
      </c>
      <c r="G1697" s="9"/>
      <c r="H1697" s="257" t="s">
        <v>19863</v>
      </c>
      <c r="I1697" s="9">
        <v>1</v>
      </c>
    </row>
    <row r="1698" spans="1:9">
      <c r="A1698" s="257" t="s">
        <v>2796</v>
      </c>
      <c r="B1698" s="9">
        <v>8</v>
      </c>
      <c r="C1698" s="257" t="s">
        <v>10024</v>
      </c>
      <c r="D1698" s="9">
        <v>0.12281733052432063</v>
      </c>
      <c r="E1698" s="9">
        <v>1724851.1857852936</v>
      </c>
      <c r="F1698" s="257" t="s">
        <v>14903</v>
      </c>
      <c r="G1698" s="9"/>
      <c r="H1698" s="257" t="s">
        <v>19864</v>
      </c>
      <c r="I1698" s="9">
        <v>1</v>
      </c>
    </row>
    <row r="1699" spans="1:9">
      <c r="A1699" s="257" t="s">
        <v>2797</v>
      </c>
      <c r="B1699" s="9">
        <v>8</v>
      </c>
      <c r="C1699" s="257" t="s">
        <v>10024</v>
      </c>
      <c r="D1699" s="9">
        <v>0.12515115447227576</v>
      </c>
      <c r="E1699" s="9">
        <v>1724851.1857852936</v>
      </c>
      <c r="F1699" s="257" t="s">
        <v>14904</v>
      </c>
      <c r="G1699" s="9"/>
      <c r="H1699" s="257" t="s">
        <v>19865</v>
      </c>
      <c r="I1699" s="9">
        <v>1</v>
      </c>
    </row>
    <row r="1700" spans="1:9">
      <c r="A1700" s="257" t="s">
        <v>2798</v>
      </c>
      <c r="B1700" s="9">
        <v>8</v>
      </c>
      <c r="C1700" s="257" t="s">
        <v>10024</v>
      </c>
      <c r="D1700" s="9">
        <v>0.12653417561770483</v>
      </c>
      <c r="E1700" s="9">
        <v>1724851.1857852936</v>
      </c>
      <c r="F1700" s="257" t="s">
        <v>14905</v>
      </c>
      <c r="G1700" s="9"/>
      <c r="H1700" s="257" t="s">
        <v>19866</v>
      </c>
      <c r="I1700" s="9">
        <v>1</v>
      </c>
    </row>
    <row r="1701" spans="1:9">
      <c r="A1701" s="257" t="s">
        <v>2799</v>
      </c>
      <c r="B1701" s="9">
        <v>8</v>
      </c>
      <c r="C1701" s="257" t="s">
        <v>10024</v>
      </c>
      <c r="D1701" s="9"/>
      <c r="E1701" s="9">
        <v>1724851.1857852936</v>
      </c>
      <c r="F1701" s="257" t="s">
        <v>14906</v>
      </c>
      <c r="G1701" s="9"/>
      <c r="H1701" s="257" t="s">
        <v>19867</v>
      </c>
      <c r="I1701" s="9">
        <v>1</v>
      </c>
    </row>
    <row r="1702" spans="1:9">
      <c r="A1702" s="257" t="s">
        <v>2800</v>
      </c>
      <c r="B1702" s="9">
        <v>9</v>
      </c>
      <c r="C1702" s="257" t="s">
        <v>10024</v>
      </c>
      <c r="D1702" s="9">
        <v>0.18014054496064488</v>
      </c>
      <c r="E1702" s="9">
        <v>1721642.4785900116</v>
      </c>
      <c r="F1702" s="257" t="s">
        <v>14907</v>
      </c>
      <c r="G1702" s="9"/>
      <c r="H1702" s="257" t="s">
        <v>19868</v>
      </c>
      <c r="I1702" s="9">
        <v>1</v>
      </c>
    </row>
    <row r="1703" spans="1:9">
      <c r="A1703" s="257" t="s">
        <v>2801</v>
      </c>
      <c r="B1703" s="9">
        <v>9</v>
      </c>
      <c r="C1703" s="257" t="s">
        <v>10024</v>
      </c>
      <c r="D1703" s="9">
        <v>0.17205499114491463</v>
      </c>
      <c r="E1703" s="9">
        <v>1721642.4785900116</v>
      </c>
      <c r="F1703" s="257" t="s">
        <v>14908</v>
      </c>
      <c r="G1703" s="9"/>
      <c r="H1703" s="257" t="s">
        <v>19869</v>
      </c>
      <c r="I1703" s="9">
        <v>1</v>
      </c>
    </row>
    <row r="1704" spans="1:9">
      <c r="A1704" s="257" t="s">
        <v>2802</v>
      </c>
      <c r="B1704" s="9">
        <v>9</v>
      </c>
      <c r="C1704" s="257" t="s">
        <v>10024</v>
      </c>
      <c r="D1704" s="9">
        <v>0.17327195474943649</v>
      </c>
      <c r="E1704" s="9">
        <v>1721642.4785900116</v>
      </c>
      <c r="F1704" s="257" t="s">
        <v>14909</v>
      </c>
      <c r="G1704" s="9"/>
      <c r="H1704" s="257" t="s">
        <v>19870</v>
      </c>
      <c r="I1704" s="9">
        <v>1</v>
      </c>
    </row>
    <row r="1705" spans="1:9">
      <c r="A1705" s="257" t="s">
        <v>2803</v>
      </c>
      <c r="B1705" s="9">
        <v>9</v>
      </c>
      <c r="C1705" s="257" t="s">
        <v>10024</v>
      </c>
      <c r="D1705" s="9"/>
      <c r="E1705" s="9">
        <v>1721642.4785900116</v>
      </c>
      <c r="F1705" s="257" t="s">
        <v>14910</v>
      </c>
      <c r="G1705" s="9"/>
      <c r="H1705" s="257" t="s">
        <v>19871</v>
      </c>
      <c r="I1705" s="9">
        <v>1</v>
      </c>
    </row>
    <row r="1706" spans="1:9">
      <c r="A1706" s="257" t="s">
        <v>2804</v>
      </c>
      <c r="B1706" s="9">
        <v>9</v>
      </c>
      <c r="C1706" s="257" t="s">
        <v>10024</v>
      </c>
      <c r="D1706" s="9">
        <v>0.17474961026080385</v>
      </c>
      <c r="E1706" s="9">
        <v>1721642.4785900116</v>
      </c>
      <c r="F1706" s="257" t="s">
        <v>14911</v>
      </c>
      <c r="G1706" s="9"/>
      <c r="H1706" s="257" t="s">
        <v>19872</v>
      </c>
      <c r="I1706" s="9">
        <v>1</v>
      </c>
    </row>
    <row r="1707" spans="1:9">
      <c r="A1707" s="257" t="s">
        <v>2805</v>
      </c>
      <c r="B1707" s="9">
        <v>9</v>
      </c>
      <c r="C1707" s="257" t="s">
        <v>10024</v>
      </c>
      <c r="D1707" s="9">
        <v>0.18247572424855313</v>
      </c>
      <c r="E1707" s="9">
        <v>1721642.4785900116</v>
      </c>
      <c r="F1707" s="257" t="s">
        <v>14912</v>
      </c>
      <c r="G1707" s="9"/>
      <c r="H1707" s="257" t="s">
        <v>19873</v>
      </c>
      <c r="I1707" s="9">
        <v>1</v>
      </c>
    </row>
    <row r="1708" spans="1:9">
      <c r="A1708" s="257" t="s">
        <v>2806</v>
      </c>
      <c r="B1708" s="9">
        <v>9</v>
      </c>
      <c r="C1708" s="257" t="s">
        <v>10024</v>
      </c>
      <c r="D1708" s="9">
        <v>0.12883579779606791</v>
      </c>
      <c r="E1708" s="9">
        <v>1721642.4785900116</v>
      </c>
      <c r="F1708" s="257" t="s">
        <v>14913</v>
      </c>
      <c r="G1708" s="9"/>
      <c r="H1708" s="257" t="s">
        <v>19874</v>
      </c>
      <c r="I1708" s="9">
        <v>1</v>
      </c>
    </row>
    <row r="1709" spans="1:9">
      <c r="A1709" s="257" t="s">
        <v>2807</v>
      </c>
      <c r="B1709" s="9">
        <v>9</v>
      </c>
      <c r="C1709" s="257" t="s">
        <v>10024</v>
      </c>
      <c r="D1709" s="9"/>
      <c r="E1709" s="9">
        <v>1721642.4785900116</v>
      </c>
      <c r="F1709" s="257" t="s">
        <v>14914</v>
      </c>
      <c r="G1709" s="9"/>
      <c r="H1709" s="257" t="s">
        <v>19875</v>
      </c>
      <c r="I1709" s="9">
        <v>1</v>
      </c>
    </row>
    <row r="1710" spans="1:9">
      <c r="A1710" s="257" t="s">
        <v>2808</v>
      </c>
      <c r="B1710" s="9">
        <v>9</v>
      </c>
      <c r="C1710" s="257" t="s">
        <v>10024</v>
      </c>
      <c r="D1710" s="9"/>
      <c r="E1710" s="9">
        <v>1721642.4785900116</v>
      </c>
      <c r="F1710" s="257" t="s">
        <v>14915</v>
      </c>
      <c r="G1710" s="9"/>
      <c r="H1710" s="257" t="s">
        <v>19876</v>
      </c>
      <c r="I1710" s="9">
        <v>1</v>
      </c>
    </row>
    <row r="1711" spans="1:9">
      <c r="A1711" s="257" t="s">
        <v>2809</v>
      </c>
      <c r="B1711" s="9">
        <v>9</v>
      </c>
      <c r="C1711" s="257" t="s">
        <v>10024</v>
      </c>
      <c r="D1711" s="9">
        <v>0.18358766450699091</v>
      </c>
      <c r="E1711" s="9">
        <v>1721642.4785900116</v>
      </c>
      <c r="F1711" s="257" t="s">
        <v>14916</v>
      </c>
      <c r="G1711" s="9"/>
      <c r="H1711" s="257" t="s">
        <v>19877</v>
      </c>
      <c r="I1711" s="9">
        <v>1</v>
      </c>
    </row>
    <row r="1712" spans="1:9">
      <c r="A1712" s="257" t="s">
        <v>2810</v>
      </c>
      <c r="B1712" s="9">
        <v>9</v>
      </c>
      <c r="C1712" s="257" t="s">
        <v>10024</v>
      </c>
      <c r="D1712" s="9">
        <v>0.16556985453182896</v>
      </c>
      <c r="E1712" s="9">
        <v>1721642.4785900116</v>
      </c>
      <c r="F1712" s="257" t="s">
        <v>14917</v>
      </c>
      <c r="G1712" s="9"/>
      <c r="H1712" s="257" t="s">
        <v>19878</v>
      </c>
      <c r="I1712" s="9">
        <v>1</v>
      </c>
    </row>
    <row r="1713" spans="1:9">
      <c r="A1713" s="257" t="s">
        <v>2811</v>
      </c>
      <c r="B1713" s="9">
        <v>9</v>
      </c>
      <c r="C1713" s="257" t="s">
        <v>10024</v>
      </c>
      <c r="D1713" s="9">
        <v>0.18247572424855313</v>
      </c>
      <c r="E1713" s="9">
        <v>1721642.4785900116</v>
      </c>
      <c r="F1713" s="257" t="s">
        <v>14918</v>
      </c>
      <c r="G1713" s="9"/>
      <c r="H1713" s="257" t="s">
        <v>19879</v>
      </c>
      <c r="I1713" s="9">
        <v>1</v>
      </c>
    </row>
    <row r="1714" spans="1:9">
      <c r="A1714" s="257" t="s">
        <v>2812</v>
      </c>
      <c r="B1714" s="9">
        <v>9</v>
      </c>
      <c r="C1714" s="257" t="s">
        <v>10024</v>
      </c>
      <c r="D1714" s="9"/>
      <c r="E1714" s="9">
        <v>1721642.4785900116</v>
      </c>
      <c r="F1714" s="257" t="s">
        <v>14919</v>
      </c>
      <c r="G1714" s="9"/>
      <c r="H1714" s="257" t="s">
        <v>19880</v>
      </c>
      <c r="I1714" s="9">
        <v>1</v>
      </c>
    </row>
    <row r="1715" spans="1:9">
      <c r="A1715" s="257" t="s">
        <v>2813</v>
      </c>
      <c r="B1715" s="9">
        <v>9</v>
      </c>
      <c r="C1715" s="257" t="s">
        <v>10024</v>
      </c>
      <c r="D1715" s="9">
        <v>0.17474961026080385</v>
      </c>
      <c r="E1715" s="9">
        <v>1721642.4785900116</v>
      </c>
      <c r="F1715" s="257" t="s">
        <v>14920</v>
      </c>
      <c r="G1715" s="9"/>
      <c r="H1715" s="257" t="s">
        <v>19881</v>
      </c>
      <c r="I1715" s="9">
        <v>1</v>
      </c>
    </row>
    <row r="1716" spans="1:9">
      <c r="A1716" s="257" t="s">
        <v>2814</v>
      </c>
      <c r="B1716" s="9">
        <v>9</v>
      </c>
      <c r="C1716" s="257" t="s">
        <v>10024</v>
      </c>
      <c r="D1716" s="9">
        <v>0.17474961026080385</v>
      </c>
      <c r="E1716" s="9">
        <v>1721642.4785900116</v>
      </c>
      <c r="F1716" s="257" t="s">
        <v>14921</v>
      </c>
      <c r="G1716" s="9"/>
      <c r="H1716" s="257" t="s">
        <v>19882</v>
      </c>
      <c r="I1716" s="9">
        <v>1</v>
      </c>
    </row>
    <row r="1717" spans="1:9">
      <c r="A1717" s="257" t="s">
        <v>2815</v>
      </c>
      <c r="B1717" s="9">
        <v>9</v>
      </c>
      <c r="C1717" s="257" t="s">
        <v>10024</v>
      </c>
      <c r="D1717" s="9">
        <v>0.16471173476520432</v>
      </c>
      <c r="E1717" s="9">
        <v>1721642.4785900116</v>
      </c>
      <c r="F1717" s="257" t="s">
        <v>14922</v>
      </c>
      <c r="G1717" s="9"/>
      <c r="H1717" s="257" t="s">
        <v>19883</v>
      </c>
      <c r="I1717" s="9">
        <v>1</v>
      </c>
    </row>
    <row r="1718" spans="1:9">
      <c r="A1718" s="257" t="s">
        <v>2816</v>
      </c>
      <c r="B1718" s="9">
        <v>9</v>
      </c>
      <c r="C1718" s="257" t="s">
        <v>10024</v>
      </c>
      <c r="D1718" s="9"/>
      <c r="E1718" s="9">
        <v>1721642.4785900116</v>
      </c>
      <c r="F1718" s="257" t="s">
        <v>14923</v>
      </c>
      <c r="G1718" s="9"/>
      <c r="H1718" s="257" t="s">
        <v>19884</v>
      </c>
      <c r="I1718" s="9">
        <v>1</v>
      </c>
    </row>
    <row r="1719" spans="1:9">
      <c r="A1719" s="257" t="s">
        <v>2817</v>
      </c>
      <c r="B1719" s="9">
        <v>9</v>
      </c>
      <c r="C1719" s="257" t="s">
        <v>10024</v>
      </c>
      <c r="D1719" s="9">
        <v>0.15911108801561882</v>
      </c>
      <c r="E1719" s="9">
        <v>1721642.4785900116</v>
      </c>
      <c r="F1719" s="257" t="s">
        <v>14924</v>
      </c>
      <c r="G1719" s="9"/>
      <c r="H1719" s="257" t="s">
        <v>19885</v>
      </c>
      <c r="I1719" s="9">
        <v>1</v>
      </c>
    </row>
    <row r="1720" spans="1:9">
      <c r="A1720" s="257" t="s">
        <v>2818</v>
      </c>
      <c r="B1720" s="9">
        <v>9</v>
      </c>
      <c r="C1720" s="257" t="s">
        <v>10024</v>
      </c>
      <c r="D1720" s="9">
        <v>0.16987904561102105</v>
      </c>
      <c r="E1720" s="9">
        <v>1721642.4785900116</v>
      </c>
      <c r="F1720" s="257" t="s">
        <v>14925</v>
      </c>
      <c r="G1720" s="9"/>
      <c r="H1720" s="257" t="s">
        <v>19886</v>
      </c>
      <c r="I1720" s="9">
        <v>1</v>
      </c>
    </row>
    <row r="1721" spans="1:9">
      <c r="A1721" s="257" t="s">
        <v>2819</v>
      </c>
      <c r="B1721" s="9">
        <v>9</v>
      </c>
      <c r="C1721" s="257" t="s">
        <v>10024</v>
      </c>
      <c r="D1721" s="9">
        <v>0.1558840196597002</v>
      </c>
      <c r="E1721" s="9">
        <v>1721642.4785900116</v>
      </c>
      <c r="F1721" s="257" t="s">
        <v>14926</v>
      </c>
      <c r="G1721" s="9"/>
      <c r="H1721" s="257" t="s">
        <v>19887</v>
      </c>
      <c r="I1721" s="9">
        <v>1</v>
      </c>
    </row>
    <row r="1722" spans="1:9">
      <c r="A1722" s="257" t="s">
        <v>2820</v>
      </c>
      <c r="B1722" s="9">
        <v>9</v>
      </c>
      <c r="C1722" s="257" t="s">
        <v>10024</v>
      </c>
      <c r="D1722" s="9">
        <v>0.17327195474943649</v>
      </c>
      <c r="E1722" s="9">
        <v>1721642.4785900116</v>
      </c>
      <c r="F1722" s="257" t="s">
        <v>14927</v>
      </c>
      <c r="G1722" s="9"/>
      <c r="H1722" s="257" t="s">
        <v>19888</v>
      </c>
      <c r="I1722" s="9">
        <v>1</v>
      </c>
    </row>
    <row r="1723" spans="1:9">
      <c r="A1723" s="257" t="s">
        <v>2821</v>
      </c>
      <c r="B1723" s="9">
        <v>9</v>
      </c>
      <c r="C1723" s="257" t="s">
        <v>10024</v>
      </c>
      <c r="D1723" s="9"/>
      <c r="E1723" s="9">
        <v>1721642.4785900116</v>
      </c>
      <c r="F1723" s="257" t="s">
        <v>14928</v>
      </c>
      <c r="G1723" s="9"/>
      <c r="H1723" s="257" t="s">
        <v>19889</v>
      </c>
      <c r="I1723" s="9">
        <v>1</v>
      </c>
    </row>
    <row r="1724" spans="1:9">
      <c r="A1724" s="257" t="s">
        <v>2822</v>
      </c>
      <c r="B1724" s="9">
        <v>9</v>
      </c>
      <c r="C1724" s="257" t="s">
        <v>10024</v>
      </c>
      <c r="D1724" s="9"/>
      <c r="E1724" s="9">
        <v>1721642.4785900116</v>
      </c>
      <c r="F1724" s="257" t="s">
        <v>14929</v>
      </c>
      <c r="G1724" s="9"/>
      <c r="H1724" s="257" t="s">
        <v>19890</v>
      </c>
      <c r="I1724" s="9">
        <v>1</v>
      </c>
    </row>
    <row r="1725" spans="1:9">
      <c r="A1725" s="257" t="s">
        <v>2823</v>
      </c>
      <c r="B1725" s="9">
        <v>9</v>
      </c>
      <c r="C1725" s="257" t="s">
        <v>10024</v>
      </c>
      <c r="D1725" s="9"/>
      <c r="E1725" s="9">
        <v>1721642.4785900116</v>
      </c>
      <c r="F1725" s="257" t="s">
        <v>14930</v>
      </c>
      <c r="G1725" s="9"/>
      <c r="H1725" s="257" t="s">
        <v>19891</v>
      </c>
      <c r="I1725" s="9">
        <v>1</v>
      </c>
    </row>
    <row r="1726" spans="1:9">
      <c r="A1726" s="257" t="s">
        <v>2824</v>
      </c>
      <c r="B1726" s="9">
        <v>9</v>
      </c>
      <c r="C1726" s="257" t="s">
        <v>10024</v>
      </c>
      <c r="D1726" s="9">
        <v>0.16145367632444912</v>
      </c>
      <c r="E1726" s="9">
        <v>1721642.4785900116</v>
      </c>
      <c r="F1726" s="257" t="s">
        <v>14931</v>
      </c>
      <c r="G1726" s="9"/>
      <c r="H1726" s="257" t="s">
        <v>19892</v>
      </c>
      <c r="I1726" s="9">
        <v>1</v>
      </c>
    </row>
    <row r="1727" spans="1:9">
      <c r="A1727" s="257" t="s">
        <v>2825</v>
      </c>
      <c r="B1727" s="9">
        <v>10</v>
      </c>
      <c r="C1727" s="257" t="s">
        <v>10024</v>
      </c>
      <c r="D1727" s="9">
        <v>0.36734988458575712</v>
      </c>
      <c r="E1727" s="9">
        <v>1732307.5169143677</v>
      </c>
      <c r="F1727" s="257" t="s">
        <v>14931</v>
      </c>
      <c r="G1727" s="9"/>
      <c r="H1727" s="257" t="s">
        <v>19893</v>
      </c>
      <c r="I1727" s="9">
        <v>1</v>
      </c>
    </row>
    <row r="1728" spans="1:9">
      <c r="A1728" s="257" t="s">
        <v>2826</v>
      </c>
      <c r="B1728" s="9">
        <v>10</v>
      </c>
      <c r="C1728" s="257" t="s">
        <v>10024</v>
      </c>
      <c r="D1728" s="9"/>
      <c r="E1728" s="9">
        <v>1732307.5169143677</v>
      </c>
      <c r="F1728" s="257" t="s">
        <v>14932</v>
      </c>
      <c r="G1728" s="9"/>
      <c r="H1728" s="257" t="s">
        <v>19894</v>
      </c>
      <c r="I1728" s="9">
        <v>1</v>
      </c>
    </row>
    <row r="1729" spans="1:9">
      <c r="A1729" s="257" t="s">
        <v>2827</v>
      </c>
      <c r="B1729" s="9">
        <v>10</v>
      </c>
      <c r="C1729" s="257" t="s">
        <v>10024</v>
      </c>
      <c r="D1729" s="9"/>
      <c r="E1729" s="9">
        <v>1732307.5169143677</v>
      </c>
      <c r="F1729" s="257" t="s">
        <v>14933</v>
      </c>
      <c r="G1729" s="9"/>
      <c r="H1729" s="257" t="s">
        <v>19895</v>
      </c>
      <c r="I1729" s="9">
        <v>1</v>
      </c>
    </row>
    <row r="1730" spans="1:9">
      <c r="A1730" s="257" t="s">
        <v>2828</v>
      </c>
      <c r="B1730" s="9">
        <v>10</v>
      </c>
      <c r="C1730" s="257" t="s">
        <v>10024</v>
      </c>
      <c r="D1730" s="9">
        <v>0.35466666249025958</v>
      </c>
      <c r="E1730" s="9">
        <v>1732307.5169143677</v>
      </c>
      <c r="F1730" s="257" t="s">
        <v>14934</v>
      </c>
      <c r="G1730" s="9"/>
      <c r="H1730" s="257" t="s">
        <v>19896</v>
      </c>
      <c r="I1730" s="9">
        <v>1</v>
      </c>
    </row>
    <row r="1731" spans="1:9">
      <c r="A1731" s="257" t="s">
        <v>2829</v>
      </c>
      <c r="B1731" s="9">
        <v>10</v>
      </c>
      <c r="C1731" s="257" t="s">
        <v>10024</v>
      </c>
      <c r="D1731" s="9">
        <v>0.37616916627182817</v>
      </c>
      <c r="E1731" s="9">
        <v>1732307.5169143677</v>
      </c>
      <c r="F1731" s="257" t="s">
        <v>14935</v>
      </c>
      <c r="G1731" s="9"/>
      <c r="H1731" s="257" t="s">
        <v>19897</v>
      </c>
      <c r="I1731" s="9">
        <v>1</v>
      </c>
    </row>
    <row r="1732" spans="1:9">
      <c r="A1732" s="257" t="s">
        <v>2830</v>
      </c>
      <c r="B1732" s="9">
        <v>10</v>
      </c>
      <c r="C1732" s="257" t="s">
        <v>10024</v>
      </c>
      <c r="D1732" s="9">
        <v>0.37616916627182817</v>
      </c>
      <c r="E1732" s="9">
        <v>1732307.5169143677</v>
      </c>
      <c r="F1732" s="257" t="s">
        <v>14936</v>
      </c>
      <c r="G1732" s="9"/>
      <c r="H1732" s="257" t="s">
        <v>19898</v>
      </c>
      <c r="I1732" s="9">
        <v>1</v>
      </c>
    </row>
    <row r="1733" spans="1:9">
      <c r="A1733" s="257" t="s">
        <v>2831</v>
      </c>
      <c r="B1733" s="9">
        <v>10</v>
      </c>
      <c r="C1733" s="257" t="s">
        <v>10024</v>
      </c>
      <c r="D1733" s="9"/>
      <c r="E1733" s="9">
        <v>1732307.5169143677</v>
      </c>
      <c r="F1733" s="257" t="s">
        <v>14937</v>
      </c>
      <c r="G1733" s="9"/>
      <c r="H1733" s="257" t="s">
        <v>19899</v>
      </c>
      <c r="I1733" s="9">
        <v>1</v>
      </c>
    </row>
    <row r="1734" spans="1:9">
      <c r="A1734" s="257" t="s">
        <v>2832</v>
      </c>
      <c r="B1734" s="9">
        <v>10</v>
      </c>
      <c r="C1734" s="257" t="s">
        <v>10024</v>
      </c>
      <c r="D1734" s="9"/>
      <c r="E1734" s="9">
        <v>1732307.5169143677</v>
      </c>
      <c r="F1734" s="257" t="s">
        <v>14938</v>
      </c>
      <c r="G1734" s="9"/>
      <c r="H1734" s="257" t="s">
        <v>19900</v>
      </c>
      <c r="I1734" s="9">
        <v>1</v>
      </c>
    </row>
    <row r="1735" spans="1:9">
      <c r="A1735" s="257" t="s">
        <v>2833</v>
      </c>
      <c r="B1735" s="9">
        <v>10</v>
      </c>
      <c r="C1735" s="257" t="s">
        <v>10024</v>
      </c>
      <c r="D1735" s="9"/>
      <c r="E1735" s="9">
        <v>1732307.5169143677</v>
      </c>
      <c r="F1735" s="257" t="s">
        <v>14939</v>
      </c>
      <c r="G1735" s="9"/>
      <c r="H1735" s="257" t="s">
        <v>19901</v>
      </c>
      <c r="I1735" s="9">
        <v>1</v>
      </c>
    </row>
    <row r="1736" spans="1:9">
      <c r="A1736" s="257" t="s">
        <v>2834</v>
      </c>
      <c r="B1736" s="9">
        <v>10</v>
      </c>
      <c r="C1736" s="257" t="s">
        <v>10024</v>
      </c>
      <c r="D1736" s="9">
        <v>0.4300944855725029</v>
      </c>
      <c r="E1736" s="9">
        <v>1732307.5169143677</v>
      </c>
      <c r="F1736" s="257" t="s">
        <v>14940</v>
      </c>
      <c r="G1736" s="9"/>
      <c r="H1736" s="257" t="s">
        <v>19902</v>
      </c>
      <c r="I1736" s="9">
        <v>1</v>
      </c>
    </row>
    <row r="1737" spans="1:9">
      <c r="A1737" s="257" t="s">
        <v>2835</v>
      </c>
      <c r="B1737" s="9">
        <v>10</v>
      </c>
      <c r="C1737" s="257" t="s">
        <v>10024</v>
      </c>
      <c r="D1737" s="9">
        <v>0.35932805513837518</v>
      </c>
      <c r="E1737" s="9">
        <v>1732307.5169143677</v>
      </c>
      <c r="F1737" s="257" t="s">
        <v>14941</v>
      </c>
      <c r="G1737" s="9"/>
      <c r="H1737" s="257" t="s">
        <v>19903</v>
      </c>
      <c r="I1737" s="9">
        <v>1</v>
      </c>
    </row>
    <row r="1738" spans="1:9">
      <c r="A1738" s="257" t="s">
        <v>2836</v>
      </c>
      <c r="B1738" s="9">
        <v>10</v>
      </c>
      <c r="C1738" s="257" t="s">
        <v>10024</v>
      </c>
      <c r="D1738" s="9">
        <v>0.35932805513837518</v>
      </c>
      <c r="E1738" s="9">
        <v>1732307.5169143677</v>
      </c>
      <c r="F1738" s="257" t="s">
        <v>14942</v>
      </c>
      <c r="G1738" s="9"/>
      <c r="H1738" s="257" t="s">
        <v>19904</v>
      </c>
      <c r="I1738" s="9">
        <v>1</v>
      </c>
    </row>
    <row r="1739" spans="1:9">
      <c r="A1739" s="257" t="s">
        <v>2837</v>
      </c>
      <c r="B1739" s="9">
        <v>10</v>
      </c>
      <c r="C1739" s="257" t="s">
        <v>10024</v>
      </c>
      <c r="D1739" s="9">
        <v>0.38663292450284814</v>
      </c>
      <c r="E1739" s="9">
        <v>1732307.5169143677</v>
      </c>
      <c r="F1739" s="257" t="s">
        <v>14943</v>
      </c>
      <c r="G1739" s="9"/>
      <c r="H1739" s="257" t="s">
        <v>19905</v>
      </c>
      <c r="I1739" s="9">
        <v>1</v>
      </c>
    </row>
    <row r="1740" spans="1:9">
      <c r="A1740" s="257" t="s">
        <v>2838</v>
      </c>
      <c r="B1740" s="9">
        <v>10</v>
      </c>
      <c r="C1740" s="257" t="s">
        <v>10024</v>
      </c>
      <c r="D1740" s="9">
        <v>0.36777320594716106</v>
      </c>
      <c r="E1740" s="9">
        <v>1732307.5169143677</v>
      </c>
      <c r="F1740" s="257" t="s">
        <v>14944</v>
      </c>
      <c r="G1740" s="9"/>
      <c r="H1740" s="257" t="s">
        <v>19906</v>
      </c>
      <c r="I1740" s="9">
        <v>1</v>
      </c>
    </row>
    <row r="1741" spans="1:9">
      <c r="A1741" s="257" t="s">
        <v>2839</v>
      </c>
      <c r="B1741" s="9">
        <v>10</v>
      </c>
      <c r="C1741" s="257" t="s">
        <v>10024</v>
      </c>
      <c r="D1741" s="9">
        <v>0.35466666249025958</v>
      </c>
      <c r="E1741" s="9">
        <v>1732307.5169143677</v>
      </c>
      <c r="F1741" s="257" t="s">
        <v>14945</v>
      </c>
      <c r="G1741" s="9"/>
      <c r="H1741" s="257" t="s">
        <v>19907</v>
      </c>
      <c r="I1741" s="9">
        <v>1</v>
      </c>
    </row>
    <row r="1742" spans="1:9">
      <c r="A1742" s="257" t="s">
        <v>2840</v>
      </c>
      <c r="B1742" s="9">
        <v>10</v>
      </c>
      <c r="C1742" s="257" t="s">
        <v>10024</v>
      </c>
      <c r="D1742" s="9">
        <v>0.46395141641597154</v>
      </c>
      <c r="E1742" s="9">
        <v>1732307.5169143677</v>
      </c>
      <c r="F1742" s="257" t="s">
        <v>14946</v>
      </c>
      <c r="G1742" s="9"/>
      <c r="H1742" s="257" t="s">
        <v>19908</v>
      </c>
      <c r="I1742" s="9">
        <v>1</v>
      </c>
    </row>
    <row r="1743" spans="1:9">
      <c r="A1743" s="257" t="s">
        <v>2841</v>
      </c>
      <c r="B1743" s="9">
        <v>10</v>
      </c>
      <c r="C1743" s="257" t="s">
        <v>10024</v>
      </c>
      <c r="D1743" s="9"/>
      <c r="E1743" s="9">
        <v>1732307.5169143677</v>
      </c>
      <c r="F1743" s="257" t="s">
        <v>14947</v>
      </c>
      <c r="G1743" s="9"/>
      <c r="H1743" s="257" t="s">
        <v>19909</v>
      </c>
      <c r="I1743" s="9">
        <v>1</v>
      </c>
    </row>
    <row r="1744" spans="1:9">
      <c r="A1744" s="257" t="s">
        <v>2842</v>
      </c>
      <c r="B1744" s="9">
        <v>10</v>
      </c>
      <c r="C1744" s="257" t="s">
        <v>10024</v>
      </c>
      <c r="D1744" s="9">
        <v>0.35932805513837518</v>
      </c>
      <c r="E1744" s="9">
        <v>1732307.5169143677</v>
      </c>
      <c r="F1744" s="257" t="s">
        <v>14948</v>
      </c>
      <c r="G1744" s="9"/>
      <c r="H1744" s="257" t="s">
        <v>19910</v>
      </c>
      <c r="I1744" s="9">
        <v>1</v>
      </c>
    </row>
    <row r="1745" spans="1:9">
      <c r="A1745" s="257" t="s">
        <v>2843</v>
      </c>
      <c r="B1745" s="9">
        <v>10</v>
      </c>
      <c r="C1745" s="257" t="s">
        <v>10024</v>
      </c>
      <c r="D1745" s="9">
        <v>0.30605527858410764</v>
      </c>
      <c r="E1745" s="9">
        <v>1732307.5169143677</v>
      </c>
      <c r="F1745" s="257" t="s">
        <v>14949</v>
      </c>
      <c r="G1745" s="9"/>
      <c r="H1745" s="257" t="s">
        <v>19911</v>
      </c>
      <c r="I1745" s="9">
        <v>1</v>
      </c>
    </row>
    <row r="1746" spans="1:9">
      <c r="A1746" s="257" t="s">
        <v>2844</v>
      </c>
      <c r="B1746" s="9">
        <v>10</v>
      </c>
      <c r="C1746" s="257" t="s">
        <v>10024</v>
      </c>
      <c r="D1746" s="9">
        <v>0.3073545428612483</v>
      </c>
      <c r="E1746" s="9">
        <v>1732307.5169143677</v>
      </c>
      <c r="F1746" s="257" t="s">
        <v>14950</v>
      </c>
      <c r="G1746" s="9"/>
      <c r="H1746" s="257" t="s">
        <v>19912</v>
      </c>
      <c r="I1746" s="9">
        <v>1</v>
      </c>
    </row>
    <row r="1747" spans="1:9">
      <c r="A1747" s="257" t="s">
        <v>2845</v>
      </c>
      <c r="B1747" s="9">
        <v>10</v>
      </c>
      <c r="C1747" s="257" t="s">
        <v>10024</v>
      </c>
      <c r="D1747" s="9"/>
      <c r="E1747" s="9">
        <v>1732307.5169143677</v>
      </c>
      <c r="F1747" s="257" t="s">
        <v>14951</v>
      </c>
      <c r="G1747" s="9"/>
      <c r="H1747" s="257" t="s">
        <v>19913</v>
      </c>
      <c r="I1747" s="9">
        <v>1</v>
      </c>
    </row>
    <row r="1748" spans="1:9">
      <c r="A1748" s="257" t="s">
        <v>2846</v>
      </c>
      <c r="B1748" s="9">
        <v>10</v>
      </c>
      <c r="C1748" s="257" t="s">
        <v>10024</v>
      </c>
      <c r="D1748" s="9"/>
      <c r="E1748" s="9">
        <v>1732307.5169143677</v>
      </c>
      <c r="F1748" s="257" t="s">
        <v>14952</v>
      </c>
      <c r="G1748" s="9"/>
      <c r="H1748" s="257" t="s">
        <v>19914</v>
      </c>
      <c r="I1748" s="9">
        <v>1</v>
      </c>
    </row>
    <row r="1749" spans="1:9">
      <c r="A1749" s="257" t="s">
        <v>2847</v>
      </c>
      <c r="B1749" s="9">
        <v>10</v>
      </c>
      <c r="C1749" s="257" t="s">
        <v>10024</v>
      </c>
      <c r="D1749" s="9">
        <v>0.43379912081866218</v>
      </c>
      <c r="E1749" s="9">
        <v>1732307.5169143677</v>
      </c>
      <c r="F1749" s="257" t="s">
        <v>14953</v>
      </c>
      <c r="G1749" s="9"/>
      <c r="H1749" s="257" t="s">
        <v>19915</v>
      </c>
      <c r="I1749" s="9">
        <v>1</v>
      </c>
    </row>
    <row r="1750" spans="1:9">
      <c r="A1750" s="257" t="s">
        <v>2848</v>
      </c>
      <c r="B1750" s="9">
        <v>10</v>
      </c>
      <c r="C1750" s="257" t="s">
        <v>10024</v>
      </c>
      <c r="D1750" s="9">
        <v>0.6557287825231386</v>
      </c>
      <c r="E1750" s="9">
        <v>1732307.5169143677</v>
      </c>
      <c r="F1750" s="257" t="s">
        <v>14954</v>
      </c>
      <c r="G1750" s="9"/>
      <c r="H1750" s="257" t="s">
        <v>19916</v>
      </c>
      <c r="I1750" s="9">
        <v>1</v>
      </c>
    </row>
    <row r="1751" spans="1:9">
      <c r="A1751" s="257" t="s">
        <v>2849</v>
      </c>
      <c r="B1751" s="9">
        <v>10</v>
      </c>
      <c r="C1751" s="257" t="s">
        <v>10024</v>
      </c>
      <c r="D1751" s="9">
        <v>0.37767694977811173</v>
      </c>
      <c r="E1751" s="9">
        <v>1732307.5169143677</v>
      </c>
      <c r="F1751" s="257" t="s">
        <v>14955</v>
      </c>
      <c r="G1751" s="9"/>
      <c r="H1751" s="257" t="s">
        <v>19917</v>
      </c>
      <c r="I1751" s="9">
        <v>1</v>
      </c>
    </row>
    <row r="1752" spans="1:9">
      <c r="A1752" s="257" t="s">
        <v>2850</v>
      </c>
      <c r="B1752" s="9">
        <v>0</v>
      </c>
      <c r="C1752" s="257" t="s">
        <v>10025</v>
      </c>
      <c r="D1752" s="9">
        <v>9358875.1424636841</v>
      </c>
      <c r="E1752" s="9">
        <v>17258998.467498779</v>
      </c>
      <c r="F1752" s="257" t="s">
        <v>14956</v>
      </c>
      <c r="G1752" s="9">
        <v>1</v>
      </c>
      <c r="H1752" s="257" t="s">
        <v>19918</v>
      </c>
      <c r="I1752" s="9">
        <v>1</v>
      </c>
    </row>
    <row r="1753" spans="1:9">
      <c r="A1753" s="257" t="s">
        <v>2851</v>
      </c>
      <c r="B1753" s="9">
        <v>0</v>
      </c>
      <c r="C1753" s="257" t="s">
        <v>10026</v>
      </c>
      <c r="D1753" s="9">
        <v>70855575161.216599</v>
      </c>
      <c r="E1753" s="9">
        <v>17258998.467498779</v>
      </c>
      <c r="F1753" s="257" t="s">
        <v>14956</v>
      </c>
      <c r="G1753" s="9">
        <v>1</v>
      </c>
      <c r="H1753" s="257" t="s">
        <v>19919</v>
      </c>
      <c r="I1753" s="9">
        <v>1</v>
      </c>
    </row>
    <row r="1754" spans="1:9">
      <c r="A1754" s="257" t="s">
        <v>2852</v>
      </c>
      <c r="B1754" s="9">
        <v>0</v>
      </c>
      <c r="C1754" s="257" t="s">
        <v>10027</v>
      </c>
      <c r="D1754" s="9">
        <v>0.54226061611210041</v>
      </c>
      <c r="E1754" s="9">
        <v>17258998.467498779</v>
      </c>
      <c r="F1754" s="257" t="s">
        <v>14956</v>
      </c>
      <c r="G1754" s="9">
        <v>1</v>
      </c>
      <c r="H1754" s="257" t="s">
        <v>19920</v>
      </c>
      <c r="I1754" s="9">
        <v>1</v>
      </c>
    </row>
    <row r="1755" spans="1:9">
      <c r="A1755" s="257" t="s">
        <v>2853</v>
      </c>
      <c r="B1755" s="9">
        <v>0</v>
      </c>
      <c r="C1755" s="257" t="s">
        <v>10028</v>
      </c>
      <c r="D1755" s="9">
        <v>4105.4279768694587</v>
      </c>
      <c r="E1755" s="9">
        <v>17258998.467498779</v>
      </c>
      <c r="F1755" s="257" t="s">
        <v>14956</v>
      </c>
      <c r="G1755" s="9">
        <v>1</v>
      </c>
      <c r="H1755" s="257" t="s">
        <v>19921</v>
      </c>
      <c r="I1755" s="9">
        <v>1</v>
      </c>
    </row>
    <row r="1756" spans="1:9">
      <c r="A1756" s="257" t="s">
        <v>2854</v>
      </c>
      <c r="B1756" s="9">
        <v>0</v>
      </c>
      <c r="C1756" s="257" t="s">
        <v>10029</v>
      </c>
      <c r="D1756" s="9">
        <v>0</v>
      </c>
      <c r="E1756" s="9">
        <v>17258998.467498779</v>
      </c>
      <c r="F1756" s="257" t="s">
        <v>14957</v>
      </c>
      <c r="G1756" s="9">
        <v>1</v>
      </c>
      <c r="H1756" s="257" t="s">
        <v>19922</v>
      </c>
      <c r="I1756" s="9">
        <v>1</v>
      </c>
    </row>
    <row r="1757" spans="1:9">
      <c r="A1757" s="257" t="s">
        <v>2855</v>
      </c>
      <c r="B1757" s="9">
        <v>0</v>
      </c>
      <c r="C1757" s="257" t="s">
        <v>10030</v>
      </c>
      <c r="D1757" s="9">
        <v>0</v>
      </c>
      <c r="E1757" s="9">
        <v>17258998.467498779</v>
      </c>
      <c r="F1757" s="257" t="s">
        <v>14957</v>
      </c>
      <c r="G1757" s="9">
        <v>1</v>
      </c>
      <c r="H1757" s="257" t="s">
        <v>19923</v>
      </c>
      <c r="I1757" s="9">
        <v>1</v>
      </c>
    </row>
    <row r="1758" spans="1:9">
      <c r="A1758" s="257" t="s">
        <v>2856</v>
      </c>
      <c r="B1758" s="9">
        <v>0</v>
      </c>
      <c r="C1758" s="257" t="s">
        <v>10031</v>
      </c>
      <c r="D1758" s="9">
        <v>0</v>
      </c>
      <c r="E1758" s="9">
        <v>17258998.467498779</v>
      </c>
      <c r="F1758" s="257" t="s">
        <v>14957</v>
      </c>
      <c r="G1758" s="9">
        <v>1</v>
      </c>
      <c r="H1758" s="257" t="s">
        <v>19924</v>
      </c>
      <c r="I1758" s="9">
        <v>1</v>
      </c>
    </row>
    <row r="1759" spans="1:9">
      <c r="A1759" s="257" t="s">
        <v>2857</v>
      </c>
      <c r="B1759" s="9">
        <v>0</v>
      </c>
      <c r="C1759" s="257" t="s">
        <v>10032</v>
      </c>
      <c r="D1759" s="9">
        <v>0</v>
      </c>
      <c r="E1759" s="9">
        <v>17258998.467498779</v>
      </c>
      <c r="F1759" s="257" t="s">
        <v>14957</v>
      </c>
      <c r="G1759" s="9">
        <v>1</v>
      </c>
      <c r="H1759" s="257" t="s">
        <v>19925</v>
      </c>
      <c r="I1759" s="9">
        <v>1</v>
      </c>
    </row>
    <row r="1760" spans="1:9">
      <c r="A1760" s="257" t="s">
        <v>2858</v>
      </c>
      <c r="B1760" s="9">
        <v>0</v>
      </c>
      <c r="C1760" s="257" t="s">
        <v>10033</v>
      </c>
      <c r="D1760" s="9">
        <v>0</v>
      </c>
      <c r="E1760" s="9">
        <v>17258998.467498779</v>
      </c>
      <c r="F1760" s="257" t="s">
        <v>14958</v>
      </c>
      <c r="G1760" s="9">
        <v>1</v>
      </c>
      <c r="H1760" s="257" t="s">
        <v>19926</v>
      </c>
      <c r="I1760" s="9">
        <v>1</v>
      </c>
    </row>
    <row r="1761" spans="1:9">
      <c r="A1761" s="257" t="s">
        <v>2859</v>
      </c>
      <c r="B1761" s="9">
        <v>0</v>
      </c>
      <c r="C1761" s="257" t="s">
        <v>10034</v>
      </c>
      <c r="D1761" s="9">
        <v>0</v>
      </c>
      <c r="E1761" s="9">
        <v>17258998.467498779</v>
      </c>
      <c r="F1761" s="257" t="s">
        <v>14958</v>
      </c>
      <c r="G1761" s="9">
        <v>1</v>
      </c>
      <c r="H1761" s="257" t="s">
        <v>19927</v>
      </c>
      <c r="I1761" s="9">
        <v>1</v>
      </c>
    </row>
    <row r="1762" spans="1:9">
      <c r="A1762" s="257" t="s">
        <v>2860</v>
      </c>
      <c r="B1762" s="9">
        <v>0</v>
      </c>
      <c r="C1762" s="257" t="s">
        <v>10035</v>
      </c>
      <c r="D1762" s="9">
        <v>0</v>
      </c>
      <c r="E1762" s="9">
        <v>17258998.467498779</v>
      </c>
      <c r="F1762" s="257" t="s">
        <v>14958</v>
      </c>
      <c r="G1762" s="9">
        <v>1</v>
      </c>
      <c r="H1762" s="257" t="s">
        <v>19928</v>
      </c>
      <c r="I1762" s="9">
        <v>1</v>
      </c>
    </row>
    <row r="1763" spans="1:9">
      <c r="A1763" s="257" t="s">
        <v>2861</v>
      </c>
      <c r="B1763" s="9">
        <v>0</v>
      </c>
      <c r="C1763" s="257" t="s">
        <v>10036</v>
      </c>
      <c r="D1763" s="9">
        <v>0</v>
      </c>
      <c r="E1763" s="9">
        <v>17258998.467498779</v>
      </c>
      <c r="F1763" s="257" t="s">
        <v>14958</v>
      </c>
      <c r="G1763" s="9">
        <v>1</v>
      </c>
      <c r="H1763" s="257" t="s">
        <v>19929</v>
      </c>
      <c r="I1763" s="9">
        <v>1</v>
      </c>
    </row>
    <row r="1764" spans="1:9">
      <c r="A1764" s="257" t="s">
        <v>2862</v>
      </c>
      <c r="B1764" s="9">
        <v>0</v>
      </c>
      <c r="C1764" s="257" t="s">
        <v>10037</v>
      </c>
      <c r="D1764" s="9">
        <v>0</v>
      </c>
      <c r="E1764" s="9">
        <v>17258998.467498779</v>
      </c>
      <c r="F1764" s="257" t="s">
        <v>14959</v>
      </c>
      <c r="G1764" s="9">
        <v>1</v>
      </c>
      <c r="H1764" s="257" t="s">
        <v>19930</v>
      </c>
      <c r="I1764" s="9">
        <v>1</v>
      </c>
    </row>
    <row r="1765" spans="1:9">
      <c r="A1765" s="257" t="s">
        <v>2863</v>
      </c>
      <c r="B1765" s="9">
        <v>0</v>
      </c>
      <c r="C1765" s="257" t="s">
        <v>10038</v>
      </c>
      <c r="D1765" s="9">
        <v>0</v>
      </c>
      <c r="E1765" s="9">
        <v>17258998.467498779</v>
      </c>
      <c r="F1765" s="257" t="s">
        <v>14959</v>
      </c>
      <c r="G1765" s="9">
        <v>1</v>
      </c>
      <c r="H1765" s="257" t="s">
        <v>19931</v>
      </c>
      <c r="I1765" s="9">
        <v>1</v>
      </c>
    </row>
    <row r="1766" spans="1:9">
      <c r="A1766" s="257" t="s">
        <v>2864</v>
      </c>
      <c r="B1766" s="9">
        <v>0</v>
      </c>
      <c r="C1766" s="257" t="s">
        <v>10039</v>
      </c>
      <c r="D1766" s="9">
        <v>0</v>
      </c>
      <c r="E1766" s="9">
        <v>17258998.467498779</v>
      </c>
      <c r="F1766" s="257" t="s">
        <v>14959</v>
      </c>
      <c r="G1766" s="9">
        <v>1</v>
      </c>
      <c r="H1766" s="257" t="s">
        <v>19932</v>
      </c>
      <c r="I1766" s="9">
        <v>1</v>
      </c>
    </row>
    <row r="1767" spans="1:9">
      <c r="A1767" s="257" t="s">
        <v>2865</v>
      </c>
      <c r="B1767" s="9">
        <v>0</v>
      </c>
      <c r="C1767" s="257" t="s">
        <v>10040</v>
      </c>
      <c r="D1767" s="9">
        <v>0</v>
      </c>
      <c r="E1767" s="9">
        <v>17258998.467498779</v>
      </c>
      <c r="F1767" s="257" t="s">
        <v>14959</v>
      </c>
      <c r="G1767" s="9">
        <v>1</v>
      </c>
      <c r="H1767" s="257" t="s">
        <v>19933</v>
      </c>
      <c r="I1767" s="9">
        <v>1</v>
      </c>
    </row>
    <row r="1768" spans="1:9">
      <c r="A1768" s="257" t="s">
        <v>2866</v>
      </c>
      <c r="B1768" s="9">
        <v>0</v>
      </c>
      <c r="C1768" s="257" t="s">
        <v>10041</v>
      </c>
      <c r="D1768" s="9">
        <v>0</v>
      </c>
      <c r="E1768" s="9">
        <v>17258998.467498779</v>
      </c>
      <c r="F1768" s="257" t="s">
        <v>14960</v>
      </c>
      <c r="G1768" s="9">
        <v>1</v>
      </c>
      <c r="H1768" s="257" t="s">
        <v>19934</v>
      </c>
      <c r="I1768" s="9">
        <v>1</v>
      </c>
    </row>
    <row r="1769" spans="1:9">
      <c r="A1769" s="257" t="s">
        <v>2867</v>
      </c>
      <c r="B1769" s="9">
        <v>0</v>
      </c>
      <c r="C1769" s="257" t="s">
        <v>10042</v>
      </c>
      <c r="D1769" s="9">
        <v>0</v>
      </c>
      <c r="E1769" s="9">
        <v>17258998.467498779</v>
      </c>
      <c r="F1769" s="257" t="s">
        <v>14960</v>
      </c>
      <c r="G1769" s="9">
        <v>1</v>
      </c>
      <c r="H1769" s="257" t="s">
        <v>19935</v>
      </c>
      <c r="I1769" s="9">
        <v>1</v>
      </c>
    </row>
    <row r="1770" spans="1:9">
      <c r="A1770" s="257" t="s">
        <v>2868</v>
      </c>
      <c r="B1770" s="9">
        <v>0</v>
      </c>
      <c r="C1770" s="257" t="s">
        <v>10043</v>
      </c>
      <c r="D1770" s="9">
        <v>0</v>
      </c>
      <c r="E1770" s="9">
        <v>17258998.467498779</v>
      </c>
      <c r="F1770" s="257" t="s">
        <v>14960</v>
      </c>
      <c r="G1770" s="9">
        <v>1</v>
      </c>
      <c r="H1770" s="257" t="s">
        <v>19936</v>
      </c>
      <c r="I1770" s="9">
        <v>1</v>
      </c>
    </row>
    <row r="1771" spans="1:9">
      <c r="A1771" s="257" t="s">
        <v>2869</v>
      </c>
      <c r="B1771" s="9">
        <v>0</v>
      </c>
      <c r="C1771" s="257" t="s">
        <v>10044</v>
      </c>
      <c r="D1771" s="9">
        <v>0</v>
      </c>
      <c r="E1771" s="9">
        <v>17258998.467498779</v>
      </c>
      <c r="F1771" s="257" t="s">
        <v>14960</v>
      </c>
      <c r="G1771" s="9">
        <v>1</v>
      </c>
      <c r="H1771" s="257" t="s">
        <v>19937</v>
      </c>
      <c r="I1771" s="9">
        <v>1</v>
      </c>
    </row>
    <row r="1772" spans="1:9">
      <c r="A1772" s="257" t="s">
        <v>2870</v>
      </c>
      <c r="B1772" s="9">
        <v>0</v>
      </c>
      <c r="C1772" s="257" t="s">
        <v>10045</v>
      </c>
      <c r="D1772" s="9">
        <v>0</v>
      </c>
      <c r="E1772" s="9">
        <v>17258998.467498779</v>
      </c>
      <c r="F1772" s="257" t="s">
        <v>14961</v>
      </c>
      <c r="G1772" s="9">
        <v>1</v>
      </c>
      <c r="H1772" s="257" t="s">
        <v>19938</v>
      </c>
      <c r="I1772" s="9">
        <v>1</v>
      </c>
    </row>
    <row r="1773" spans="1:9">
      <c r="A1773" s="257" t="s">
        <v>2871</v>
      </c>
      <c r="B1773" s="9">
        <v>0</v>
      </c>
      <c r="C1773" s="257" t="s">
        <v>10046</v>
      </c>
      <c r="D1773" s="9">
        <v>0</v>
      </c>
      <c r="E1773" s="9">
        <v>17258998.467498779</v>
      </c>
      <c r="F1773" s="257" t="s">
        <v>14961</v>
      </c>
      <c r="G1773" s="9">
        <v>1</v>
      </c>
      <c r="H1773" s="257" t="s">
        <v>19939</v>
      </c>
      <c r="I1773" s="9">
        <v>1</v>
      </c>
    </row>
    <row r="1774" spans="1:9">
      <c r="A1774" s="257" t="s">
        <v>2872</v>
      </c>
      <c r="B1774" s="9">
        <v>0</v>
      </c>
      <c r="C1774" s="257" t="s">
        <v>10047</v>
      </c>
      <c r="D1774" s="9">
        <v>0</v>
      </c>
      <c r="E1774" s="9">
        <v>17258998.467498779</v>
      </c>
      <c r="F1774" s="257" t="s">
        <v>14961</v>
      </c>
      <c r="G1774" s="9">
        <v>1</v>
      </c>
      <c r="H1774" s="257" t="s">
        <v>19940</v>
      </c>
      <c r="I1774" s="9">
        <v>1</v>
      </c>
    </row>
    <row r="1775" spans="1:9">
      <c r="A1775" s="257" t="s">
        <v>2873</v>
      </c>
      <c r="B1775" s="9">
        <v>0</v>
      </c>
      <c r="C1775" s="257" t="s">
        <v>10048</v>
      </c>
      <c r="D1775" s="9">
        <v>0</v>
      </c>
      <c r="E1775" s="9">
        <v>17258998.467498779</v>
      </c>
      <c r="F1775" s="257" t="s">
        <v>14961</v>
      </c>
      <c r="G1775" s="9">
        <v>1</v>
      </c>
      <c r="H1775" s="257" t="s">
        <v>19941</v>
      </c>
      <c r="I1775" s="9">
        <v>1</v>
      </c>
    </row>
    <row r="1776" spans="1:9">
      <c r="A1776" s="257" t="s">
        <v>2874</v>
      </c>
      <c r="B1776" s="9">
        <v>0</v>
      </c>
      <c r="C1776" s="257" t="s">
        <v>10049</v>
      </c>
      <c r="D1776" s="9">
        <v>0</v>
      </c>
      <c r="E1776" s="9">
        <v>17258998.467498779</v>
      </c>
      <c r="F1776" s="257" t="s">
        <v>14962</v>
      </c>
      <c r="G1776" s="9">
        <v>1</v>
      </c>
      <c r="H1776" s="257" t="s">
        <v>19942</v>
      </c>
      <c r="I1776" s="9">
        <v>1</v>
      </c>
    </row>
    <row r="1777" spans="1:9">
      <c r="A1777" s="257" t="s">
        <v>2875</v>
      </c>
      <c r="B1777" s="9">
        <v>0</v>
      </c>
      <c r="C1777" s="257" t="s">
        <v>10050</v>
      </c>
      <c r="D1777" s="9">
        <v>0</v>
      </c>
      <c r="E1777" s="9">
        <v>17258998.467498779</v>
      </c>
      <c r="F1777" s="257" t="s">
        <v>14962</v>
      </c>
      <c r="G1777" s="9">
        <v>1</v>
      </c>
      <c r="H1777" s="257" t="s">
        <v>19943</v>
      </c>
      <c r="I1777" s="9">
        <v>1</v>
      </c>
    </row>
    <row r="1778" spans="1:9">
      <c r="A1778" s="257" t="s">
        <v>2876</v>
      </c>
      <c r="B1778" s="9">
        <v>0</v>
      </c>
      <c r="C1778" s="257" t="s">
        <v>10051</v>
      </c>
      <c r="D1778" s="9">
        <v>0</v>
      </c>
      <c r="E1778" s="9">
        <v>17258998.467498779</v>
      </c>
      <c r="F1778" s="257" t="s">
        <v>14962</v>
      </c>
      <c r="G1778" s="9">
        <v>1</v>
      </c>
      <c r="H1778" s="257" t="s">
        <v>19944</v>
      </c>
      <c r="I1778" s="9">
        <v>1</v>
      </c>
    </row>
    <row r="1779" spans="1:9">
      <c r="A1779" s="257" t="s">
        <v>2877</v>
      </c>
      <c r="B1779" s="9">
        <v>0</v>
      </c>
      <c r="C1779" s="257" t="s">
        <v>10052</v>
      </c>
      <c r="D1779" s="9">
        <v>0</v>
      </c>
      <c r="E1779" s="9">
        <v>17258998.467498779</v>
      </c>
      <c r="F1779" s="257" t="s">
        <v>14962</v>
      </c>
      <c r="G1779" s="9">
        <v>1</v>
      </c>
      <c r="H1779" s="257" t="s">
        <v>19945</v>
      </c>
      <c r="I1779" s="9">
        <v>1</v>
      </c>
    </row>
    <row r="1780" spans="1:9">
      <c r="A1780" s="257" t="s">
        <v>2878</v>
      </c>
      <c r="B1780" s="9">
        <v>0</v>
      </c>
      <c r="C1780" s="257" t="s">
        <v>10053</v>
      </c>
      <c r="D1780" s="9">
        <v>0</v>
      </c>
      <c r="E1780" s="9">
        <v>17258998.467498779</v>
      </c>
      <c r="F1780" s="257" t="s">
        <v>14963</v>
      </c>
      <c r="G1780" s="9">
        <v>1</v>
      </c>
      <c r="H1780" s="257" t="s">
        <v>19946</v>
      </c>
      <c r="I1780" s="9">
        <v>1</v>
      </c>
    </row>
    <row r="1781" spans="1:9">
      <c r="A1781" s="257" t="s">
        <v>2879</v>
      </c>
      <c r="B1781" s="9">
        <v>0</v>
      </c>
      <c r="C1781" s="257" t="s">
        <v>10054</v>
      </c>
      <c r="D1781" s="9">
        <v>0</v>
      </c>
      <c r="E1781" s="9">
        <v>17258998.467498779</v>
      </c>
      <c r="F1781" s="257" t="s">
        <v>14963</v>
      </c>
      <c r="G1781" s="9">
        <v>1</v>
      </c>
      <c r="H1781" s="257" t="s">
        <v>19947</v>
      </c>
      <c r="I1781" s="9">
        <v>1</v>
      </c>
    </row>
    <row r="1782" spans="1:9">
      <c r="A1782" s="257" t="s">
        <v>2880</v>
      </c>
      <c r="B1782" s="9">
        <v>0</v>
      </c>
      <c r="C1782" s="257" t="s">
        <v>10055</v>
      </c>
      <c r="D1782" s="9">
        <v>0</v>
      </c>
      <c r="E1782" s="9">
        <v>17258998.467498779</v>
      </c>
      <c r="F1782" s="257" t="s">
        <v>14963</v>
      </c>
      <c r="G1782" s="9">
        <v>1</v>
      </c>
      <c r="H1782" s="257" t="s">
        <v>19948</v>
      </c>
      <c r="I1782" s="9">
        <v>1</v>
      </c>
    </row>
    <row r="1783" spans="1:9">
      <c r="A1783" s="257" t="s">
        <v>2881</v>
      </c>
      <c r="B1783" s="9">
        <v>0</v>
      </c>
      <c r="C1783" s="257" t="s">
        <v>10056</v>
      </c>
      <c r="D1783" s="9">
        <v>0</v>
      </c>
      <c r="E1783" s="9">
        <v>17258998.467498779</v>
      </c>
      <c r="F1783" s="257" t="s">
        <v>14963</v>
      </c>
      <c r="G1783" s="9">
        <v>1</v>
      </c>
      <c r="H1783" s="257" t="s">
        <v>19949</v>
      </c>
      <c r="I1783" s="9">
        <v>1</v>
      </c>
    </row>
    <row r="1784" spans="1:9">
      <c r="A1784" s="257" t="s">
        <v>2882</v>
      </c>
      <c r="B1784" s="9">
        <v>0</v>
      </c>
      <c r="C1784" s="257" t="s">
        <v>10057</v>
      </c>
      <c r="D1784" s="9">
        <v>17258998.467498779</v>
      </c>
      <c r="E1784" s="9">
        <v>17258998.467498779</v>
      </c>
      <c r="F1784" s="257" t="s">
        <v>14964</v>
      </c>
      <c r="G1784" s="9">
        <v>1</v>
      </c>
      <c r="H1784" s="257" t="s">
        <v>19950</v>
      </c>
      <c r="I1784" s="9">
        <v>1</v>
      </c>
    </row>
    <row r="1785" spans="1:9">
      <c r="A1785" s="257" t="s">
        <v>2883</v>
      </c>
      <c r="B1785" s="9">
        <v>0</v>
      </c>
      <c r="C1785" s="257" t="s">
        <v>10058</v>
      </c>
      <c r="D1785" s="9">
        <v>211710450925.3176</v>
      </c>
      <c r="E1785" s="9">
        <v>17258998.467498779</v>
      </c>
      <c r="F1785" s="257" t="s">
        <v>14964</v>
      </c>
      <c r="G1785" s="9">
        <v>1</v>
      </c>
      <c r="H1785" s="257" t="s">
        <v>19951</v>
      </c>
      <c r="I1785" s="9">
        <v>1</v>
      </c>
    </row>
    <row r="1786" spans="1:9">
      <c r="A1786" s="257" t="s">
        <v>2884</v>
      </c>
      <c r="B1786" s="9">
        <v>0</v>
      </c>
      <c r="C1786" s="257" t="s">
        <v>10059</v>
      </c>
      <c r="D1786" s="9">
        <v>1</v>
      </c>
      <c r="E1786" s="9">
        <v>17258998.467498779</v>
      </c>
      <c r="F1786" s="257" t="s">
        <v>14964</v>
      </c>
      <c r="G1786" s="9">
        <v>1</v>
      </c>
      <c r="H1786" s="257" t="s">
        <v>19952</v>
      </c>
      <c r="I1786" s="9">
        <v>1</v>
      </c>
    </row>
    <row r="1787" spans="1:9">
      <c r="A1787" s="257" t="s">
        <v>2885</v>
      </c>
      <c r="B1787" s="9">
        <v>0</v>
      </c>
      <c r="C1787" s="257" t="s">
        <v>10060</v>
      </c>
      <c r="D1787" s="9">
        <v>12266.670706530242</v>
      </c>
      <c r="E1787" s="9">
        <v>17258998.467498779</v>
      </c>
      <c r="F1787" s="257" t="s">
        <v>14964</v>
      </c>
      <c r="G1787" s="9">
        <v>1</v>
      </c>
      <c r="H1787" s="257" t="s">
        <v>19953</v>
      </c>
      <c r="I1787" s="9">
        <v>1</v>
      </c>
    </row>
    <row r="1788" spans="1:9">
      <c r="A1788" s="257" t="s">
        <v>2886</v>
      </c>
      <c r="B1788" s="9">
        <v>0</v>
      </c>
      <c r="C1788" s="257" t="s">
        <v>10061</v>
      </c>
      <c r="D1788" s="9">
        <v>17258998.467498779</v>
      </c>
      <c r="E1788" s="9">
        <v>17258998.467498779</v>
      </c>
      <c r="F1788" s="257" t="s">
        <v>14965</v>
      </c>
      <c r="G1788" s="9">
        <v>1</v>
      </c>
      <c r="H1788" s="257" t="s">
        <v>19954</v>
      </c>
      <c r="I1788" s="9">
        <v>1</v>
      </c>
    </row>
    <row r="1789" spans="1:9">
      <c r="A1789" s="257" t="s">
        <v>2887</v>
      </c>
      <c r="B1789" s="9">
        <v>0</v>
      </c>
      <c r="C1789" s="257" t="s">
        <v>10062</v>
      </c>
      <c r="D1789" s="9">
        <v>211710450925.3176</v>
      </c>
      <c r="E1789" s="9">
        <v>17258998.467498779</v>
      </c>
      <c r="F1789" s="257" t="s">
        <v>14965</v>
      </c>
      <c r="G1789" s="9">
        <v>1</v>
      </c>
      <c r="H1789" s="257" t="s">
        <v>19955</v>
      </c>
      <c r="I1789" s="9">
        <v>1</v>
      </c>
    </row>
    <row r="1790" spans="1:9">
      <c r="A1790" s="257" t="s">
        <v>2888</v>
      </c>
      <c r="B1790" s="9">
        <v>0</v>
      </c>
      <c r="C1790" s="257" t="s">
        <v>10063</v>
      </c>
      <c r="D1790" s="9">
        <v>1</v>
      </c>
      <c r="E1790" s="9">
        <v>17258998.467498779</v>
      </c>
      <c r="F1790" s="257" t="s">
        <v>14965</v>
      </c>
      <c r="G1790" s="9">
        <v>1</v>
      </c>
      <c r="H1790" s="257" t="s">
        <v>19956</v>
      </c>
      <c r="I1790" s="9">
        <v>1</v>
      </c>
    </row>
    <row r="1791" spans="1:9">
      <c r="A1791" s="257" t="s">
        <v>2889</v>
      </c>
      <c r="B1791" s="9">
        <v>0</v>
      </c>
      <c r="C1791" s="257" t="s">
        <v>10064</v>
      </c>
      <c r="D1791" s="9">
        <v>12266.670706530242</v>
      </c>
      <c r="E1791" s="9">
        <v>17258998.467498779</v>
      </c>
      <c r="F1791" s="257" t="s">
        <v>14965</v>
      </c>
      <c r="G1791" s="9">
        <v>1</v>
      </c>
      <c r="H1791" s="257" t="s">
        <v>19957</v>
      </c>
      <c r="I1791" s="9">
        <v>1</v>
      </c>
    </row>
    <row r="1792" spans="1:9">
      <c r="A1792" s="257" t="s">
        <v>2890</v>
      </c>
      <c r="B1792" s="9">
        <v>0</v>
      </c>
      <c r="C1792" s="257" t="s">
        <v>10065</v>
      </c>
      <c r="D1792" s="9">
        <v>17258998.467498779</v>
      </c>
      <c r="E1792" s="9">
        <v>17258998.467498779</v>
      </c>
      <c r="F1792" s="257" t="s">
        <v>14966</v>
      </c>
      <c r="G1792" s="9">
        <v>1</v>
      </c>
      <c r="H1792" s="257" t="s">
        <v>19958</v>
      </c>
      <c r="I1792" s="9">
        <v>1</v>
      </c>
    </row>
    <row r="1793" spans="1:9">
      <c r="A1793" s="257" t="s">
        <v>2891</v>
      </c>
      <c r="B1793" s="9">
        <v>0</v>
      </c>
      <c r="C1793" s="257" t="s">
        <v>10066</v>
      </c>
      <c r="D1793" s="9">
        <v>211710450925.3176</v>
      </c>
      <c r="E1793" s="9">
        <v>17258998.467498779</v>
      </c>
      <c r="F1793" s="257" t="s">
        <v>14966</v>
      </c>
      <c r="G1793" s="9">
        <v>1</v>
      </c>
      <c r="H1793" s="257" t="s">
        <v>19959</v>
      </c>
      <c r="I1793" s="9">
        <v>1</v>
      </c>
    </row>
    <row r="1794" spans="1:9">
      <c r="A1794" s="257" t="s">
        <v>2892</v>
      </c>
      <c r="B1794" s="9">
        <v>0</v>
      </c>
      <c r="C1794" s="257" t="s">
        <v>10067</v>
      </c>
      <c r="D1794" s="9">
        <v>1</v>
      </c>
      <c r="E1794" s="9">
        <v>17258998.467498779</v>
      </c>
      <c r="F1794" s="257" t="s">
        <v>14966</v>
      </c>
      <c r="G1794" s="9">
        <v>1</v>
      </c>
      <c r="H1794" s="257" t="s">
        <v>19960</v>
      </c>
      <c r="I1794" s="9">
        <v>1</v>
      </c>
    </row>
    <row r="1795" spans="1:9">
      <c r="A1795" s="257" t="s">
        <v>2893</v>
      </c>
      <c r="B1795" s="9">
        <v>0</v>
      </c>
      <c r="C1795" s="257" t="s">
        <v>10068</v>
      </c>
      <c r="D1795" s="9">
        <v>12266.670706530242</v>
      </c>
      <c r="E1795" s="9">
        <v>17258998.467498779</v>
      </c>
      <c r="F1795" s="257" t="s">
        <v>14966</v>
      </c>
      <c r="G1795" s="9">
        <v>1</v>
      </c>
      <c r="H1795" s="257" t="s">
        <v>19961</v>
      </c>
      <c r="I1795" s="9">
        <v>1</v>
      </c>
    </row>
    <row r="1796" spans="1:9">
      <c r="A1796" s="257" t="s">
        <v>2894</v>
      </c>
      <c r="B1796" s="9">
        <v>0</v>
      </c>
      <c r="C1796" s="257" t="s">
        <v>10069</v>
      </c>
      <c r="D1796" s="9">
        <v>17258998.467498779</v>
      </c>
      <c r="E1796" s="9">
        <v>17258998.467498779</v>
      </c>
      <c r="F1796" s="257" t="s">
        <v>14967</v>
      </c>
      <c r="G1796" s="9">
        <v>1</v>
      </c>
      <c r="H1796" s="257" t="s">
        <v>19962</v>
      </c>
      <c r="I1796" s="9">
        <v>1</v>
      </c>
    </row>
    <row r="1797" spans="1:9">
      <c r="A1797" s="257" t="s">
        <v>2895</v>
      </c>
      <c r="B1797" s="9">
        <v>0</v>
      </c>
      <c r="C1797" s="257" t="s">
        <v>10070</v>
      </c>
      <c r="D1797" s="9">
        <v>41475373597.959259</v>
      </c>
      <c r="E1797" s="9">
        <v>17258998.467498779</v>
      </c>
      <c r="F1797" s="257" t="s">
        <v>14967</v>
      </c>
      <c r="G1797" s="9">
        <v>1</v>
      </c>
      <c r="H1797" s="257" t="s">
        <v>19963</v>
      </c>
      <c r="I1797" s="9">
        <v>1</v>
      </c>
    </row>
    <row r="1798" spans="1:9">
      <c r="A1798" s="257" t="s">
        <v>2896</v>
      </c>
      <c r="B1798" s="9">
        <v>0</v>
      </c>
      <c r="C1798" s="257" t="s">
        <v>10071</v>
      </c>
      <c r="D1798" s="9">
        <v>1</v>
      </c>
      <c r="E1798" s="9">
        <v>17258998.467498779</v>
      </c>
      <c r="F1798" s="257" t="s">
        <v>14967</v>
      </c>
      <c r="G1798" s="9">
        <v>1</v>
      </c>
      <c r="H1798" s="257" t="s">
        <v>19964</v>
      </c>
      <c r="I1798" s="9">
        <v>1</v>
      </c>
    </row>
    <row r="1799" spans="1:9">
      <c r="A1799" s="257" t="s">
        <v>2897</v>
      </c>
      <c r="B1799" s="9">
        <v>0</v>
      </c>
      <c r="C1799" s="257" t="s">
        <v>10072</v>
      </c>
      <c r="D1799" s="9">
        <v>2403.1158978351764</v>
      </c>
      <c r="E1799" s="9">
        <v>17258998.467498779</v>
      </c>
      <c r="F1799" s="257" t="s">
        <v>14967</v>
      </c>
      <c r="G1799" s="9">
        <v>1</v>
      </c>
      <c r="H1799" s="257" t="s">
        <v>19965</v>
      </c>
      <c r="I1799" s="9">
        <v>1</v>
      </c>
    </row>
    <row r="1800" spans="1:9">
      <c r="A1800" s="257" t="s">
        <v>2898</v>
      </c>
      <c r="B1800" s="9">
        <v>0</v>
      </c>
      <c r="C1800" s="257" t="s">
        <v>10073</v>
      </c>
      <c r="D1800" s="9">
        <v>9659968.5730438232</v>
      </c>
      <c r="E1800" s="9">
        <v>17258998.467498779</v>
      </c>
      <c r="F1800" s="257" t="s">
        <v>14968</v>
      </c>
      <c r="G1800" s="9">
        <v>1</v>
      </c>
      <c r="H1800" s="257" t="s">
        <v>19966</v>
      </c>
      <c r="I1800" s="9">
        <v>1</v>
      </c>
    </row>
    <row r="1801" spans="1:9">
      <c r="A1801" s="257" t="s">
        <v>2899</v>
      </c>
      <c r="B1801" s="9">
        <v>0</v>
      </c>
      <c r="C1801" s="257" t="s">
        <v>10074</v>
      </c>
      <c r="D1801" s="9">
        <v>40616858491.233467</v>
      </c>
      <c r="E1801" s="9">
        <v>17258998.467498779</v>
      </c>
      <c r="F1801" s="257" t="s">
        <v>14968</v>
      </c>
      <c r="G1801" s="9">
        <v>1</v>
      </c>
      <c r="H1801" s="257" t="s">
        <v>19967</v>
      </c>
      <c r="I1801" s="9">
        <v>1</v>
      </c>
    </row>
    <row r="1802" spans="1:9">
      <c r="A1802" s="257" t="s">
        <v>2900</v>
      </c>
      <c r="B1802" s="9">
        <v>0</v>
      </c>
      <c r="C1802" s="257" t="s">
        <v>10075</v>
      </c>
      <c r="D1802" s="9">
        <v>0.55970620724226605</v>
      </c>
      <c r="E1802" s="9">
        <v>17258998.467498779</v>
      </c>
      <c r="F1802" s="257" t="s">
        <v>14968</v>
      </c>
      <c r="G1802" s="9">
        <v>1</v>
      </c>
      <c r="H1802" s="257" t="s">
        <v>19968</v>
      </c>
      <c r="I1802" s="9">
        <v>1</v>
      </c>
    </row>
    <row r="1803" spans="1:9">
      <c r="A1803" s="257" t="s">
        <v>2901</v>
      </c>
      <c r="B1803" s="9">
        <v>0</v>
      </c>
      <c r="C1803" s="257" t="s">
        <v>10076</v>
      </c>
      <c r="D1803" s="9">
        <v>2353.3728546138386</v>
      </c>
      <c r="E1803" s="9">
        <v>17258998.467498779</v>
      </c>
      <c r="F1803" s="257" t="s">
        <v>14968</v>
      </c>
      <c r="G1803" s="9">
        <v>1</v>
      </c>
      <c r="H1803" s="257" t="s">
        <v>19969</v>
      </c>
      <c r="I1803" s="9">
        <v>1</v>
      </c>
    </row>
    <row r="1804" spans="1:9">
      <c r="A1804" s="257" t="s">
        <v>2902</v>
      </c>
      <c r="B1804" s="9">
        <v>0</v>
      </c>
      <c r="C1804" s="257" t="s">
        <v>10077</v>
      </c>
      <c r="D1804" s="9">
        <v>17258998.467498779</v>
      </c>
      <c r="E1804" s="9">
        <v>17258998.467498779</v>
      </c>
      <c r="F1804" s="257" t="s">
        <v>14969</v>
      </c>
      <c r="G1804" s="9">
        <v>1</v>
      </c>
      <c r="H1804" s="257" t="s">
        <v>19970</v>
      </c>
      <c r="I1804" s="9">
        <v>1</v>
      </c>
    </row>
    <row r="1805" spans="1:9">
      <c r="A1805" s="257" t="s">
        <v>2903</v>
      </c>
      <c r="B1805" s="9">
        <v>0</v>
      </c>
      <c r="C1805" s="257" t="s">
        <v>10078</v>
      </c>
      <c r="D1805" s="9">
        <v>252327309416.55106</v>
      </c>
      <c r="E1805" s="9">
        <v>17258998.467498779</v>
      </c>
      <c r="F1805" s="257" t="s">
        <v>14969</v>
      </c>
      <c r="G1805" s="9">
        <v>1</v>
      </c>
      <c r="H1805" s="257" t="s">
        <v>19971</v>
      </c>
      <c r="I1805" s="9">
        <v>1</v>
      </c>
    </row>
    <row r="1806" spans="1:9">
      <c r="A1806" s="257" t="s">
        <v>2904</v>
      </c>
      <c r="B1806" s="9">
        <v>0</v>
      </c>
      <c r="C1806" s="257" t="s">
        <v>10079</v>
      </c>
      <c r="D1806" s="9">
        <v>1</v>
      </c>
      <c r="E1806" s="9">
        <v>17258998.467498779</v>
      </c>
      <c r="F1806" s="257" t="s">
        <v>14969</v>
      </c>
      <c r="G1806" s="9">
        <v>1</v>
      </c>
      <c r="H1806" s="257" t="s">
        <v>19972</v>
      </c>
      <c r="I1806" s="9">
        <v>1</v>
      </c>
    </row>
    <row r="1807" spans="1:9">
      <c r="A1807" s="257" t="s">
        <v>2905</v>
      </c>
      <c r="B1807" s="9">
        <v>0</v>
      </c>
      <c r="C1807" s="257" t="s">
        <v>10080</v>
      </c>
      <c r="D1807" s="9">
        <v>14620.043561144079</v>
      </c>
      <c r="E1807" s="9">
        <v>17258998.467498779</v>
      </c>
      <c r="F1807" s="257" t="s">
        <v>14969</v>
      </c>
      <c r="G1807" s="9">
        <v>1</v>
      </c>
      <c r="H1807" s="257" t="s">
        <v>19973</v>
      </c>
      <c r="I1807" s="9">
        <v>1</v>
      </c>
    </row>
    <row r="1808" spans="1:9">
      <c r="A1808" s="257" t="s">
        <v>2906</v>
      </c>
      <c r="B1808" s="9">
        <v>0</v>
      </c>
      <c r="C1808" s="257" t="s">
        <v>10081</v>
      </c>
      <c r="D1808" s="9">
        <v>17258998.467498779</v>
      </c>
      <c r="E1808" s="9">
        <v>17258998.467498779</v>
      </c>
      <c r="F1808" s="257" t="s">
        <v>14970</v>
      </c>
      <c r="G1808" s="9">
        <v>1</v>
      </c>
      <c r="H1808" s="257" t="s">
        <v>19974</v>
      </c>
      <c r="I1808" s="9">
        <v>1</v>
      </c>
    </row>
    <row r="1809" spans="1:9">
      <c r="A1809" s="257" t="s">
        <v>2907</v>
      </c>
      <c r="B1809" s="9">
        <v>0</v>
      </c>
      <c r="C1809" s="257" t="s">
        <v>10082</v>
      </c>
      <c r="D1809" s="9">
        <v>252327309416.55106</v>
      </c>
      <c r="E1809" s="9">
        <v>17258998.467498779</v>
      </c>
      <c r="F1809" s="257" t="s">
        <v>14970</v>
      </c>
      <c r="G1809" s="9">
        <v>1</v>
      </c>
      <c r="H1809" s="257" t="s">
        <v>19975</v>
      </c>
      <c r="I1809" s="9">
        <v>1</v>
      </c>
    </row>
    <row r="1810" spans="1:9">
      <c r="A1810" s="257" t="s">
        <v>2908</v>
      </c>
      <c r="B1810" s="9">
        <v>0</v>
      </c>
      <c r="C1810" s="257" t="s">
        <v>10083</v>
      </c>
      <c r="D1810" s="9">
        <v>1</v>
      </c>
      <c r="E1810" s="9">
        <v>17258998.467498779</v>
      </c>
      <c r="F1810" s="257" t="s">
        <v>14970</v>
      </c>
      <c r="G1810" s="9">
        <v>1</v>
      </c>
      <c r="H1810" s="257" t="s">
        <v>19976</v>
      </c>
      <c r="I1810" s="9">
        <v>1</v>
      </c>
    </row>
    <row r="1811" spans="1:9">
      <c r="A1811" s="257" t="s">
        <v>2909</v>
      </c>
      <c r="B1811" s="9">
        <v>0</v>
      </c>
      <c r="C1811" s="257" t="s">
        <v>10084</v>
      </c>
      <c r="D1811" s="9">
        <v>14620.043561144079</v>
      </c>
      <c r="E1811" s="9">
        <v>17258998.467498779</v>
      </c>
      <c r="F1811" s="257" t="s">
        <v>14970</v>
      </c>
      <c r="G1811" s="9">
        <v>1</v>
      </c>
      <c r="H1811" s="257" t="s">
        <v>19977</v>
      </c>
      <c r="I1811" s="9">
        <v>1</v>
      </c>
    </row>
    <row r="1812" spans="1:9">
      <c r="A1812" s="257" t="s">
        <v>2910</v>
      </c>
      <c r="B1812" s="9">
        <v>0</v>
      </c>
      <c r="C1812" s="257" t="s">
        <v>10085</v>
      </c>
      <c r="D1812" s="9">
        <v>17258998.467498779</v>
      </c>
      <c r="E1812" s="9">
        <v>17258998.467498779</v>
      </c>
      <c r="F1812" s="257" t="s">
        <v>14971</v>
      </c>
      <c r="G1812" s="9">
        <v>1</v>
      </c>
      <c r="H1812" s="257" t="s">
        <v>19978</v>
      </c>
      <c r="I1812" s="9">
        <v>1</v>
      </c>
    </row>
    <row r="1813" spans="1:9">
      <c r="A1813" s="257" t="s">
        <v>2911</v>
      </c>
      <c r="B1813" s="9">
        <v>0</v>
      </c>
      <c r="C1813" s="257" t="s">
        <v>10086</v>
      </c>
      <c r="D1813" s="9">
        <v>133901710209.27643</v>
      </c>
      <c r="E1813" s="9">
        <v>17258998.467498779</v>
      </c>
      <c r="F1813" s="257" t="s">
        <v>14971</v>
      </c>
      <c r="G1813" s="9">
        <v>1</v>
      </c>
      <c r="H1813" s="257" t="s">
        <v>19979</v>
      </c>
      <c r="I1813" s="9">
        <v>1</v>
      </c>
    </row>
    <row r="1814" spans="1:9">
      <c r="A1814" s="257" t="s">
        <v>2912</v>
      </c>
      <c r="B1814" s="9">
        <v>0</v>
      </c>
      <c r="C1814" s="257" t="s">
        <v>10087</v>
      </c>
      <c r="D1814" s="9">
        <v>1</v>
      </c>
      <c r="E1814" s="9">
        <v>17258998.467498779</v>
      </c>
      <c r="F1814" s="257" t="s">
        <v>14971</v>
      </c>
      <c r="G1814" s="9">
        <v>1</v>
      </c>
      <c r="H1814" s="257" t="s">
        <v>19980</v>
      </c>
      <c r="I1814" s="9">
        <v>1</v>
      </c>
    </row>
    <row r="1815" spans="1:9">
      <c r="A1815" s="257" t="s">
        <v>2913</v>
      </c>
      <c r="B1815" s="9">
        <v>0</v>
      </c>
      <c r="C1815" s="257" t="s">
        <v>10088</v>
      </c>
      <c r="D1815" s="9">
        <v>7758.370826756428</v>
      </c>
      <c r="E1815" s="9">
        <v>17258998.467498779</v>
      </c>
      <c r="F1815" s="257" t="s">
        <v>14971</v>
      </c>
      <c r="G1815" s="9">
        <v>1</v>
      </c>
      <c r="H1815" s="257" t="s">
        <v>19981</v>
      </c>
      <c r="I1815" s="9">
        <v>1</v>
      </c>
    </row>
    <row r="1816" spans="1:9">
      <c r="A1816" s="257" t="s">
        <v>2914</v>
      </c>
      <c r="B1816" s="9">
        <v>0</v>
      </c>
      <c r="C1816" s="257" t="s">
        <v>10089</v>
      </c>
      <c r="D1816" s="9">
        <v>17258998.467498779</v>
      </c>
      <c r="E1816" s="9">
        <v>17258998.467498779</v>
      </c>
      <c r="F1816" s="257" t="s">
        <v>14972</v>
      </c>
      <c r="G1816" s="9">
        <v>1</v>
      </c>
      <c r="H1816" s="257" t="s">
        <v>19982</v>
      </c>
      <c r="I1816" s="9">
        <v>1</v>
      </c>
    </row>
    <row r="1817" spans="1:9">
      <c r="A1817" s="257" t="s">
        <v>2915</v>
      </c>
      <c r="B1817" s="9">
        <v>0</v>
      </c>
      <c r="C1817" s="257" t="s">
        <v>10090</v>
      </c>
      <c r="D1817" s="9">
        <v>133901710209.27643</v>
      </c>
      <c r="E1817" s="9">
        <v>17258998.467498779</v>
      </c>
      <c r="F1817" s="257" t="s">
        <v>14972</v>
      </c>
      <c r="G1817" s="9">
        <v>1</v>
      </c>
      <c r="H1817" s="257" t="s">
        <v>19983</v>
      </c>
      <c r="I1817" s="9">
        <v>1</v>
      </c>
    </row>
    <row r="1818" spans="1:9">
      <c r="A1818" s="257" t="s">
        <v>2916</v>
      </c>
      <c r="B1818" s="9">
        <v>0</v>
      </c>
      <c r="C1818" s="257" t="s">
        <v>10091</v>
      </c>
      <c r="D1818" s="9">
        <v>1</v>
      </c>
      <c r="E1818" s="9">
        <v>17258998.467498779</v>
      </c>
      <c r="F1818" s="257" t="s">
        <v>14972</v>
      </c>
      <c r="G1818" s="9">
        <v>1</v>
      </c>
      <c r="H1818" s="257" t="s">
        <v>19984</v>
      </c>
      <c r="I1818" s="9">
        <v>1</v>
      </c>
    </row>
    <row r="1819" spans="1:9">
      <c r="A1819" s="257" t="s">
        <v>2917</v>
      </c>
      <c r="B1819" s="9">
        <v>0</v>
      </c>
      <c r="C1819" s="257" t="s">
        <v>10092</v>
      </c>
      <c r="D1819" s="9">
        <v>7758.370826756428</v>
      </c>
      <c r="E1819" s="9">
        <v>17258998.467498779</v>
      </c>
      <c r="F1819" s="257" t="s">
        <v>14972</v>
      </c>
      <c r="G1819" s="9">
        <v>1</v>
      </c>
      <c r="H1819" s="257" t="s">
        <v>19985</v>
      </c>
      <c r="I1819" s="9">
        <v>1</v>
      </c>
    </row>
    <row r="1820" spans="1:9">
      <c r="A1820" s="257" t="s">
        <v>2918</v>
      </c>
      <c r="B1820" s="9">
        <v>0</v>
      </c>
      <c r="C1820" s="257" t="s">
        <v>10093</v>
      </c>
      <c r="D1820" s="9">
        <v>17258998.467498779</v>
      </c>
      <c r="E1820" s="9">
        <v>17258998.467498779</v>
      </c>
      <c r="F1820" s="257" t="s">
        <v>14973</v>
      </c>
      <c r="G1820" s="9">
        <v>1</v>
      </c>
      <c r="H1820" s="257" t="s">
        <v>19986</v>
      </c>
      <c r="I1820" s="9">
        <v>1</v>
      </c>
    </row>
    <row r="1821" spans="1:9">
      <c r="A1821" s="257" t="s">
        <v>2919</v>
      </c>
      <c r="B1821" s="9">
        <v>0</v>
      </c>
      <c r="C1821" s="257" t="s">
        <v>10094</v>
      </c>
      <c r="D1821" s="9">
        <v>77808740716.041168</v>
      </c>
      <c r="E1821" s="9">
        <v>17258998.467498779</v>
      </c>
      <c r="F1821" s="257" t="s">
        <v>14973</v>
      </c>
      <c r="G1821" s="9">
        <v>1</v>
      </c>
      <c r="H1821" s="257" t="s">
        <v>19987</v>
      </c>
      <c r="I1821" s="9">
        <v>1</v>
      </c>
    </row>
    <row r="1822" spans="1:9">
      <c r="A1822" s="257" t="s">
        <v>2920</v>
      </c>
      <c r="B1822" s="9">
        <v>0</v>
      </c>
      <c r="C1822" s="257" t="s">
        <v>10095</v>
      </c>
      <c r="D1822" s="9">
        <v>1</v>
      </c>
      <c r="E1822" s="9">
        <v>17258998.467498779</v>
      </c>
      <c r="F1822" s="257" t="s">
        <v>14973</v>
      </c>
      <c r="G1822" s="9">
        <v>1</v>
      </c>
      <c r="H1822" s="257" t="s">
        <v>19988</v>
      </c>
      <c r="I1822" s="9">
        <v>1</v>
      </c>
    </row>
    <row r="1823" spans="1:9">
      <c r="A1823" s="257" t="s">
        <v>2921</v>
      </c>
      <c r="B1823" s="9">
        <v>0</v>
      </c>
      <c r="C1823" s="257" t="s">
        <v>10096</v>
      </c>
      <c r="D1823" s="9">
        <v>4508.2998797738128</v>
      </c>
      <c r="E1823" s="9">
        <v>17258998.467498779</v>
      </c>
      <c r="F1823" s="257" t="s">
        <v>14973</v>
      </c>
      <c r="G1823" s="9">
        <v>1</v>
      </c>
      <c r="H1823" s="257" t="s">
        <v>19989</v>
      </c>
      <c r="I1823" s="9">
        <v>1</v>
      </c>
    </row>
    <row r="1824" spans="1:9">
      <c r="A1824" s="257" t="s">
        <v>2922</v>
      </c>
      <c r="B1824" s="9">
        <v>0</v>
      </c>
      <c r="C1824" s="257" t="s">
        <v>10097</v>
      </c>
      <c r="D1824" s="9">
        <v>17258998.467498779</v>
      </c>
      <c r="E1824" s="9">
        <v>17258998.467498779</v>
      </c>
      <c r="F1824" s="257" t="s">
        <v>14974</v>
      </c>
      <c r="G1824" s="9">
        <v>1</v>
      </c>
      <c r="H1824" s="257" t="s">
        <v>19990</v>
      </c>
      <c r="I1824" s="9">
        <v>1</v>
      </c>
    </row>
    <row r="1825" spans="1:9">
      <c r="A1825" s="257" t="s">
        <v>2923</v>
      </c>
      <c r="B1825" s="9">
        <v>0</v>
      </c>
      <c r="C1825" s="257" t="s">
        <v>10098</v>
      </c>
      <c r="D1825" s="9">
        <v>112330948759.17586</v>
      </c>
      <c r="E1825" s="9">
        <v>17258998.467498779</v>
      </c>
      <c r="F1825" s="257" t="s">
        <v>14974</v>
      </c>
      <c r="G1825" s="9">
        <v>1</v>
      </c>
      <c r="H1825" s="257" t="s">
        <v>19991</v>
      </c>
      <c r="I1825" s="9">
        <v>1</v>
      </c>
    </row>
    <row r="1826" spans="1:9">
      <c r="A1826" s="257" t="s">
        <v>2924</v>
      </c>
      <c r="B1826" s="9">
        <v>0</v>
      </c>
      <c r="C1826" s="257" t="s">
        <v>10099</v>
      </c>
      <c r="D1826" s="9">
        <v>1</v>
      </c>
      <c r="E1826" s="9">
        <v>17258998.467498779</v>
      </c>
      <c r="F1826" s="257" t="s">
        <v>14974</v>
      </c>
      <c r="G1826" s="9">
        <v>1</v>
      </c>
      <c r="H1826" s="257" t="s">
        <v>19992</v>
      </c>
      <c r="I1826" s="9">
        <v>1</v>
      </c>
    </row>
    <row r="1827" spans="1:9">
      <c r="A1827" s="257" t="s">
        <v>2925</v>
      </c>
      <c r="B1827" s="9">
        <v>0</v>
      </c>
      <c r="C1827" s="257" t="s">
        <v>10100</v>
      </c>
      <c r="D1827" s="9">
        <v>6508.5438747046346</v>
      </c>
      <c r="E1827" s="9">
        <v>17258998.467498779</v>
      </c>
      <c r="F1827" s="257" t="s">
        <v>14974</v>
      </c>
      <c r="G1827" s="9">
        <v>1</v>
      </c>
      <c r="H1827" s="257" t="s">
        <v>19993</v>
      </c>
      <c r="I1827" s="9">
        <v>1</v>
      </c>
    </row>
    <row r="1828" spans="1:9">
      <c r="A1828" s="257" t="s">
        <v>2926</v>
      </c>
      <c r="B1828" s="9">
        <v>0</v>
      </c>
      <c r="C1828" s="257" t="s">
        <v>10101</v>
      </c>
      <c r="D1828" s="9">
        <v>10216884.449541092</v>
      </c>
      <c r="E1828" s="9">
        <v>17258998.467498779</v>
      </c>
      <c r="F1828" s="257" t="s">
        <v>14975</v>
      </c>
      <c r="G1828" s="9">
        <v>1</v>
      </c>
      <c r="H1828" s="257" t="s">
        <v>19994</v>
      </c>
      <c r="I1828" s="9">
        <v>1</v>
      </c>
    </row>
    <row r="1829" spans="1:9">
      <c r="A1829" s="257" t="s">
        <v>2927</v>
      </c>
      <c r="B1829" s="9">
        <v>0</v>
      </c>
      <c r="C1829" s="257" t="s">
        <v>10102</v>
      </c>
      <c r="D1829" s="9">
        <v>120280196862.59547</v>
      </c>
      <c r="E1829" s="9">
        <v>17258998.467498779</v>
      </c>
      <c r="F1829" s="257" t="s">
        <v>14975</v>
      </c>
      <c r="G1829" s="9">
        <v>1</v>
      </c>
      <c r="H1829" s="257" t="s">
        <v>19995</v>
      </c>
      <c r="I1829" s="9">
        <v>1</v>
      </c>
    </row>
    <row r="1830" spans="1:9">
      <c r="A1830" s="257" t="s">
        <v>2928</v>
      </c>
      <c r="B1830" s="9">
        <v>0</v>
      </c>
      <c r="C1830" s="257" t="s">
        <v>10103</v>
      </c>
      <c r="D1830" s="9">
        <v>0.5919743529023993</v>
      </c>
      <c r="E1830" s="9">
        <v>17258998.467498779</v>
      </c>
      <c r="F1830" s="257" t="s">
        <v>14975</v>
      </c>
      <c r="G1830" s="9">
        <v>1</v>
      </c>
      <c r="H1830" s="257" t="s">
        <v>19996</v>
      </c>
      <c r="I1830" s="9">
        <v>1</v>
      </c>
    </row>
    <row r="1831" spans="1:9">
      <c r="A1831" s="257" t="s">
        <v>2929</v>
      </c>
      <c r="B1831" s="9">
        <v>0</v>
      </c>
      <c r="C1831" s="257" t="s">
        <v>10104</v>
      </c>
      <c r="D1831" s="9">
        <v>6969.1295870441554</v>
      </c>
      <c r="E1831" s="9">
        <v>17258998.467498779</v>
      </c>
      <c r="F1831" s="257" t="s">
        <v>14975</v>
      </c>
      <c r="G1831" s="9">
        <v>1</v>
      </c>
      <c r="H1831" s="257" t="s">
        <v>19997</v>
      </c>
      <c r="I1831" s="9">
        <v>1</v>
      </c>
    </row>
    <row r="1832" spans="1:9">
      <c r="A1832" s="257" t="s">
        <v>2930</v>
      </c>
      <c r="B1832" s="9">
        <v>0</v>
      </c>
      <c r="C1832" s="257" t="s">
        <v>10105</v>
      </c>
      <c r="D1832" s="9">
        <v>17258998.467498779</v>
      </c>
      <c r="E1832" s="9">
        <v>17258998.467498779</v>
      </c>
      <c r="F1832" s="257" t="s">
        <v>14976</v>
      </c>
      <c r="G1832" s="9">
        <v>1</v>
      </c>
      <c r="H1832" s="257" t="s">
        <v>19998</v>
      </c>
      <c r="I1832" s="9">
        <v>1</v>
      </c>
    </row>
    <row r="1833" spans="1:9">
      <c r="A1833" s="257" t="s">
        <v>2931</v>
      </c>
      <c r="B1833" s="9">
        <v>0</v>
      </c>
      <c r="C1833" s="257" t="s">
        <v>10106</v>
      </c>
      <c r="D1833" s="9">
        <v>19716163794.779724</v>
      </c>
      <c r="E1833" s="9">
        <v>17258998.467498779</v>
      </c>
      <c r="F1833" s="257" t="s">
        <v>14976</v>
      </c>
      <c r="G1833" s="9">
        <v>1</v>
      </c>
      <c r="H1833" s="257" t="s">
        <v>19999</v>
      </c>
      <c r="I1833" s="9">
        <v>1</v>
      </c>
    </row>
    <row r="1834" spans="1:9">
      <c r="A1834" s="257" t="s">
        <v>2932</v>
      </c>
      <c r="B1834" s="9">
        <v>0</v>
      </c>
      <c r="C1834" s="257" t="s">
        <v>10107</v>
      </c>
      <c r="D1834" s="9">
        <v>1</v>
      </c>
      <c r="E1834" s="9">
        <v>17258998.467498779</v>
      </c>
      <c r="F1834" s="257" t="s">
        <v>14976</v>
      </c>
      <c r="G1834" s="9">
        <v>1</v>
      </c>
      <c r="H1834" s="257" t="s">
        <v>20000</v>
      </c>
      <c r="I1834" s="9">
        <v>1</v>
      </c>
    </row>
    <row r="1835" spans="1:9">
      <c r="A1835" s="257" t="s">
        <v>2933</v>
      </c>
      <c r="B1835" s="9">
        <v>0</v>
      </c>
      <c r="C1835" s="257" t="s">
        <v>10108</v>
      </c>
      <c r="D1835" s="9">
        <v>1142.3700993952891</v>
      </c>
      <c r="E1835" s="9">
        <v>17258998.467498779</v>
      </c>
      <c r="F1835" s="257" t="s">
        <v>14976</v>
      </c>
      <c r="G1835" s="9">
        <v>1</v>
      </c>
      <c r="H1835" s="257" t="s">
        <v>20001</v>
      </c>
      <c r="I1835" s="9">
        <v>1</v>
      </c>
    </row>
    <row r="1836" spans="1:9">
      <c r="A1836" s="257" t="s">
        <v>2934</v>
      </c>
      <c r="B1836" s="9">
        <v>0</v>
      </c>
      <c r="C1836" s="257" t="s">
        <v>10109</v>
      </c>
      <c r="D1836" s="9">
        <v>17258998.467498779</v>
      </c>
      <c r="E1836" s="9">
        <v>17258998.467498779</v>
      </c>
      <c r="F1836" s="257" t="s">
        <v>14977</v>
      </c>
      <c r="G1836" s="9">
        <v>1</v>
      </c>
      <c r="H1836" s="257" t="s">
        <v>20002</v>
      </c>
      <c r="I1836" s="9">
        <v>1</v>
      </c>
    </row>
    <row r="1837" spans="1:9">
      <c r="A1837" s="257" t="s">
        <v>2935</v>
      </c>
      <c r="B1837" s="9">
        <v>0</v>
      </c>
      <c r="C1837" s="257" t="s">
        <v>10110</v>
      </c>
      <c r="D1837" s="9">
        <v>139996360657.37521</v>
      </c>
      <c r="E1837" s="9">
        <v>17258998.467498779</v>
      </c>
      <c r="F1837" s="257" t="s">
        <v>14977</v>
      </c>
      <c r="G1837" s="9">
        <v>1</v>
      </c>
      <c r="H1837" s="257" t="s">
        <v>20003</v>
      </c>
      <c r="I1837" s="9">
        <v>1</v>
      </c>
    </row>
    <row r="1838" spans="1:9">
      <c r="A1838" s="257" t="s">
        <v>2936</v>
      </c>
      <c r="B1838" s="9">
        <v>0</v>
      </c>
      <c r="C1838" s="257" t="s">
        <v>10111</v>
      </c>
      <c r="D1838" s="9">
        <v>1</v>
      </c>
      <c r="E1838" s="9">
        <v>17258998.467498779</v>
      </c>
      <c r="F1838" s="257" t="s">
        <v>14977</v>
      </c>
      <c r="G1838" s="9">
        <v>1</v>
      </c>
      <c r="H1838" s="257" t="s">
        <v>20004</v>
      </c>
      <c r="I1838" s="9">
        <v>1</v>
      </c>
    </row>
    <row r="1839" spans="1:9">
      <c r="A1839" s="257" t="s">
        <v>2937</v>
      </c>
      <c r="B1839" s="9">
        <v>0</v>
      </c>
      <c r="C1839" s="257" t="s">
        <v>10112</v>
      </c>
      <c r="D1839" s="9">
        <v>8111.4996864394452</v>
      </c>
      <c r="E1839" s="9">
        <v>17258998.467498779</v>
      </c>
      <c r="F1839" s="257" t="s">
        <v>14977</v>
      </c>
      <c r="G1839" s="9">
        <v>1</v>
      </c>
      <c r="H1839" s="257" t="s">
        <v>20005</v>
      </c>
      <c r="I1839" s="9">
        <v>1</v>
      </c>
    </row>
    <row r="1840" spans="1:9">
      <c r="A1840" s="257" t="s">
        <v>2938</v>
      </c>
      <c r="B1840" s="9">
        <v>0</v>
      </c>
      <c r="C1840" s="257" t="s">
        <v>10113</v>
      </c>
      <c r="D1840" s="9">
        <v>2495184.5025596619</v>
      </c>
      <c r="E1840" s="9">
        <v>17258998.467498779</v>
      </c>
      <c r="F1840" s="257" t="s">
        <v>14978</v>
      </c>
      <c r="G1840" s="9">
        <v>1</v>
      </c>
      <c r="H1840" s="257" t="s">
        <v>20006</v>
      </c>
      <c r="I1840" s="9">
        <v>1</v>
      </c>
    </row>
    <row r="1841" spans="1:9">
      <c r="A1841" s="257" t="s">
        <v>2939</v>
      </c>
      <c r="B1841" s="9">
        <v>0</v>
      </c>
      <c r="C1841" s="257" t="s">
        <v>10114</v>
      </c>
      <c r="D1841" s="9">
        <v>6094650448.098772</v>
      </c>
      <c r="E1841" s="9">
        <v>17258998.467498779</v>
      </c>
      <c r="F1841" s="257" t="s">
        <v>14978</v>
      </c>
      <c r="G1841" s="9">
        <v>1</v>
      </c>
      <c r="H1841" s="257" t="s">
        <v>20007</v>
      </c>
      <c r="I1841" s="9">
        <v>1</v>
      </c>
    </row>
    <row r="1842" spans="1:9">
      <c r="A1842" s="257" t="s">
        <v>2940</v>
      </c>
      <c r="B1842" s="9">
        <v>0</v>
      </c>
      <c r="C1842" s="257" t="s">
        <v>10115</v>
      </c>
      <c r="D1842" s="9">
        <v>0.14457296043327542</v>
      </c>
      <c r="E1842" s="9">
        <v>17258998.467498779</v>
      </c>
      <c r="F1842" s="257" t="s">
        <v>14978</v>
      </c>
      <c r="G1842" s="9">
        <v>1</v>
      </c>
      <c r="H1842" s="257" t="s">
        <v>20008</v>
      </c>
      <c r="I1842" s="9">
        <v>1</v>
      </c>
    </row>
    <row r="1843" spans="1:9">
      <c r="A1843" s="257" t="s">
        <v>2941</v>
      </c>
      <c r="B1843" s="9">
        <v>0</v>
      </c>
      <c r="C1843" s="257" t="s">
        <v>10116</v>
      </c>
      <c r="D1843" s="9">
        <v>353.12885968301646</v>
      </c>
      <c r="E1843" s="9">
        <v>17258998.467498779</v>
      </c>
      <c r="F1843" s="257" t="s">
        <v>14978</v>
      </c>
      <c r="G1843" s="9">
        <v>1</v>
      </c>
      <c r="H1843" s="257" t="s">
        <v>20009</v>
      </c>
      <c r="I1843" s="9">
        <v>1</v>
      </c>
    </row>
    <row r="1844" spans="1:9">
      <c r="A1844" s="257" t="s">
        <v>2942</v>
      </c>
      <c r="B1844" s="9">
        <v>0</v>
      </c>
      <c r="C1844" s="257" t="s">
        <v>10117</v>
      </c>
      <c r="D1844" s="9">
        <v>9358875.1424636841</v>
      </c>
      <c r="E1844" s="9">
        <v>17258998.467498779</v>
      </c>
      <c r="F1844" s="257" t="s">
        <v>14979</v>
      </c>
      <c r="G1844" s="9">
        <v>1</v>
      </c>
      <c r="H1844" s="257" t="s">
        <v>20010</v>
      </c>
      <c r="I1844" s="9">
        <v>1</v>
      </c>
    </row>
    <row r="1845" spans="1:9">
      <c r="A1845" s="257" t="s">
        <v>2943</v>
      </c>
      <c r="B1845" s="9">
        <v>0</v>
      </c>
      <c r="C1845" s="257" t="s">
        <v>10118</v>
      </c>
      <c r="D1845" s="9">
        <v>34522208043.134689</v>
      </c>
      <c r="E1845" s="9">
        <v>17258998.467498779</v>
      </c>
      <c r="F1845" s="257" t="s">
        <v>14979</v>
      </c>
      <c r="G1845" s="9">
        <v>1</v>
      </c>
      <c r="H1845" s="257" t="s">
        <v>20011</v>
      </c>
      <c r="I1845" s="9">
        <v>1</v>
      </c>
    </row>
    <row r="1846" spans="1:9">
      <c r="A1846" s="257" t="s">
        <v>2944</v>
      </c>
      <c r="B1846" s="9">
        <v>0</v>
      </c>
      <c r="C1846" s="257" t="s">
        <v>10119</v>
      </c>
      <c r="D1846" s="9">
        <v>0.54226061611210041</v>
      </c>
      <c r="E1846" s="9">
        <v>17258998.467498779</v>
      </c>
      <c r="F1846" s="257" t="s">
        <v>14979</v>
      </c>
      <c r="G1846" s="9">
        <v>1</v>
      </c>
      <c r="H1846" s="257" t="s">
        <v>20012</v>
      </c>
      <c r="I1846" s="9">
        <v>1</v>
      </c>
    </row>
    <row r="1847" spans="1:9">
      <c r="A1847" s="257" t="s">
        <v>2945</v>
      </c>
      <c r="B1847" s="9">
        <v>0</v>
      </c>
      <c r="C1847" s="257" t="s">
        <v>10120</v>
      </c>
      <c r="D1847" s="9">
        <v>2000.2439949308218</v>
      </c>
      <c r="E1847" s="9">
        <v>17258998.467498779</v>
      </c>
      <c r="F1847" s="257" t="s">
        <v>14979</v>
      </c>
      <c r="G1847" s="9">
        <v>1</v>
      </c>
      <c r="H1847" s="257" t="s">
        <v>20013</v>
      </c>
      <c r="I1847" s="9">
        <v>1</v>
      </c>
    </row>
    <row r="1848" spans="1:9">
      <c r="A1848" s="257" t="s">
        <v>2946</v>
      </c>
      <c r="B1848" s="9">
        <v>0</v>
      </c>
      <c r="C1848" s="257" t="s">
        <v>10121</v>
      </c>
      <c r="D1848" s="9">
        <v>0</v>
      </c>
      <c r="E1848" s="9">
        <v>17258998.467498779</v>
      </c>
      <c r="F1848" s="257" t="s">
        <v>14980</v>
      </c>
      <c r="G1848" s="9">
        <v>1</v>
      </c>
      <c r="H1848" s="257" t="s">
        <v>20014</v>
      </c>
      <c r="I1848" s="9">
        <v>1</v>
      </c>
    </row>
    <row r="1849" spans="1:9">
      <c r="A1849" s="257" t="s">
        <v>2947</v>
      </c>
      <c r="B1849" s="9">
        <v>0</v>
      </c>
      <c r="C1849" s="257" t="s">
        <v>10122</v>
      </c>
      <c r="D1849" s="9">
        <v>0</v>
      </c>
      <c r="E1849" s="9">
        <v>17258998.467498779</v>
      </c>
      <c r="F1849" s="257" t="s">
        <v>14980</v>
      </c>
      <c r="G1849" s="9">
        <v>1</v>
      </c>
      <c r="H1849" s="257" t="s">
        <v>20015</v>
      </c>
      <c r="I1849" s="9">
        <v>1</v>
      </c>
    </row>
    <row r="1850" spans="1:9">
      <c r="A1850" s="257" t="s">
        <v>2948</v>
      </c>
      <c r="B1850" s="9">
        <v>0</v>
      </c>
      <c r="C1850" s="257" t="s">
        <v>10123</v>
      </c>
      <c r="D1850" s="9">
        <v>0</v>
      </c>
      <c r="E1850" s="9">
        <v>17258998.467498779</v>
      </c>
      <c r="F1850" s="257" t="s">
        <v>14980</v>
      </c>
      <c r="G1850" s="9">
        <v>1</v>
      </c>
      <c r="H1850" s="257" t="s">
        <v>20016</v>
      </c>
      <c r="I1850" s="9">
        <v>1</v>
      </c>
    </row>
    <row r="1851" spans="1:9">
      <c r="A1851" s="257" t="s">
        <v>2949</v>
      </c>
      <c r="B1851" s="9">
        <v>0</v>
      </c>
      <c r="C1851" s="257" t="s">
        <v>10124</v>
      </c>
      <c r="D1851" s="9">
        <v>0</v>
      </c>
      <c r="E1851" s="9">
        <v>17258998.467498779</v>
      </c>
      <c r="F1851" s="257" t="s">
        <v>14980</v>
      </c>
      <c r="G1851" s="9">
        <v>1</v>
      </c>
      <c r="H1851" s="257" t="s">
        <v>20017</v>
      </c>
      <c r="I1851" s="9">
        <v>1</v>
      </c>
    </row>
    <row r="1852" spans="1:9">
      <c r="A1852" s="257" t="s">
        <v>2950</v>
      </c>
      <c r="B1852" s="9">
        <v>0</v>
      </c>
      <c r="C1852" s="257" t="s">
        <v>10125</v>
      </c>
      <c r="D1852" s="9">
        <v>0.37892769999999998</v>
      </c>
      <c r="E1852" s="9">
        <v>17258998.467498779</v>
      </c>
      <c r="F1852" s="257" t="s">
        <v>14981</v>
      </c>
      <c r="G1852" s="9">
        <v>1</v>
      </c>
      <c r="H1852" s="257" t="s">
        <v>20018</v>
      </c>
      <c r="I1852" s="9">
        <v>1</v>
      </c>
    </row>
    <row r="1853" spans="1:9">
      <c r="A1853" s="257" t="s">
        <v>2951</v>
      </c>
      <c r="B1853" s="9">
        <v>0</v>
      </c>
      <c r="C1853" s="257" t="s">
        <v>10126</v>
      </c>
      <c r="D1853" s="9">
        <v>0.25951669999999999</v>
      </c>
      <c r="E1853" s="9">
        <v>17258998.467498779</v>
      </c>
      <c r="F1853" s="257" t="s">
        <v>14981</v>
      </c>
      <c r="G1853" s="9">
        <v>1</v>
      </c>
      <c r="H1853" s="257" t="s">
        <v>20019</v>
      </c>
      <c r="I1853" s="9">
        <v>1</v>
      </c>
    </row>
    <row r="1854" spans="1:9">
      <c r="A1854" s="257" t="s">
        <v>2952</v>
      </c>
      <c r="B1854" s="9">
        <v>0</v>
      </c>
      <c r="C1854" s="257" t="s">
        <v>10127</v>
      </c>
      <c r="D1854" s="9">
        <v>0.37892769999999998</v>
      </c>
      <c r="E1854" s="9">
        <v>17258998.467498779</v>
      </c>
      <c r="F1854" s="257" t="s">
        <v>14982</v>
      </c>
      <c r="G1854" s="9">
        <v>1</v>
      </c>
      <c r="H1854" s="257" t="s">
        <v>20020</v>
      </c>
      <c r="I1854" s="9">
        <v>1</v>
      </c>
    </row>
    <row r="1855" spans="1:9">
      <c r="A1855" s="257" t="s">
        <v>2953</v>
      </c>
      <c r="B1855" s="9">
        <v>0</v>
      </c>
      <c r="C1855" s="257" t="s">
        <v>10128</v>
      </c>
      <c r="D1855" s="9">
        <v>0.25951669999999999</v>
      </c>
      <c r="E1855" s="9">
        <v>17258998.467498779</v>
      </c>
      <c r="F1855" s="257" t="s">
        <v>14982</v>
      </c>
      <c r="G1855" s="9">
        <v>1</v>
      </c>
      <c r="H1855" s="257" t="s">
        <v>20021</v>
      </c>
      <c r="I1855" s="9">
        <v>1</v>
      </c>
    </row>
    <row r="1856" spans="1:9">
      <c r="A1856" s="257" t="s">
        <v>2954</v>
      </c>
      <c r="B1856" s="9">
        <v>0</v>
      </c>
      <c r="C1856" s="257" t="s">
        <v>10129</v>
      </c>
      <c r="D1856" s="9">
        <v>0.38517863561477284</v>
      </c>
      <c r="E1856" s="9">
        <v>17258998.467498779</v>
      </c>
      <c r="F1856" s="257" t="s">
        <v>14982</v>
      </c>
      <c r="G1856" s="9">
        <v>1</v>
      </c>
      <c r="H1856" s="257" t="s">
        <v>20022</v>
      </c>
      <c r="I1856" s="9">
        <v>1</v>
      </c>
    </row>
    <row r="1857" spans="1:9">
      <c r="A1857" s="257" t="s">
        <v>2955</v>
      </c>
      <c r="B1857" s="9">
        <v>0</v>
      </c>
      <c r="C1857" s="257" t="s">
        <v>10130</v>
      </c>
      <c r="D1857" s="9">
        <v>0.1142376654385979</v>
      </c>
      <c r="E1857" s="9">
        <v>17258998.467498779</v>
      </c>
      <c r="F1857" s="257" t="s">
        <v>14982</v>
      </c>
      <c r="G1857" s="9">
        <v>1</v>
      </c>
      <c r="H1857" s="257" t="s">
        <v>20022</v>
      </c>
      <c r="I1857" s="9">
        <v>1</v>
      </c>
    </row>
    <row r="1858" spans="1:9">
      <c r="A1858" s="257" t="s">
        <v>2956</v>
      </c>
      <c r="B1858" s="9">
        <v>0</v>
      </c>
      <c r="C1858" s="257" t="s">
        <v>10131</v>
      </c>
      <c r="D1858" s="9">
        <v>4.7356928719404057E-2</v>
      </c>
      <c r="E1858" s="9">
        <v>17258998.467498779</v>
      </c>
      <c r="F1858" s="257" t="s">
        <v>14982</v>
      </c>
      <c r="G1858" s="9">
        <v>1</v>
      </c>
      <c r="H1858" s="257" t="s">
        <v>20022</v>
      </c>
      <c r="I1858" s="9">
        <v>1</v>
      </c>
    </row>
    <row r="1859" spans="1:9">
      <c r="A1859" s="257" t="s">
        <v>2957</v>
      </c>
      <c r="B1859" s="9">
        <v>0</v>
      </c>
      <c r="C1859" s="257" t="s">
        <v>10132</v>
      </c>
      <c r="D1859" s="9">
        <v>0.37892769999999998</v>
      </c>
      <c r="E1859" s="9">
        <v>17258998.467498779</v>
      </c>
      <c r="F1859" s="257" t="s">
        <v>14983</v>
      </c>
      <c r="G1859" s="9">
        <v>1</v>
      </c>
      <c r="H1859" s="257" t="s">
        <v>20023</v>
      </c>
      <c r="I1859" s="9">
        <v>1</v>
      </c>
    </row>
    <row r="1860" spans="1:9">
      <c r="A1860" s="257" t="s">
        <v>2958</v>
      </c>
      <c r="B1860" s="9">
        <v>0</v>
      </c>
      <c r="C1860" s="257" t="s">
        <v>10133</v>
      </c>
      <c r="D1860" s="9">
        <v>0.25951669999999999</v>
      </c>
      <c r="E1860" s="9">
        <v>17258998.467498779</v>
      </c>
      <c r="F1860" s="257" t="s">
        <v>14983</v>
      </c>
      <c r="G1860" s="9">
        <v>1</v>
      </c>
      <c r="H1860" s="257" t="s">
        <v>20024</v>
      </c>
      <c r="I1860" s="9">
        <v>1</v>
      </c>
    </row>
    <row r="1861" spans="1:9">
      <c r="A1861" s="257" t="s">
        <v>2959</v>
      </c>
      <c r="B1861" s="9">
        <v>0</v>
      </c>
      <c r="C1861" s="257" t="s">
        <v>10134</v>
      </c>
      <c r="D1861" s="9">
        <v>0.38517863561477284</v>
      </c>
      <c r="E1861" s="9">
        <v>17258998.467498779</v>
      </c>
      <c r="F1861" s="257" t="s">
        <v>14983</v>
      </c>
      <c r="G1861" s="9">
        <v>1</v>
      </c>
      <c r="H1861" s="257" t="s">
        <v>20025</v>
      </c>
      <c r="I1861" s="9">
        <v>1</v>
      </c>
    </row>
    <row r="1862" spans="1:9">
      <c r="A1862" s="257" t="s">
        <v>2960</v>
      </c>
      <c r="B1862" s="9">
        <v>0</v>
      </c>
      <c r="C1862" s="257" t="s">
        <v>10135</v>
      </c>
      <c r="D1862" s="9">
        <v>0.1142376654385979</v>
      </c>
      <c r="E1862" s="9">
        <v>17258998.467498779</v>
      </c>
      <c r="F1862" s="257" t="s">
        <v>14983</v>
      </c>
      <c r="G1862" s="9">
        <v>1</v>
      </c>
      <c r="H1862" s="257" t="s">
        <v>20025</v>
      </c>
      <c r="I1862" s="9">
        <v>1</v>
      </c>
    </row>
    <row r="1863" spans="1:9">
      <c r="A1863" s="257" t="s">
        <v>2961</v>
      </c>
      <c r="B1863" s="9">
        <v>0</v>
      </c>
      <c r="C1863" s="257" t="s">
        <v>10136</v>
      </c>
      <c r="D1863" s="9">
        <v>4.7356928719404057E-2</v>
      </c>
      <c r="E1863" s="9">
        <v>17258998.467498779</v>
      </c>
      <c r="F1863" s="257" t="s">
        <v>14983</v>
      </c>
      <c r="G1863" s="9">
        <v>1</v>
      </c>
      <c r="H1863" s="257" t="s">
        <v>20025</v>
      </c>
      <c r="I1863" s="9">
        <v>1</v>
      </c>
    </row>
    <row r="1864" spans="1:9">
      <c r="A1864" s="257" t="s">
        <v>2962</v>
      </c>
      <c r="B1864" s="9">
        <v>0</v>
      </c>
      <c r="C1864" s="257" t="s">
        <v>10137</v>
      </c>
      <c r="D1864" s="9">
        <v>0.37892769999999998</v>
      </c>
      <c r="E1864" s="9">
        <v>17258998.467498779</v>
      </c>
      <c r="F1864" s="257" t="s">
        <v>14984</v>
      </c>
      <c r="G1864" s="9">
        <v>1</v>
      </c>
      <c r="H1864" s="257" t="s">
        <v>20026</v>
      </c>
      <c r="I1864" s="9">
        <v>1</v>
      </c>
    </row>
    <row r="1865" spans="1:9">
      <c r="A1865" s="257" t="s">
        <v>2963</v>
      </c>
      <c r="B1865" s="9">
        <v>0</v>
      </c>
      <c r="C1865" s="257" t="s">
        <v>10138</v>
      </c>
      <c r="D1865" s="9">
        <v>0.25951669999999999</v>
      </c>
      <c r="E1865" s="9">
        <v>17258998.467498779</v>
      </c>
      <c r="F1865" s="257" t="s">
        <v>14984</v>
      </c>
      <c r="G1865" s="9">
        <v>1</v>
      </c>
      <c r="H1865" s="257" t="s">
        <v>20027</v>
      </c>
      <c r="I1865" s="9">
        <v>1</v>
      </c>
    </row>
    <row r="1866" spans="1:9">
      <c r="A1866" s="257" t="s">
        <v>2964</v>
      </c>
      <c r="B1866" s="9">
        <v>0</v>
      </c>
      <c r="C1866" s="257" t="s">
        <v>10139</v>
      </c>
      <c r="D1866" s="9">
        <v>0.38517863561477284</v>
      </c>
      <c r="E1866" s="9">
        <v>17258998.467498779</v>
      </c>
      <c r="F1866" s="257" t="s">
        <v>14984</v>
      </c>
      <c r="G1866" s="9">
        <v>1</v>
      </c>
      <c r="H1866" s="257" t="s">
        <v>20028</v>
      </c>
      <c r="I1866" s="9">
        <v>1</v>
      </c>
    </row>
    <row r="1867" spans="1:9">
      <c r="A1867" s="257" t="s">
        <v>2965</v>
      </c>
      <c r="B1867" s="9">
        <v>0</v>
      </c>
      <c r="C1867" s="257" t="s">
        <v>10140</v>
      </c>
      <c r="D1867" s="9">
        <v>0.1142376654385979</v>
      </c>
      <c r="E1867" s="9">
        <v>17258998.467498779</v>
      </c>
      <c r="F1867" s="257" t="s">
        <v>14984</v>
      </c>
      <c r="G1867" s="9">
        <v>1</v>
      </c>
      <c r="H1867" s="257" t="s">
        <v>20028</v>
      </c>
      <c r="I1867" s="9">
        <v>1</v>
      </c>
    </row>
    <row r="1868" spans="1:9">
      <c r="A1868" s="257" t="s">
        <v>2966</v>
      </c>
      <c r="B1868" s="9">
        <v>0</v>
      </c>
      <c r="C1868" s="257" t="s">
        <v>10141</v>
      </c>
      <c r="D1868" s="9">
        <v>4.7356928719404057E-2</v>
      </c>
      <c r="E1868" s="9">
        <v>17258998.467498779</v>
      </c>
      <c r="F1868" s="257" t="s">
        <v>14984</v>
      </c>
      <c r="G1868" s="9">
        <v>1</v>
      </c>
      <c r="H1868" s="257" t="s">
        <v>20028</v>
      </c>
      <c r="I1868" s="9">
        <v>1</v>
      </c>
    </row>
    <row r="1869" spans="1:9">
      <c r="A1869" s="257" t="s">
        <v>2967</v>
      </c>
      <c r="B1869" s="9">
        <v>0</v>
      </c>
      <c r="C1869" s="257" t="s">
        <v>10142</v>
      </c>
      <c r="D1869" s="9">
        <v>0.37892769999999998</v>
      </c>
      <c r="E1869" s="9">
        <v>17258998.467498779</v>
      </c>
      <c r="F1869" s="257" t="s">
        <v>14985</v>
      </c>
      <c r="G1869" s="9">
        <v>1</v>
      </c>
      <c r="H1869" s="257" t="s">
        <v>20029</v>
      </c>
      <c r="I1869" s="9">
        <v>1</v>
      </c>
    </row>
    <row r="1870" spans="1:9">
      <c r="A1870" s="257" t="s">
        <v>2968</v>
      </c>
      <c r="B1870" s="9">
        <v>0</v>
      </c>
      <c r="C1870" s="257" t="s">
        <v>10143</v>
      </c>
      <c r="D1870" s="9">
        <v>0.25951669999999999</v>
      </c>
      <c r="E1870" s="9">
        <v>17258998.467498779</v>
      </c>
      <c r="F1870" s="257" t="s">
        <v>14985</v>
      </c>
      <c r="G1870" s="9">
        <v>1</v>
      </c>
      <c r="H1870" s="257" t="s">
        <v>20030</v>
      </c>
      <c r="I1870" s="9">
        <v>1</v>
      </c>
    </row>
    <row r="1871" spans="1:9">
      <c r="A1871" s="257" t="s">
        <v>2969</v>
      </c>
      <c r="B1871" s="9">
        <v>0</v>
      </c>
      <c r="C1871" s="257" t="s">
        <v>10144</v>
      </c>
      <c r="D1871" s="9">
        <v>0.38517863561477284</v>
      </c>
      <c r="E1871" s="9">
        <v>17258998.467498779</v>
      </c>
      <c r="F1871" s="257" t="s">
        <v>14985</v>
      </c>
      <c r="G1871" s="9">
        <v>1</v>
      </c>
      <c r="H1871" s="257" t="s">
        <v>20031</v>
      </c>
      <c r="I1871" s="9">
        <v>1</v>
      </c>
    </row>
    <row r="1872" spans="1:9">
      <c r="A1872" s="257" t="s">
        <v>2970</v>
      </c>
      <c r="B1872" s="9">
        <v>0</v>
      </c>
      <c r="C1872" s="257" t="s">
        <v>10145</v>
      </c>
      <c r="D1872" s="9">
        <v>0.1142376654385979</v>
      </c>
      <c r="E1872" s="9">
        <v>17258998.467498779</v>
      </c>
      <c r="F1872" s="257" t="s">
        <v>14985</v>
      </c>
      <c r="G1872" s="9">
        <v>1</v>
      </c>
      <c r="H1872" s="257" t="s">
        <v>20031</v>
      </c>
      <c r="I1872" s="9">
        <v>1</v>
      </c>
    </row>
    <row r="1873" spans="1:9">
      <c r="A1873" s="257" t="s">
        <v>2971</v>
      </c>
      <c r="B1873" s="9">
        <v>0</v>
      </c>
      <c r="C1873" s="257" t="s">
        <v>10146</v>
      </c>
      <c r="D1873" s="9">
        <v>4.7356928719404057E-2</v>
      </c>
      <c r="E1873" s="9">
        <v>17258998.467498779</v>
      </c>
      <c r="F1873" s="257" t="s">
        <v>14985</v>
      </c>
      <c r="G1873" s="9">
        <v>1</v>
      </c>
      <c r="H1873" s="257" t="s">
        <v>20031</v>
      </c>
      <c r="I1873" s="9">
        <v>1</v>
      </c>
    </row>
    <row r="1874" spans="1:9">
      <c r="A1874" s="257" t="s">
        <v>2972</v>
      </c>
      <c r="B1874" s="9">
        <v>0</v>
      </c>
      <c r="C1874" s="257" t="s">
        <v>10147</v>
      </c>
      <c r="D1874" s="9">
        <v>0.37892769999999998</v>
      </c>
      <c r="E1874" s="9">
        <v>17258998.467498779</v>
      </c>
      <c r="F1874" s="257" t="s">
        <v>14986</v>
      </c>
      <c r="G1874" s="9">
        <v>1</v>
      </c>
      <c r="H1874" s="257" t="s">
        <v>20032</v>
      </c>
      <c r="I1874" s="9">
        <v>1</v>
      </c>
    </row>
    <row r="1875" spans="1:9">
      <c r="A1875" s="257" t="s">
        <v>2973</v>
      </c>
      <c r="B1875" s="9">
        <v>0</v>
      </c>
      <c r="C1875" s="257" t="s">
        <v>10148</v>
      </c>
      <c r="D1875" s="9">
        <v>0.25951669999999999</v>
      </c>
      <c r="E1875" s="9">
        <v>17258998.467498779</v>
      </c>
      <c r="F1875" s="257" t="s">
        <v>14986</v>
      </c>
      <c r="G1875" s="9">
        <v>1</v>
      </c>
      <c r="H1875" s="257" t="s">
        <v>20033</v>
      </c>
      <c r="I1875" s="9">
        <v>1</v>
      </c>
    </row>
    <row r="1876" spans="1:9">
      <c r="A1876" s="257" t="s">
        <v>2974</v>
      </c>
      <c r="B1876" s="9">
        <v>0</v>
      </c>
      <c r="C1876" s="257" t="s">
        <v>10149</v>
      </c>
      <c r="D1876" s="9">
        <v>0.38517863561477284</v>
      </c>
      <c r="E1876" s="9">
        <v>17258998.467498779</v>
      </c>
      <c r="F1876" s="257" t="s">
        <v>14986</v>
      </c>
      <c r="G1876" s="9">
        <v>1</v>
      </c>
      <c r="H1876" s="257" t="s">
        <v>20034</v>
      </c>
      <c r="I1876" s="9">
        <v>1</v>
      </c>
    </row>
    <row r="1877" spans="1:9">
      <c r="A1877" s="257" t="s">
        <v>2975</v>
      </c>
      <c r="B1877" s="9">
        <v>0</v>
      </c>
      <c r="C1877" s="257" t="s">
        <v>10150</v>
      </c>
      <c r="D1877" s="9">
        <v>0.1142376654385979</v>
      </c>
      <c r="E1877" s="9">
        <v>17258998.467498779</v>
      </c>
      <c r="F1877" s="257" t="s">
        <v>14986</v>
      </c>
      <c r="G1877" s="9">
        <v>1</v>
      </c>
      <c r="H1877" s="257" t="s">
        <v>20034</v>
      </c>
      <c r="I1877" s="9">
        <v>1</v>
      </c>
    </row>
    <row r="1878" spans="1:9">
      <c r="A1878" s="257" t="s">
        <v>2976</v>
      </c>
      <c r="B1878" s="9">
        <v>0</v>
      </c>
      <c r="C1878" s="257" t="s">
        <v>10151</v>
      </c>
      <c r="D1878" s="9">
        <v>4.7356928719404057E-2</v>
      </c>
      <c r="E1878" s="9">
        <v>17258998.467498779</v>
      </c>
      <c r="F1878" s="257" t="s">
        <v>14986</v>
      </c>
      <c r="G1878" s="9">
        <v>1</v>
      </c>
      <c r="H1878" s="257" t="s">
        <v>20034</v>
      </c>
      <c r="I1878" s="9">
        <v>1</v>
      </c>
    </row>
    <row r="1879" spans="1:9">
      <c r="A1879" s="257" t="s">
        <v>2977</v>
      </c>
      <c r="B1879" s="9">
        <v>0</v>
      </c>
      <c r="C1879" s="257" t="s">
        <v>10152</v>
      </c>
      <c r="D1879" s="9">
        <v>0.37892769999999998</v>
      </c>
      <c r="E1879" s="9">
        <v>17258998.467498779</v>
      </c>
      <c r="F1879" s="257" t="s">
        <v>14987</v>
      </c>
      <c r="G1879" s="9">
        <v>1</v>
      </c>
      <c r="H1879" s="257" t="s">
        <v>20035</v>
      </c>
      <c r="I1879" s="9">
        <v>1</v>
      </c>
    </row>
    <row r="1880" spans="1:9">
      <c r="A1880" s="257" t="s">
        <v>2978</v>
      </c>
      <c r="B1880" s="9">
        <v>0</v>
      </c>
      <c r="C1880" s="257" t="s">
        <v>10153</v>
      </c>
      <c r="D1880" s="9">
        <v>0.25951669999999999</v>
      </c>
      <c r="E1880" s="9">
        <v>17258998.467498779</v>
      </c>
      <c r="F1880" s="257" t="s">
        <v>14987</v>
      </c>
      <c r="G1880" s="9">
        <v>1</v>
      </c>
      <c r="H1880" s="257" t="s">
        <v>20036</v>
      </c>
      <c r="I1880" s="9">
        <v>1</v>
      </c>
    </row>
    <row r="1881" spans="1:9">
      <c r="A1881" s="257" t="s">
        <v>2979</v>
      </c>
      <c r="B1881" s="9">
        <v>0</v>
      </c>
      <c r="C1881" s="257" t="s">
        <v>10154</v>
      </c>
      <c r="D1881" s="9">
        <v>0.38517863561477284</v>
      </c>
      <c r="E1881" s="9">
        <v>17258998.467498779</v>
      </c>
      <c r="F1881" s="257" t="s">
        <v>14987</v>
      </c>
      <c r="G1881" s="9">
        <v>1</v>
      </c>
      <c r="H1881" s="257" t="s">
        <v>20037</v>
      </c>
      <c r="I1881" s="9">
        <v>1</v>
      </c>
    </row>
    <row r="1882" spans="1:9">
      <c r="A1882" s="257" t="s">
        <v>2980</v>
      </c>
      <c r="B1882" s="9">
        <v>0</v>
      </c>
      <c r="C1882" s="257" t="s">
        <v>10155</v>
      </c>
      <c r="D1882" s="9">
        <v>0.1142376654385979</v>
      </c>
      <c r="E1882" s="9">
        <v>17258998.467498779</v>
      </c>
      <c r="F1882" s="257" t="s">
        <v>14987</v>
      </c>
      <c r="G1882" s="9">
        <v>1</v>
      </c>
      <c r="H1882" s="257" t="s">
        <v>20037</v>
      </c>
      <c r="I1882" s="9">
        <v>1</v>
      </c>
    </row>
    <row r="1883" spans="1:9">
      <c r="A1883" s="257" t="s">
        <v>2981</v>
      </c>
      <c r="B1883" s="9">
        <v>0</v>
      </c>
      <c r="C1883" s="257" t="s">
        <v>10156</v>
      </c>
      <c r="D1883" s="9">
        <v>4.7356928719404057E-2</v>
      </c>
      <c r="E1883" s="9">
        <v>17258998.467498779</v>
      </c>
      <c r="F1883" s="257" t="s">
        <v>14987</v>
      </c>
      <c r="G1883" s="9">
        <v>1</v>
      </c>
      <c r="H1883" s="257" t="s">
        <v>20037</v>
      </c>
      <c r="I1883" s="9">
        <v>1</v>
      </c>
    </row>
    <row r="1884" spans="1:9">
      <c r="A1884" s="257" t="s">
        <v>2982</v>
      </c>
      <c r="B1884" s="9">
        <v>0</v>
      </c>
      <c r="C1884" s="257" t="s">
        <v>10157</v>
      </c>
      <c r="D1884" s="9">
        <v>0.37892769999999998</v>
      </c>
      <c r="E1884" s="9">
        <v>17258998.467498779</v>
      </c>
      <c r="F1884" s="257" t="s">
        <v>14988</v>
      </c>
      <c r="G1884" s="9">
        <v>1</v>
      </c>
      <c r="H1884" s="257" t="s">
        <v>20038</v>
      </c>
      <c r="I1884" s="9">
        <v>1</v>
      </c>
    </row>
    <row r="1885" spans="1:9">
      <c r="A1885" s="257" t="s">
        <v>2983</v>
      </c>
      <c r="B1885" s="9">
        <v>0</v>
      </c>
      <c r="C1885" s="257" t="s">
        <v>10158</v>
      </c>
      <c r="D1885" s="9">
        <v>0.25951669999999999</v>
      </c>
      <c r="E1885" s="9">
        <v>17258998.467498779</v>
      </c>
      <c r="F1885" s="257" t="s">
        <v>14988</v>
      </c>
      <c r="G1885" s="9">
        <v>1</v>
      </c>
      <c r="H1885" s="257" t="s">
        <v>20039</v>
      </c>
      <c r="I1885" s="9">
        <v>1</v>
      </c>
    </row>
    <row r="1886" spans="1:9">
      <c r="A1886" s="257" t="s">
        <v>2984</v>
      </c>
      <c r="B1886" s="9">
        <v>0</v>
      </c>
      <c r="C1886" s="257" t="s">
        <v>10159</v>
      </c>
      <c r="D1886" s="9">
        <v>0.38517863561477284</v>
      </c>
      <c r="E1886" s="9">
        <v>17258998.467498779</v>
      </c>
      <c r="F1886" s="257" t="s">
        <v>14988</v>
      </c>
      <c r="G1886" s="9">
        <v>1</v>
      </c>
      <c r="H1886" s="257" t="s">
        <v>20040</v>
      </c>
      <c r="I1886" s="9">
        <v>1</v>
      </c>
    </row>
    <row r="1887" spans="1:9">
      <c r="A1887" s="257" t="s">
        <v>2985</v>
      </c>
      <c r="B1887" s="9">
        <v>0</v>
      </c>
      <c r="C1887" s="257" t="s">
        <v>10160</v>
      </c>
      <c r="D1887" s="9">
        <v>0.1142376654385979</v>
      </c>
      <c r="E1887" s="9">
        <v>17258998.467498779</v>
      </c>
      <c r="F1887" s="257" t="s">
        <v>14988</v>
      </c>
      <c r="G1887" s="9">
        <v>1</v>
      </c>
      <c r="H1887" s="257" t="s">
        <v>20040</v>
      </c>
      <c r="I1887" s="9">
        <v>1</v>
      </c>
    </row>
    <row r="1888" spans="1:9">
      <c r="A1888" s="257" t="s">
        <v>2986</v>
      </c>
      <c r="B1888" s="9">
        <v>0</v>
      </c>
      <c r="C1888" s="257" t="s">
        <v>10161</v>
      </c>
      <c r="D1888" s="9">
        <v>4.7356928719404057E-2</v>
      </c>
      <c r="E1888" s="9">
        <v>17258998.467498779</v>
      </c>
      <c r="F1888" s="257" t="s">
        <v>14988</v>
      </c>
      <c r="G1888" s="9">
        <v>1</v>
      </c>
      <c r="H1888" s="257" t="s">
        <v>20040</v>
      </c>
      <c r="I1888" s="9">
        <v>1</v>
      </c>
    </row>
    <row r="1889" spans="1:9">
      <c r="A1889" s="257" t="s">
        <v>2987</v>
      </c>
      <c r="B1889" s="9">
        <v>0</v>
      </c>
      <c r="C1889" s="257" t="s">
        <v>10162</v>
      </c>
      <c r="D1889" s="9">
        <v>0.37892769999999998</v>
      </c>
      <c r="E1889" s="9">
        <v>17258998.467498779</v>
      </c>
      <c r="F1889" s="257" t="s">
        <v>14989</v>
      </c>
      <c r="G1889" s="9">
        <v>1</v>
      </c>
      <c r="H1889" s="257" t="s">
        <v>20041</v>
      </c>
      <c r="I1889" s="9">
        <v>1</v>
      </c>
    </row>
    <row r="1890" spans="1:9">
      <c r="A1890" s="257" t="s">
        <v>2988</v>
      </c>
      <c r="B1890" s="9">
        <v>0</v>
      </c>
      <c r="C1890" s="257" t="s">
        <v>10163</v>
      </c>
      <c r="D1890" s="9">
        <v>0.25951669999999999</v>
      </c>
      <c r="E1890" s="9">
        <v>17258998.467498779</v>
      </c>
      <c r="F1890" s="257" t="s">
        <v>14989</v>
      </c>
      <c r="G1890" s="9">
        <v>1</v>
      </c>
      <c r="H1890" s="257" t="s">
        <v>20042</v>
      </c>
      <c r="I1890" s="9">
        <v>1</v>
      </c>
    </row>
    <row r="1891" spans="1:9">
      <c r="A1891" s="257" t="s">
        <v>2989</v>
      </c>
      <c r="B1891" s="9">
        <v>0</v>
      </c>
      <c r="C1891" s="257" t="s">
        <v>10164</v>
      </c>
      <c r="D1891" s="9">
        <v>0.38517863561477284</v>
      </c>
      <c r="E1891" s="9">
        <v>17258998.467498779</v>
      </c>
      <c r="F1891" s="257" t="s">
        <v>14989</v>
      </c>
      <c r="G1891" s="9">
        <v>1</v>
      </c>
      <c r="H1891" s="257" t="s">
        <v>20043</v>
      </c>
      <c r="I1891" s="9">
        <v>1</v>
      </c>
    </row>
    <row r="1892" spans="1:9">
      <c r="A1892" s="257" t="s">
        <v>2990</v>
      </c>
      <c r="B1892" s="9">
        <v>0</v>
      </c>
      <c r="C1892" s="257" t="s">
        <v>10165</v>
      </c>
      <c r="D1892" s="9">
        <v>0.1142376654385979</v>
      </c>
      <c r="E1892" s="9">
        <v>17258998.467498779</v>
      </c>
      <c r="F1892" s="257" t="s">
        <v>14989</v>
      </c>
      <c r="G1892" s="9">
        <v>1</v>
      </c>
      <c r="H1892" s="257" t="s">
        <v>20043</v>
      </c>
      <c r="I1892" s="9">
        <v>1</v>
      </c>
    </row>
    <row r="1893" spans="1:9">
      <c r="A1893" s="257" t="s">
        <v>2991</v>
      </c>
      <c r="B1893" s="9">
        <v>0</v>
      </c>
      <c r="C1893" s="257" t="s">
        <v>10166</v>
      </c>
      <c r="D1893" s="9">
        <v>4.7356928719404057E-2</v>
      </c>
      <c r="E1893" s="9">
        <v>17258998.467498779</v>
      </c>
      <c r="F1893" s="257" t="s">
        <v>14989</v>
      </c>
      <c r="G1893" s="9">
        <v>1</v>
      </c>
      <c r="H1893" s="257" t="s">
        <v>20043</v>
      </c>
      <c r="I1893" s="9">
        <v>1</v>
      </c>
    </row>
    <row r="1894" spans="1:9">
      <c r="A1894" s="257" t="s">
        <v>2992</v>
      </c>
      <c r="B1894" s="9">
        <v>0</v>
      </c>
      <c r="C1894" s="257" t="s">
        <v>10167</v>
      </c>
      <c r="D1894" s="9">
        <v>0.38126870000000002</v>
      </c>
      <c r="E1894" s="9">
        <v>17258998.467498779</v>
      </c>
      <c r="F1894" s="257" t="s">
        <v>14990</v>
      </c>
      <c r="G1894" s="9">
        <v>1</v>
      </c>
      <c r="H1894" s="257" t="s">
        <v>20044</v>
      </c>
      <c r="I1894" s="9">
        <v>1</v>
      </c>
    </row>
    <row r="1895" spans="1:9">
      <c r="A1895" s="257" t="s">
        <v>2993</v>
      </c>
      <c r="B1895" s="9">
        <v>0</v>
      </c>
      <c r="C1895" s="257" t="s">
        <v>10168</v>
      </c>
      <c r="D1895" s="9">
        <v>0.2627736</v>
      </c>
      <c r="E1895" s="9">
        <v>17258998.467498779</v>
      </c>
      <c r="F1895" s="257" t="s">
        <v>14990</v>
      </c>
      <c r="G1895" s="9">
        <v>1</v>
      </c>
      <c r="H1895" s="257" t="s">
        <v>20045</v>
      </c>
      <c r="I1895" s="9">
        <v>1</v>
      </c>
    </row>
    <row r="1896" spans="1:9">
      <c r="A1896" s="257" t="s">
        <v>2994</v>
      </c>
      <c r="B1896" s="9">
        <v>0</v>
      </c>
      <c r="C1896" s="257" t="s">
        <v>10169</v>
      </c>
      <c r="D1896" s="9">
        <v>0.37519280470675775</v>
      </c>
      <c r="E1896" s="9">
        <v>17258998.467498779</v>
      </c>
      <c r="F1896" s="257" t="s">
        <v>14990</v>
      </c>
      <c r="G1896" s="9">
        <v>1</v>
      </c>
      <c r="H1896" s="257" t="s">
        <v>20046</v>
      </c>
      <c r="I1896" s="9">
        <v>1</v>
      </c>
    </row>
    <row r="1897" spans="1:9">
      <c r="A1897" s="257" t="s">
        <v>2995</v>
      </c>
      <c r="B1897" s="9">
        <v>0</v>
      </c>
      <c r="C1897" s="257" t="s">
        <v>10170</v>
      </c>
      <c r="D1897" s="9">
        <v>0.11094568623245525</v>
      </c>
      <c r="E1897" s="9">
        <v>17258998.467498779</v>
      </c>
      <c r="F1897" s="257" t="s">
        <v>14990</v>
      </c>
      <c r="G1897" s="9">
        <v>1</v>
      </c>
      <c r="H1897" s="257" t="s">
        <v>20046</v>
      </c>
      <c r="I1897" s="9">
        <v>1</v>
      </c>
    </row>
    <row r="1898" spans="1:9">
      <c r="A1898" s="257" t="s">
        <v>2996</v>
      </c>
      <c r="B1898" s="9">
        <v>0</v>
      </c>
      <c r="C1898" s="257" t="s">
        <v>10171</v>
      </c>
      <c r="D1898" s="9">
        <v>4.5895637927136322E-2</v>
      </c>
      <c r="E1898" s="9">
        <v>17258998.467498779</v>
      </c>
      <c r="F1898" s="257" t="s">
        <v>14990</v>
      </c>
      <c r="G1898" s="9">
        <v>1</v>
      </c>
      <c r="H1898" s="257" t="s">
        <v>20046</v>
      </c>
      <c r="I1898" s="9">
        <v>1</v>
      </c>
    </row>
    <row r="1899" spans="1:9">
      <c r="A1899" s="257" t="s">
        <v>2997</v>
      </c>
      <c r="B1899" s="9">
        <v>0</v>
      </c>
      <c r="C1899" s="257" t="s">
        <v>10172</v>
      </c>
      <c r="D1899" s="9">
        <v>0.38126870000000002</v>
      </c>
      <c r="E1899" s="9">
        <v>17258998.467498779</v>
      </c>
      <c r="F1899" s="257" t="s">
        <v>14991</v>
      </c>
      <c r="G1899" s="9">
        <v>1</v>
      </c>
      <c r="H1899" s="257" t="s">
        <v>20047</v>
      </c>
      <c r="I1899" s="9">
        <v>1</v>
      </c>
    </row>
    <row r="1900" spans="1:9">
      <c r="A1900" s="257" t="s">
        <v>2998</v>
      </c>
      <c r="B1900" s="9">
        <v>0</v>
      </c>
      <c r="C1900" s="257" t="s">
        <v>10173</v>
      </c>
      <c r="D1900" s="9">
        <v>0.2627736</v>
      </c>
      <c r="E1900" s="9">
        <v>17258998.467498779</v>
      </c>
      <c r="F1900" s="257" t="s">
        <v>14991</v>
      </c>
      <c r="G1900" s="9">
        <v>1</v>
      </c>
      <c r="H1900" s="257" t="s">
        <v>20048</v>
      </c>
      <c r="I1900" s="9">
        <v>1</v>
      </c>
    </row>
    <row r="1901" spans="1:9">
      <c r="A1901" s="257" t="s">
        <v>2999</v>
      </c>
      <c r="B1901" s="9">
        <v>0</v>
      </c>
      <c r="C1901" s="257" t="s">
        <v>10174</v>
      </c>
      <c r="D1901" s="9">
        <v>0.37519280470675775</v>
      </c>
      <c r="E1901" s="9">
        <v>17258998.467498779</v>
      </c>
      <c r="F1901" s="257" t="s">
        <v>14991</v>
      </c>
      <c r="G1901" s="9">
        <v>1</v>
      </c>
      <c r="H1901" s="257" t="s">
        <v>20049</v>
      </c>
      <c r="I1901" s="9">
        <v>1</v>
      </c>
    </row>
    <row r="1902" spans="1:9">
      <c r="A1902" s="257" t="s">
        <v>3000</v>
      </c>
      <c r="B1902" s="9">
        <v>0</v>
      </c>
      <c r="C1902" s="257" t="s">
        <v>10175</v>
      </c>
      <c r="D1902" s="9">
        <v>0.11094568623245525</v>
      </c>
      <c r="E1902" s="9">
        <v>17258998.467498779</v>
      </c>
      <c r="F1902" s="257" t="s">
        <v>14991</v>
      </c>
      <c r="G1902" s="9">
        <v>1</v>
      </c>
      <c r="H1902" s="257" t="s">
        <v>20049</v>
      </c>
      <c r="I1902" s="9">
        <v>1</v>
      </c>
    </row>
    <row r="1903" spans="1:9">
      <c r="A1903" s="257" t="s">
        <v>3001</v>
      </c>
      <c r="B1903" s="9">
        <v>0</v>
      </c>
      <c r="C1903" s="257" t="s">
        <v>10176</v>
      </c>
      <c r="D1903" s="9">
        <v>4.5895637927136322E-2</v>
      </c>
      <c r="E1903" s="9">
        <v>17258998.467498779</v>
      </c>
      <c r="F1903" s="257" t="s">
        <v>14991</v>
      </c>
      <c r="G1903" s="9">
        <v>1</v>
      </c>
      <c r="H1903" s="257" t="s">
        <v>20049</v>
      </c>
      <c r="I1903" s="9">
        <v>1</v>
      </c>
    </row>
    <row r="1904" spans="1:9">
      <c r="A1904" s="257" t="s">
        <v>3002</v>
      </c>
      <c r="B1904" s="9">
        <v>0</v>
      </c>
      <c r="C1904" s="257" t="s">
        <v>10177</v>
      </c>
      <c r="D1904" s="9">
        <v>0.38517863561477284</v>
      </c>
      <c r="E1904" s="9">
        <v>17258998.467498779</v>
      </c>
      <c r="F1904" s="257" t="s">
        <v>14992</v>
      </c>
      <c r="G1904" s="9">
        <v>1</v>
      </c>
      <c r="H1904" s="257" t="s">
        <v>20049</v>
      </c>
      <c r="I1904" s="9">
        <v>1</v>
      </c>
    </row>
    <row r="1905" spans="1:9">
      <c r="A1905" s="257" t="s">
        <v>3003</v>
      </c>
      <c r="B1905" s="9">
        <v>0</v>
      </c>
      <c r="C1905" s="257" t="s">
        <v>10178</v>
      </c>
      <c r="D1905" s="9">
        <v>0.1142376654385979</v>
      </c>
      <c r="E1905" s="9">
        <v>17258998.467498779</v>
      </c>
      <c r="F1905" s="257" t="s">
        <v>14992</v>
      </c>
      <c r="G1905" s="9">
        <v>1</v>
      </c>
      <c r="H1905" s="257" t="s">
        <v>20049</v>
      </c>
      <c r="I1905" s="9">
        <v>1</v>
      </c>
    </row>
    <row r="1906" spans="1:9">
      <c r="A1906" s="257" t="s">
        <v>3004</v>
      </c>
      <c r="B1906" s="9">
        <v>0</v>
      </c>
      <c r="C1906" s="257" t="s">
        <v>10179</v>
      </c>
      <c r="D1906" s="9">
        <v>4.7356928719404057E-2</v>
      </c>
      <c r="E1906" s="9">
        <v>17258998.467498779</v>
      </c>
      <c r="F1906" s="257" t="s">
        <v>14992</v>
      </c>
      <c r="G1906" s="9">
        <v>1</v>
      </c>
      <c r="H1906" s="257" t="s">
        <v>20049</v>
      </c>
      <c r="I1906" s="9">
        <v>1</v>
      </c>
    </row>
    <row r="1907" spans="1:9">
      <c r="A1907" s="257" t="s">
        <v>3005</v>
      </c>
      <c r="B1907" s="9">
        <v>0</v>
      </c>
      <c r="C1907" s="257" t="s">
        <v>10180</v>
      </c>
      <c r="D1907" s="9">
        <v>0.37870510000000002</v>
      </c>
      <c r="E1907" s="9">
        <v>17258998.467498779</v>
      </c>
      <c r="F1907" s="257" t="s">
        <v>14993</v>
      </c>
      <c r="G1907" s="9">
        <v>1</v>
      </c>
      <c r="H1907" s="257" t="s">
        <v>20050</v>
      </c>
      <c r="I1907" s="9">
        <v>1</v>
      </c>
    </row>
    <row r="1908" spans="1:9">
      <c r="A1908" s="257" t="s">
        <v>3006</v>
      </c>
      <c r="B1908" s="9">
        <v>0</v>
      </c>
      <c r="C1908" s="257" t="s">
        <v>10181</v>
      </c>
      <c r="D1908" s="9">
        <v>0.25905030000000001</v>
      </c>
      <c r="E1908" s="9">
        <v>17258998.467498779</v>
      </c>
      <c r="F1908" s="257" t="s">
        <v>14993</v>
      </c>
      <c r="G1908" s="9">
        <v>1</v>
      </c>
      <c r="H1908" s="257" t="s">
        <v>20051</v>
      </c>
      <c r="I1908" s="9">
        <v>1</v>
      </c>
    </row>
    <row r="1909" spans="1:9">
      <c r="A1909" s="257" t="s">
        <v>3007</v>
      </c>
      <c r="B1909" s="9">
        <v>0</v>
      </c>
      <c r="C1909" s="257" t="s">
        <v>10182</v>
      </c>
      <c r="D1909" s="9">
        <v>0.38126870000000002</v>
      </c>
      <c r="E1909" s="9">
        <v>17258998.467498779</v>
      </c>
      <c r="F1909" s="257" t="s">
        <v>14994</v>
      </c>
      <c r="G1909" s="9">
        <v>1</v>
      </c>
      <c r="H1909" s="257" t="s">
        <v>20052</v>
      </c>
      <c r="I1909" s="9">
        <v>1</v>
      </c>
    </row>
    <row r="1910" spans="1:9">
      <c r="A1910" s="257" t="s">
        <v>3008</v>
      </c>
      <c r="B1910" s="9">
        <v>0</v>
      </c>
      <c r="C1910" s="257" t="s">
        <v>10183</v>
      </c>
      <c r="D1910" s="9">
        <v>0.2627736</v>
      </c>
      <c r="E1910" s="9">
        <v>17258998.467498779</v>
      </c>
      <c r="F1910" s="257" t="s">
        <v>14994</v>
      </c>
      <c r="G1910" s="9">
        <v>1</v>
      </c>
      <c r="H1910" s="257" t="s">
        <v>20053</v>
      </c>
      <c r="I1910" s="9">
        <v>1</v>
      </c>
    </row>
    <row r="1911" spans="1:9">
      <c r="A1911" s="257" t="s">
        <v>3009</v>
      </c>
      <c r="B1911" s="9">
        <v>0</v>
      </c>
      <c r="C1911" s="257" t="s">
        <v>10184</v>
      </c>
      <c r="D1911" s="9">
        <v>0.37519280470675775</v>
      </c>
      <c r="E1911" s="9">
        <v>17258998.467498779</v>
      </c>
      <c r="F1911" s="257" t="s">
        <v>14994</v>
      </c>
      <c r="G1911" s="9">
        <v>1</v>
      </c>
      <c r="H1911" s="257" t="s">
        <v>20054</v>
      </c>
      <c r="I1911" s="9">
        <v>1</v>
      </c>
    </row>
    <row r="1912" spans="1:9">
      <c r="A1912" s="257" t="s">
        <v>3010</v>
      </c>
      <c r="B1912" s="9">
        <v>0</v>
      </c>
      <c r="C1912" s="257" t="s">
        <v>10185</v>
      </c>
      <c r="D1912" s="9">
        <v>0.11094568623245525</v>
      </c>
      <c r="E1912" s="9">
        <v>17258998.467498779</v>
      </c>
      <c r="F1912" s="257" t="s">
        <v>14994</v>
      </c>
      <c r="G1912" s="9">
        <v>1</v>
      </c>
      <c r="H1912" s="257" t="s">
        <v>20054</v>
      </c>
      <c r="I1912" s="9">
        <v>1</v>
      </c>
    </row>
    <row r="1913" spans="1:9">
      <c r="A1913" s="257" t="s">
        <v>3011</v>
      </c>
      <c r="B1913" s="9">
        <v>0</v>
      </c>
      <c r="C1913" s="257" t="s">
        <v>10186</v>
      </c>
      <c r="D1913" s="9">
        <v>4.5895637927136322E-2</v>
      </c>
      <c r="E1913" s="9">
        <v>17258998.467498779</v>
      </c>
      <c r="F1913" s="257" t="s">
        <v>14994</v>
      </c>
      <c r="G1913" s="9">
        <v>1</v>
      </c>
      <c r="H1913" s="257" t="s">
        <v>20054</v>
      </c>
      <c r="I1913" s="9">
        <v>1</v>
      </c>
    </row>
    <row r="1914" spans="1:9">
      <c r="A1914" s="257" t="s">
        <v>3012</v>
      </c>
      <c r="B1914" s="9">
        <v>0</v>
      </c>
      <c r="C1914" s="257" t="s">
        <v>10187</v>
      </c>
      <c r="D1914" s="9">
        <v>0.37809789999999999</v>
      </c>
      <c r="E1914" s="9">
        <v>17258998.467498779</v>
      </c>
      <c r="F1914" s="257" t="s">
        <v>14995</v>
      </c>
      <c r="G1914" s="9">
        <v>1</v>
      </c>
      <c r="H1914" s="257" t="s">
        <v>20055</v>
      </c>
      <c r="I1914" s="9">
        <v>1</v>
      </c>
    </row>
    <row r="1915" spans="1:9">
      <c r="A1915" s="257" t="s">
        <v>3013</v>
      </c>
      <c r="B1915" s="9">
        <v>0</v>
      </c>
      <c r="C1915" s="257" t="s">
        <v>10188</v>
      </c>
      <c r="D1915" s="9">
        <v>0.2581097</v>
      </c>
      <c r="E1915" s="9">
        <v>17258998.467498779</v>
      </c>
      <c r="F1915" s="257" t="s">
        <v>14995</v>
      </c>
      <c r="G1915" s="9">
        <v>1</v>
      </c>
      <c r="H1915" s="257" t="s">
        <v>20056</v>
      </c>
      <c r="I1915" s="9">
        <v>1</v>
      </c>
    </row>
    <row r="1916" spans="1:9">
      <c r="A1916" s="257" t="s">
        <v>3014</v>
      </c>
      <c r="B1916" s="9">
        <v>0</v>
      </c>
      <c r="C1916" s="257" t="s">
        <v>10189</v>
      </c>
      <c r="D1916" s="9">
        <v>0.38678070822009847</v>
      </c>
      <c r="E1916" s="9">
        <v>17258998.467498779</v>
      </c>
      <c r="F1916" s="257" t="s">
        <v>14995</v>
      </c>
      <c r="G1916" s="9">
        <v>1</v>
      </c>
      <c r="H1916" s="257" t="s">
        <v>20057</v>
      </c>
      <c r="I1916" s="9">
        <v>1</v>
      </c>
    </row>
    <row r="1917" spans="1:9">
      <c r="A1917" s="257" t="s">
        <v>3015</v>
      </c>
      <c r="B1917" s="9">
        <v>0</v>
      </c>
      <c r="C1917" s="257" t="s">
        <v>10190</v>
      </c>
      <c r="D1917" s="9">
        <v>0.11470952222933178</v>
      </c>
      <c r="E1917" s="9">
        <v>17258998.467498779</v>
      </c>
      <c r="F1917" s="257" t="s">
        <v>14995</v>
      </c>
      <c r="G1917" s="9">
        <v>1</v>
      </c>
      <c r="H1917" s="257" t="s">
        <v>20057</v>
      </c>
      <c r="I1917" s="9">
        <v>1</v>
      </c>
    </row>
    <row r="1918" spans="1:9">
      <c r="A1918" s="257" t="s">
        <v>3016</v>
      </c>
      <c r="B1918" s="9">
        <v>0</v>
      </c>
      <c r="C1918" s="257" t="s">
        <v>10191</v>
      </c>
      <c r="D1918" s="9">
        <v>4.7578913242644391E-2</v>
      </c>
      <c r="E1918" s="9">
        <v>17258998.467498779</v>
      </c>
      <c r="F1918" s="257" t="s">
        <v>14995</v>
      </c>
      <c r="G1918" s="9">
        <v>1</v>
      </c>
      <c r="H1918" s="257" t="s">
        <v>20057</v>
      </c>
      <c r="I1918" s="9">
        <v>1</v>
      </c>
    </row>
    <row r="1919" spans="1:9">
      <c r="A1919" s="257" t="s">
        <v>3017</v>
      </c>
      <c r="B1919" s="9">
        <v>0</v>
      </c>
      <c r="C1919" s="257" t="s">
        <v>10192</v>
      </c>
      <c r="D1919" s="9">
        <v>0.3820984</v>
      </c>
      <c r="E1919" s="9">
        <v>17258998.467498779</v>
      </c>
      <c r="F1919" s="257" t="s">
        <v>14996</v>
      </c>
      <c r="G1919" s="9">
        <v>1</v>
      </c>
      <c r="H1919" s="257" t="s">
        <v>20058</v>
      </c>
      <c r="I1919" s="9">
        <v>1</v>
      </c>
    </row>
    <row r="1920" spans="1:9">
      <c r="A1920" s="257" t="s">
        <v>3018</v>
      </c>
      <c r="B1920" s="9">
        <v>0</v>
      </c>
      <c r="C1920" s="257" t="s">
        <v>10193</v>
      </c>
      <c r="D1920" s="9">
        <v>0.2641908</v>
      </c>
      <c r="E1920" s="9">
        <v>17258998.467498779</v>
      </c>
      <c r="F1920" s="257" t="s">
        <v>14996</v>
      </c>
      <c r="G1920" s="9">
        <v>1</v>
      </c>
      <c r="H1920" s="257" t="s">
        <v>20059</v>
      </c>
      <c r="I1920" s="9">
        <v>1</v>
      </c>
    </row>
    <row r="1921" spans="1:9">
      <c r="A1921" s="257" t="s">
        <v>3019</v>
      </c>
      <c r="B1921" s="9">
        <v>0</v>
      </c>
      <c r="C1921" s="257" t="s">
        <v>10194</v>
      </c>
      <c r="D1921" s="9">
        <v>0.37393211838184826</v>
      </c>
      <c r="E1921" s="9">
        <v>17258998.467498779</v>
      </c>
      <c r="F1921" s="257" t="s">
        <v>14996</v>
      </c>
      <c r="G1921" s="9">
        <v>1</v>
      </c>
      <c r="H1921" s="257" t="s">
        <v>20060</v>
      </c>
      <c r="I1921" s="9">
        <v>1</v>
      </c>
    </row>
    <row r="1922" spans="1:9">
      <c r="A1922" s="257" t="s">
        <v>3020</v>
      </c>
      <c r="B1922" s="9">
        <v>0</v>
      </c>
      <c r="C1922" s="257" t="s">
        <v>10195</v>
      </c>
      <c r="D1922" s="9">
        <v>0.11051863131660218</v>
      </c>
      <c r="E1922" s="9">
        <v>17258998.467498779</v>
      </c>
      <c r="F1922" s="257" t="s">
        <v>14996</v>
      </c>
      <c r="G1922" s="9">
        <v>1</v>
      </c>
      <c r="H1922" s="257" t="s">
        <v>20060</v>
      </c>
      <c r="I1922" s="9">
        <v>1</v>
      </c>
    </row>
    <row r="1923" spans="1:9">
      <c r="A1923" s="257" t="s">
        <v>3021</v>
      </c>
      <c r="B1923" s="9">
        <v>0</v>
      </c>
      <c r="C1923" s="257" t="s">
        <v>10196</v>
      </c>
      <c r="D1923" s="9">
        <v>4.5700986485834323E-2</v>
      </c>
      <c r="E1923" s="9">
        <v>17258998.467498779</v>
      </c>
      <c r="F1923" s="257" t="s">
        <v>14996</v>
      </c>
      <c r="G1923" s="9">
        <v>1</v>
      </c>
      <c r="H1923" s="257" t="s">
        <v>20060</v>
      </c>
      <c r="I1923" s="9">
        <v>1</v>
      </c>
    </row>
    <row r="1924" spans="1:9">
      <c r="A1924" s="257" t="s">
        <v>3022</v>
      </c>
      <c r="B1924" s="9">
        <v>0</v>
      </c>
      <c r="C1924" s="257" t="s">
        <v>10197</v>
      </c>
      <c r="D1924" s="9">
        <v>0.3820984</v>
      </c>
      <c r="E1924" s="9">
        <v>17258998.467498779</v>
      </c>
      <c r="F1924" s="257" t="s">
        <v>14997</v>
      </c>
      <c r="G1924" s="9">
        <v>1</v>
      </c>
      <c r="H1924" s="257" t="s">
        <v>20061</v>
      </c>
      <c r="I1924" s="9">
        <v>1</v>
      </c>
    </row>
    <row r="1925" spans="1:9">
      <c r="A1925" s="257" t="s">
        <v>3023</v>
      </c>
      <c r="B1925" s="9">
        <v>0</v>
      </c>
      <c r="C1925" s="257" t="s">
        <v>10198</v>
      </c>
      <c r="D1925" s="9">
        <v>0.2641908</v>
      </c>
      <c r="E1925" s="9">
        <v>17258998.467498779</v>
      </c>
      <c r="F1925" s="257" t="s">
        <v>14997</v>
      </c>
      <c r="G1925" s="9">
        <v>1</v>
      </c>
      <c r="H1925" s="257" t="s">
        <v>20062</v>
      </c>
      <c r="I1925" s="9">
        <v>1</v>
      </c>
    </row>
    <row r="1926" spans="1:9">
      <c r="A1926" s="257" t="s">
        <v>3024</v>
      </c>
      <c r="B1926" s="9">
        <v>0</v>
      </c>
      <c r="C1926" s="257" t="s">
        <v>10199</v>
      </c>
      <c r="D1926" s="9">
        <v>0.37393211838184826</v>
      </c>
      <c r="E1926" s="9">
        <v>17258998.467498779</v>
      </c>
      <c r="F1926" s="257" t="s">
        <v>14997</v>
      </c>
      <c r="G1926" s="9">
        <v>1</v>
      </c>
      <c r="H1926" s="257" t="s">
        <v>20063</v>
      </c>
      <c r="I1926" s="9">
        <v>1</v>
      </c>
    </row>
    <row r="1927" spans="1:9">
      <c r="A1927" s="257" t="s">
        <v>3025</v>
      </c>
      <c r="B1927" s="9">
        <v>0</v>
      </c>
      <c r="C1927" s="257" t="s">
        <v>10200</v>
      </c>
      <c r="D1927" s="9">
        <v>0.11051863131660218</v>
      </c>
      <c r="E1927" s="9">
        <v>17258998.467498779</v>
      </c>
      <c r="F1927" s="257" t="s">
        <v>14997</v>
      </c>
      <c r="G1927" s="9">
        <v>1</v>
      </c>
      <c r="H1927" s="257" t="s">
        <v>20063</v>
      </c>
      <c r="I1927" s="9">
        <v>1</v>
      </c>
    </row>
    <row r="1928" spans="1:9">
      <c r="A1928" s="257" t="s">
        <v>3026</v>
      </c>
      <c r="B1928" s="9">
        <v>0</v>
      </c>
      <c r="C1928" s="257" t="s">
        <v>10201</v>
      </c>
      <c r="D1928" s="9">
        <v>4.5700986485834323E-2</v>
      </c>
      <c r="E1928" s="9">
        <v>17258998.467498779</v>
      </c>
      <c r="F1928" s="257" t="s">
        <v>14997</v>
      </c>
      <c r="G1928" s="9">
        <v>1</v>
      </c>
      <c r="H1928" s="257" t="s">
        <v>20063</v>
      </c>
      <c r="I1928" s="9">
        <v>1</v>
      </c>
    </row>
    <row r="1929" spans="1:9">
      <c r="A1929" s="257" t="s">
        <v>3027</v>
      </c>
      <c r="B1929" s="9">
        <v>0</v>
      </c>
      <c r="C1929" s="257" t="s">
        <v>10202</v>
      </c>
      <c r="D1929" s="9">
        <v>0.38057469999999999</v>
      </c>
      <c r="E1929" s="9">
        <v>17258998.467498779</v>
      </c>
      <c r="F1929" s="257" t="s">
        <v>14998</v>
      </c>
      <c r="G1929" s="9">
        <v>1</v>
      </c>
      <c r="H1929" s="257" t="s">
        <v>20064</v>
      </c>
      <c r="I1929" s="9">
        <v>1</v>
      </c>
    </row>
    <row r="1930" spans="1:9">
      <c r="A1930" s="257" t="s">
        <v>3028</v>
      </c>
      <c r="B1930" s="9">
        <v>0</v>
      </c>
      <c r="C1930" s="257" t="s">
        <v>10203</v>
      </c>
      <c r="D1930" s="9">
        <v>0.26169619999999999</v>
      </c>
      <c r="E1930" s="9">
        <v>17258998.467498779</v>
      </c>
      <c r="F1930" s="257" t="s">
        <v>14998</v>
      </c>
      <c r="G1930" s="9">
        <v>1</v>
      </c>
      <c r="H1930" s="257" t="s">
        <v>20065</v>
      </c>
      <c r="I1930" s="9">
        <v>1</v>
      </c>
    </row>
    <row r="1931" spans="1:9">
      <c r="A1931" s="257" t="s">
        <v>3029</v>
      </c>
      <c r="B1931" s="9">
        <v>0</v>
      </c>
      <c r="C1931" s="257" t="s">
        <v>10204</v>
      </c>
      <c r="D1931" s="9">
        <v>0.38001512100901252</v>
      </c>
      <c r="E1931" s="9">
        <v>17258998.467498779</v>
      </c>
      <c r="F1931" s="257" t="s">
        <v>14998</v>
      </c>
      <c r="G1931" s="9">
        <v>1</v>
      </c>
      <c r="H1931" s="257" t="s">
        <v>20066</v>
      </c>
      <c r="I1931" s="9">
        <v>1</v>
      </c>
    </row>
    <row r="1932" spans="1:9">
      <c r="A1932" s="257" t="s">
        <v>3030</v>
      </c>
      <c r="B1932" s="9">
        <v>0</v>
      </c>
      <c r="C1932" s="257" t="s">
        <v>10205</v>
      </c>
      <c r="D1932" s="9">
        <v>0.11236606912163653</v>
      </c>
      <c r="E1932" s="9">
        <v>17258998.467498779</v>
      </c>
      <c r="F1932" s="257" t="s">
        <v>14998</v>
      </c>
      <c r="G1932" s="9">
        <v>1</v>
      </c>
      <c r="H1932" s="257" t="s">
        <v>20066</v>
      </c>
      <c r="I1932" s="9">
        <v>1</v>
      </c>
    </row>
    <row r="1933" spans="1:9">
      <c r="A1933" s="257" t="s">
        <v>3031</v>
      </c>
      <c r="B1933" s="9">
        <v>0</v>
      </c>
      <c r="C1933" s="257" t="s">
        <v>10206</v>
      </c>
      <c r="D1933" s="9">
        <v>4.6571935436848039E-2</v>
      </c>
      <c r="E1933" s="9">
        <v>17258998.467498779</v>
      </c>
      <c r="F1933" s="257" t="s">
        <v>14998</v>
      </c>
      <c r="G1933" s="9">
        <v>1</v>
      </c>
      <c r="H1933" s="257" t="s">
        <v>20066</v>
      </c>
      <c r="I1933" s="9">
        <v>1</v>
      </c>
    </row>
    <row r="1934" spans="1:9">
      <c r="A1934" s="257" t="s">
        <v>3032</v>
      </c>
      <c r="B1934" s="9">
        <v>0</v>
      </c>
      <c r="C1934" s="257" t="s">
        <v>10207</v>
      </c>
      <c r="D1934" s="9">
        <v>0.38057469999999999</v>
      </c>
      <c r="E1934" s="9">
        <v>17258998.467498779</v>
      </c>
      <c r="F1934" s="257" t="s">
        <v>14999</v>
      </c>
      <c r="G1934" s="9">
        <v>1</v>
      </c>
      <c r="H1934" s="257" t="s">
        <v>20067</v>
      </c>
      <c r="I1934" s="9">
        <v>1</v>
      </c>
    </row>
    <row r="1935" spans="1:9">
      <c r="A1935" s="257" t="s">
        <v>3033</v>
      </c>
      <c r="B1935" s="9">
        <v>0</v>
      </c>
      <c r="C1935" s="257" t="s">
        <v>10208</v>
      </c>
      <c r="D1935" s="9">
        <v>0.26169619999999999</v>
      </c>
      <c r="E1935" s="9">
        <v>17258998.467498779</v>
      </c>
      <c r="F1935" s="257" t="s">
        <v>14999</v>
      </c>
      <c r="G1935" s="9">
        <v>1</v>
      </c>
      <c r="H1935" s="257" t="s">
        <v>20068</v>
      </c>
      <c r="I1935" s="9">
        <v>1</v>
      </c>
    </row>
    <row r="1936" spans="1:9">
      <c r="A1936" s="257" t="s">
        <v>3034</v>
      </c>
      <c r="B1936" s="9">
        <v>0</v>
      </c>
      <c r="C1936" s="257" t="s">
        <v>10209</v>
      </c>
      <c r="D1936" s="9">
        <v>0.38001512100901252</v>
      </c>
      <c r="E1936" s="9">
        <v>17258998.467498779</v>
      </c>
      <c r="F1936" s="257" t="s">
        <v>14999</v>
      </c>
      <c r="G1936" s="9">
        <v>1</v>
      </c>
      <c r="H1936" s="257" t="s">
        <v>20069</v>
      </c>
      <c r="I1936" s="9">
        <v>1</v>
      </c>
    </row>
    <row r="1937" spans="1:9">
      <c r="A1937" s="257" t="s">
        <v>3035</v>
      </c>
      <c r="B1937" s="9">
        <v>0</v>
      </c>
      <c r="C1937" s="257" t="s">
        <v>10210</v>
      </c>
      <c r="D1937" s="9">
        <v>0.11236606912163653</v>
      </c>
      <c r="E1937" s="9">
        <v>17258998.467498779</v>
      </c>
      <c r="F1937" s="257" t="s">
        <v>14999</v>
      </c>
      <c r="G1937" s="9">
        <v>1</v>
      </c>
      <c r="H1937" s="257" t="s">
        <v>20069</v>
      </c>
      <c r="I1937" s="9">
        <v>1</v>
      </c>
    </row>
    <row r="1938" spans="1:9">
      <c r="A1938" s="257" t="s">
        <v>3036</v>
      </c>
      <c r="B1938" s="9">
        <v>0</v>
      </c>
      <c r="C1938" s="257" t="s">
        <v>10211</v>
      </c>
      <c r="D1938" s="9">
        <v>4.6571935436848039E-2</v>
      </c>
      <c r="E1938" s="9">
        <v>17258998.467498779</v>
      </c>
      <c r="F1938" s="257" t="s">
        <v>14999</v>
      </c>
      <c r="G1938" s="9">
        <v>1</v>
      </c>
      <c r="H1938" s="257" t="s">
        <v>20069</v>
      </c>
      <c r="I1938" s="9">
        <v>1</v>
      </c>
    </row>
    <row r="1939" spans="1:9">
      <c r="A1939" s="257" t="s">
        <v>3037</v>
      </c>
      <c r="B1939" s="9">
        <v>0</v>
      </c>
      <c r="C1939" s="257" t="s">
        <v>10212</v>
      </c>
      <c r="D1939" s="9">
        <v>0.3796427</v>
      </c>
      <c r="E1939" s="9">
        <v>17258998.467498779</v>
      </c>
      <c r="F1939" s="257" t="s">
        <v>15000</v>
      </c>
      <c r="G1939" s="9">
        <v>1</v>
      </c>
      <c r="H1939" s="257" t="s">
        <v>20070</v>
      </c>
      <c r="I1939" s="9">
        <v>1</v>
      </c>
    </row>
    <row r="1940" spans="1:9">
      <c r="A1940" s="257" t="s">
        <v>3038</v>
      </c>
      <c r="B1940" s="9">
        <v>0</v>
      </c>
      <c r="C1940" s="257" t="s">
        <v>10213</v>
      </c>
      <c r="D1940" s="9">
        <v>0.26062059999999998</v>
      </c>
      <c r="E1940" s="9">
        <v>17258998.467498779</v>
      </c>
      <c r="F1940" s="257" t="s">
        <v>15000</v>
      </c>
      <c r="G1940" s="9">
        <v>1</v>
      </c>
      <c r="H1940" s="257" t="s">
        <v>20071</v>
      </c>
      <c r="I1940" s="9">
        <v>1</v>
      </c>
    </row>
    <row r="1941" spans="1:9">
      <c r="A1941" s="257" t="s">
        <v>3039</v>
      </c>
      <c r="B1941" s="9">
        <v>0</v>
      </c>
      <c r="C1941" s="257" t="s">
        <v>10214</v>
      </c>
      <c r="D1941" s="9">
        <v>0.38186104988999731</v>
      </c>
      <c r="E1941" s="9">
        <v>17258998.467498779</v>
      </c>
      <c r="F1941" s="257" t="s">
        <v>15000</v>
      </c>
      <c r="G1941" s="9">
        <v>1</v>
      </c>
      <c r="H1941" s="257" t="s">
        <v>20072</v>
      </c>
      <c r="I1941" s="9">
        <v>1</v>
      </c>
    </row>
    <row r="1942" spans="1:9">
      <c r="A1942" s="257" t="s">
        <v>3040</v>
      </c>
      <c r="B1942" s="9">
        <v>0</v>
      </c>
      <c r="C1942" s="257" t="s">
        <v>10215</v>
      </c>
      <c r="D1942" s="9">
        <v>0.11278240366992884</v>
      </c>
      <c r="E1942" s="9">
        <v>17258998.467498779</v>
      </c>
      <c r="F1942" s="257" t="s">
        <v>15000</v>
      </c>
      <c r="G1942" s="9">
        <v>1</v>
      </c>
      <c r="H1942" s="257" t="s">
        <v>20072</v>
      </c>
      <c r="I1942" s="9">
        <v>1</v>
      </c>
    </row>
    <row r="1943" spans="1:9">
      <c r="A1943" s="257" t="s">
        <v>3041</v>
      </c>
      <c r="B1943" s="9">
        <v>0</v>
      </c>
      <c r="C1943" s="257" t="s">
        <v>10216</v>
      </c>
      <c r="D1943" s="9">
        <v>4.6664116838188906E-2</v>
      </c>
      <c r="E1943" s="9">
        <v>17258998.467498779</v>
      </c>
      <c r="F1943" s="257" t="s">
        <v>15000</v>
      </c>
      <c r="G1943" s="9">
        <v>1</v>
      </c>
      <c r="H1943" s="257" t="s">
        <v>20072</v>
      </c>
      <c r="I1943" s="9">
        <v>1</v>
      </c>
    </row>
    <row r="1944" spans="1:9">
      <c r="A1944" s="257" t="s">
        <v>3042</v>
      </c>
      <c r="B1944" s="9">
        <v>0</v>
      </c>
      <c r="C1944" s="257" t="s">
        <v>10217</v>
      </c>
      <c r="D1944" s="9">
        <v>0.385411843162622</v>
      </c>
      <c r="E1944" s="9">
        <v>17258998.467498779</v>
      </c>
      <c r="F1944" s="257" t="s">
        <v>15001</v>
      </c>
      <c r="G1944" s="9">
        <v>1</v>
      </c>
      <c r="H1944" s="257" t="s">
        <v>20072</v>
      </c>
      <c r="I1944" s="9">
        <v>1</v>
      </c>
    </row>
    <row r="1945" spans="1:9">
      <c r="A1945" s="257" t="s">
        <v>3043</v>
      </c>
      <c r="B1945" s="9">
        <v>0</v>
      </c>
      <c r="C1945" s="257" t="s">
        <v>10218</v>
      </c>
      <c r="D1945" s="9">
        <v>0.11426845580922051</v>
      </c>
      <c r="E1945" s="9">
        <v>17258998.467498779</v>
      </c>
      <c r="F1945" s="257" t="s">
        <v>15001</v>
      </c>
      <c r="G1945" s="9">
        <v>1</v>
      </c>
      <c r="H1945" s="257" t="s">
        <v>20072</v>
      </c>
      <c r="I1945" s="9">
        <v>1</v>
      </c>
    </row>
    <row r="1946" spans="1:9">
      <c r="A1946" s="257" t="s">
        <v>3044</v>
      </c>
      <c r="B1946" s="9">
        <v>0</v>
      </c>
      <c r="C1946" s="257" t="s">
        <v>10219</v>
      </c>
      <c r="D1946" s="9">
        <v>4.7370258719372463E-2</v>
      </c>
      <c r="E1946" s="9">
        <v>17258998.467498779</v>
      </c>
      <c r="F1946" s="257" t="s">
        <v>15001</v>
      </c>
      <c r="G1946" s="9">
        <v>1</v>
      </c>
      <c r="H1946" s="257" t="s">
        <v>20072</v>
      </c>
      <c r="I1946" s="9">
        <v>1</v>
      </c>
    </row>
    <row r="1947" spans="1:9">
      <c r="A1947" s="257" t="s">
        <v>3045</v>
      </c>
      <c r="B1947" s="9">
        <v>0</v>
      </c>
      <c r="C1947" s="257" t="s">
        <v>10220</v>
      </c>
      <c r="D1947" s="9">
        <v>0.37832149999999998</v>
      </c>
      <c r="E1947" s="9">
        <v>17258998.467498779</v>
      </c>
      <c r="F1947" s="257" t="s">
        <v>15002</v>
      </c>
      <c r="G1947" s="9">
        <v>1</v>
      </c>
      <c r="H1947" s="257" t="s">
        <v>20073</v>
      </c>
      <c r="I1947" s="9">
        <v>1</v>
      </c>
    </row>
    <row r="1948" spans="1:9">
      <c r="A1948" s="257" t="s">
        <v>3046</v>
      </c>
      <c r="B1948" s="9">
        <v>0</v>
      </c>
      <c r="C1948" s="257" t="s">
        <v>10221</v>
      </c>
      <c r="D1948" s="9">
        <v>0.25857730000000001</v>
      </c>
      <c r="E1948" s="9">
        <v>17258998.467498779</v>
      </c>
      <c r="F1948" s="257" t="s">
        <v>15002</v>
      </c>
      <c r="G1948" s="9">
        <v>1</v>
      </c>
      <c r="H1948" s="257" t="s">
        <v>20074</v>
      </c>
      <c r="I1948" s="9">
        <v>1</v>
      </c>
    </row>
    <row r="1949" spans="1:9">
      <c r="A1949" s="257" t="s">
        <v>3047</v>
      </c>
      <c r="B1949" s="9">
        <v>0</v>
      </c>
      <c r="C1949" s="257" t="s">
        <v>10222</v>
      </c>
      <c r="D1949" s="9">
        <v>0.3865475006722493</v>
      </c>
      <c r="E1949" s="9">
        <v>17258998.467498779</v>
      </c>
      <c r="F1949" s="257" t="s">
        <v>15002</v>
      </c>
      <c r="G1949" s="9">
        <v>1</v>
      </c>
      <c r="H1949" s="257" t="s">
        <v>20075</v>
      </c>
      <c r="I1949" s="9">
        <v>1</v>
      </c>
    </row>
    <row r="1950" spans="1:9">
      <c r="A1950" s="257" t="s">
        <v>3048</v>
      </c>
      <c r="B1950" s="9">
        <v>0</v>
      </c>
      <c r="C1950" s="257" t="s">
        <v>10223</v>
      </c>
      <c r="D1950" s="9">
        <v>0.11467873185870917</v>
      </c>
      <c r="E1950" s="9">
        <v>17258998.467498779</v>
      </c>
      <c r="F1950" s="257" t="s">
        <v>15002</v>
      </c>
      <c r="G1950" s="9">
        <v>1</v>
      </c>
      <c r="H1950" s="257" t="s">
        <v>20075</v>
      </c>
      <c r="I1950" s="9">
        <v>1</v>
      </c>
    </row>
    <row r="1951" spans="1:9">
      <c r="A1951" s="257" t="s">
        <v>3049</v>
      </c>
      <c r="B1951" s="9">
        <v>0</v>
      </c>
      <c r="C1951" s="257" t="s">
        <v>10224</v>
      </c>
      <c r="D1951" s="9">
        <v>4.7565487982733017E-2</v>
      </c>
      <c r="E1951" s="9">
        <v>17258998.467498779</v>
      </c>
      <c r="F1951" s="257" t="s">
        <v>15002</v>
      </c>
      <c r="G1951" s="9">
        <v>1</v>
      </c>
      <c r="H1951" s="257" t="s">
        <v>20075</v>
      </c>
      <c r="I1951" s="9">
        <v>1</v>
      </c>
    </row>
    <row r="1952" spans="1:9">
      <c r="A1952" s="257" t="s">
        <v>3050</v>
      </c>
      <c r="B1952" s="9">
        <v>0</v>
      </c>
      <c r="C1952" s="257" t="s">
        <v>10225</v>
      </c>
      <c r="D1952" s="9">
        <v>0.38020150000000003</v>
      </c>
      <c r="E1952" s="9">
        <v>17258998.467498779</v>
      </c>
      <c r="F1952" s="257" t="s">
        <v>15003</v>
      </c>
      <c r="G1952" s="9">
        <v>1</v>
      </c>
      <c r="H1952" s="257" t="s">
        <v>20076</v>
      </c>
      <c r="I1952" s="9">
        <v>1</v>
      </c>
    </row>
    <row r="1953" spans="1:9">
      <c r="A1953" s="257" t="s">
        <v>3051</v>
      </c>
      <c r="B1953" s="9">
        <v>0</v>
      </c>
      <c r="C1953" s="257" t="s">
        <v>10226</v>
      </c>
      <c r="D1953" s="9">
        <v>0.26153080000000001</v>
      </c>
      <c r="E1953" s="9">
        <v>17258998.467498779</v>
      </c>
      <c r="F1953" s="257" t="s">
        <v>15003</v>
      </c>
      <c r="G1953" s="9">
        <v>1</v>
      </c>
      <c r="H1953" s="257" t="s">
        <v>20077</v>
      </c>
      <c r="I1953" s="9">
        <v>1</v>
      </c>
    </row>
    <row r="1954" spans="1:9">
      <c r="A1954" s="257" t="s">
        <v>3052</v>
      </c>
      <c r="B1954" s="9">
        <v>0</v>
      </c>
      <c r="C1954" s="257" t="s">
        <v>10227</v>
      </c>
      <c r="D1954" s="9">
        <v>0.38341213381002842</v>
      </c>
      <c r="E1954" s="9">
        <v>17258998.467498779</v>
      </c>
      <c r="F1954" s="257" t="s">
        <v>15003</v>
      </c>
      <c r="G1954" s="9">
        <v>1</v>
      </c>
      <c r="H1954" s="257" t="s">
        <v>20078</v>
      </c>
      <c r="I1954" s="9">
        <v>1</v>
      </c>
    </row>
    <row r="1955" spans="1:9">
      <c r="A1955" s="257" t="s">
        <v>3053</v>
      </c>
      <c r="B1955" s="9">
        <v>0</v>
      </c>
      <c r="C1955" s="257" t="s">
        <v>10228</v>
      </c>
      <c r="D1955" s="9">
        <v>0.11334624300599937</v>
      </c>
      <c r="E1955" s="9">
        <v>17258998.467498779</v>
      </c>
      <c r="F1955" s="257" t="s">
        <v>15003</v>
      </c>
      <c r="G1955" s="9">
        <v>1</v>
      </c>
      <c r="H1955" s="257" t="s">
        <v>20078</v>
      </c>
      <c r="I1955" s="9">
        <v>1</v>
      </c>
    </row>
    <row r="1956" spans="1:9">
      <c r="A1956" s="257" t="s">
        <v>3054</v>
      </c>
      <c r="B1956" s="9">
        <v>0</v>
      </c>
      <c r="C1956" s="257" t="s">
        <v>10229</v>
      </c>
      <c r="D1956" s="9">
        <v>4.6940693539899075E-2</v>
      </c>
      <c r="E1956" s="9">
        <v>17258998.467498779</v>
      </c>
      <c r="F1956" s="257" t="s">
        <v>15003</v>
      </c>
      <c r="G1956" s="9">
        <v>1</v>
      </c>
      <c r="H1956" s="257" t="s">
        <v>20078</v>
      </c>
      <c r="I1956" s="9">
        <v>1</v>
      </c>
    </row>
    <row r="1957" spans="1:9">
      <c r="A1957" s="257" t="s">
        <v>3055</v>
      </c>
      <c r="B1957" s="9">
        <v>0</v>
      </c>
      <c r="C1957" s="257" t="s">
        <v>10230</v>
      </c>
      <c r="D1957" s="9">
        <v>0.37899860000000002</v>
      </c>
      <c r="E1957" s="9">
        <v>17258998.467498779</v>
      </c>
      <c r="F1957" s="257" t="s">
        <v>15004</v>
      </c>
      <c r="G1957" s="9">
        <v>1</v>
      </c>
      <c r="H1957" s="257" t="s">
        <v>20079</v>
      </c>
      <c r="I1957" s="9">
        <v>1</v>
      </c>
    </row>
    <row r="1958" spans="1:9">
      <c r="A1958" s="257" t="s">
        <v>3056</v>
      </c>
      <c r="B1958" s="9">
        <v>0</v>
      </c>
      <c r="C1958" s="257" t="s">
        <v>10231</v>
      </c>
      <c r="D1958" s="9">
        <v>0.25958690000000001</v>
      </c>
      <c r="E1958" s="9">
        <v>17258998.467498779</v>
      </c>
      <c r="F1958" s="257" t="s">
        <v>15004</v>
      </c>
      <c r="G1958" s="9">
        <v>1</v>
      </c>
      <c r="H1958" s="257" t="s">
        <v>20080</v>
      </c>
      <c r="I1958" s="9">
        <v>1</v>
      </c>
    </row>
    <row r="1959" spans="1:9">
      <c r="A1959" s="257" t="s">
        <v>3057</v>
      </c>
      <c r="B1959" s="9">
        <v>0</v>
      </c>
      <c r="C1959" s="257" t="s">
        <v>10232</v>
      </c>
      <c r="D1959" s="9">
        <v>0.38314604042406369</v>
      </c>
      <c r="E1959" s="9">
        <v>17258998.467498779</v>
      </c>
      <c r="F1959" s="257" t="s">
        <v>15004</v>
      </c>
      <c r="G1959" s="9">
        <v>1</v>
      </c>
      <c r="H1959" s="257" t="s">
        <v>20081</v>
      </c>
      <c r="I1959" s="9">
        <v>1</v>
      </c>
    </row>
    <row r="1960" spans="1:9">
      <c r="A1960" s="257" t="s">
        <v>3058</v>
      </c>
      <c r="B1960" s="9">
        <v>0</v>
      </c>
      <c r="C1960" s="257" t="s">
        <v>10233</v>
      </c>
      <c r="D1960" s="9">
        <v>0.11325103187337465</v>
      </c>
      <c r="E1960" s="9">
        <v>17258998.467498779</v>
      </c>
      <c r="F1960" s="257" t="s">
        <v>15004</v>
      </c>
      <c r="G1960" s="9">
        <v>1</v>
      </c>
      <c r="H1960" s="257" t="s">
        <v>20081</v>
      </c>
      <c r="I1960" s="9">
        <v>1</v>
      </c>
    </row>
    <row r="1961" spans="1:9">
      <c r="A1961" s="257" t="s">
        <v>3059</v>
      </c>
      <c r="B1961" s="9">
        <v>0</v>
      </c>
      <c r="C1961" s="257" t="s">
        <v>10234</v>
      </c>
      <c r="D1961" s="9">
        <v>4.6886870083769773E-2</v>
      </c>
      <c r="E1961" s="9">
        <v>17258998.467498779</v>
      </c>
      <c r="F1961" s="257" t="s">
        <v>15004</v>
      </c>
      <c r="G1961" s="9">
        <v>1</v>
      </c>
      <c r="H1961" s="257" t="s">
        <v>20081</v>
      </c>
      <c r="I1961" s="9">
        <v>1</v>
      </c>
    </row>
    <row r="1962" spans="1:9">
      <c r="A1962" s="257" t="s">
        <v>3060</v>
      </c>
      <c r="B1962" s="9">
        <v>0</v>
      </c>
      <c r="C1962" s="257" t="s">
        <v>10235</v>
      </c>
      <c r="D1962" s="9">
        <v>0.38026579999999999</v>
      </c>
      <c r="E1962" s="9">
        <v>17258998.467498779</v>
      </c>
      <c r="F1962" s="257" t="s">
        <v>15005</v>
      </c>
      <c r="G1962" s="9">
        <v>1</v>
      </c>
      <c r="H1962" s="257" t="s">
        <v>20082</v>
      </c>
      <c r="I1962" s="9">
        <v>1</v>
      </c>
    </row>
    <row r="1963" spans="1:9">
      <c r="A1963" s="257" t="s">
        <v>3061</v>
      </c>
      <c r="B1963" s="9">
        <v>0</v>
      </c>
      <c r="C1963" s="257" t="s">
        <v>10236</v>
      </c>
      <c r="D1963" s="9">
        <v>0.2615904</v>
      </c>
      <c r="E1963" s="9">
        <v>17258998.467498779</v>
      </c>
      <c r="F1963" s="257" t="s">
        <v>15005</v>
      </c>
      <c r="G1963" s="9">
        <v>1</v>
      </c>
      <c r="H1963" s="257" t="s">
        <v>20083</v>
      </c>
      <c r="I1963" s="9">
        <v>1</v>
      </c>
    </row>
    <row r="1964" spans="1:9">
      <c r="A1964" s="257" t="s">
        <v>3062</v>
      </c>
      <c r="B1964" s="9">
        <v>0</v>
      </c>
      <c r="C1964" s="257" t="s">
        <v>10237</v>
      </c>
      <c r="D1964" s="9">
        <v>0.38089539648173354</v>
      </c>
      <c r="E1964" s="9">
        <v>17258998.467498779</v>
      </c>
      <c r="F1964" s="257" t="s">
        <v>15005</v>
      </c>
      <c r="G1964" s="9">
        <v>1</v>
      </c>
      <c r="H1964" s="257" t="s">
        <v>20084</v>
      </c>
      <c r="I1964" s="9">
        <v>1</v>
      </c>
    </row>
    <row r="1965" spans="1:9">
      <c r="A1965" s="257" t="s">
        <v>3063</v>
      </c>
      <c r="B1965" s="9">
        <v>0</v>
      </c>
      <c r="C1965" s="257" t="s">
        <v>10238</v>
      </c>
      <c r="D1965" s="9">
        <v>0.11236665950272025</v>
      </c>
      <c r="E1965" s="9">
        <v>17258998.467498779</v>
      </c>
      <c r="F1965" s="257" t="s">
        <v>15005</v>
      </c>
      <c r="G1965" s="9">
        <v>1</v>
      </c>
      <c r="H1965" s="257" t="s">
        <v>20084</v>
      </c>
      <c r="I1965" s="9">
        <v>1</v>
      </c>
    </row>
    <row r="1966" spans="1:9">
      <c r="A1966" s="257" t="s">
        <v>3064</v>
      </c>
      <c r="B1966" s="9">
        <v>0</v>
      </c>
      <c r="C1966" s="257" t="s">
        <v>10239</v>
      </c>
      <c r="D1966" s="9">
        <v>4.6475100921877108E-2</v>
      </c>
      <c r="E1966" s="9">
        <v>17258998.467498779</v>
      </c>
      <c r="F1966" s="257" t="s">
        <v>15005</v>
      </c>
      <c r="G1966" s="9">
        <v>1</v>
      </c>
      <c r="H1966" s="257" t="s">
        <v>20084</v>
      </c>
      <c r="I1966" s="9">
        <v>1</v>
      </c>
    </row>
    <row r="1967" spans="1:9">
      <c r="A1967" s="257" t="s">
        <v>3065</v>
      </c>
      <c r="B1967" s="9">
        <v>0</v>
      </c>
      <c r="C1967" s="257" t="s">
        <v>10240</v>
      </c>
      <c r="D1967" s="9">
        <v>0.38075779999999998</v>
      </c>
      <c r="E1967" s="9">
        <v>17258998.467498779</v>
      </c>
      <c r="F1967" s="257" t="s">
        <v>15006</v>
      </c>
      <c r="G1967" s="9">
        <v>1</v>
      </c>
      <c r="H1967" s="257" t="s">
        <v>20085</v>
      </c>
      <c r="I1967" s="9">
        <v>1</v>
      </c>
    </row>
    <row r="1968" spans="1:9">
      <c r="A1968" s="257" t="s">
        <v>3066</v>
      </c>
      <c r="B1968" s="9">
        <v>0</v>
      </c>
      <c r="C1968" s="257" t="s">
        <v>10241</v>
      </c>
      <c r="D1968" s="9">
        <v>0.26211570000000001</v>
      </c>
      <c r="E1968" s="9">
        <v>17258998.467498779</v>
      </c>
      <c r="F1968" s="257" t="s">
        <v>15006</v>
      </c>
      <c r="G1968" s="9">
        <v>1</v>
      </c>
      <c r="H1968" s="257" t="s">
        <v>20086</v>
      </c>
      <c r="I1968" s="9">
        <v>1</v>
      </c>
    </row>
    <row r="1969" spans="1:9">
      <c r="A1969" s="257" t="s">
        <v>3067</v>
      </c>
      <c r="B1969" s="9">
        <v>0</v>
      </c>
      <c r="C1969" s="257" t="s">
        <v>10242</v>
      </c>
      <c r="D1969" s="9">
        <v>0.38128908694985836</v>
      </c>
      <c r="E1969" s="9">
        <v>17258998.467498779</v>
      </c>
      <c r="F1969" s="257" t="s">
        <v>15006</v>
      </c>
      <c r="G1969" s="9">
        <v>1</v>
      </c>
      <c r="H1969" s="257" t="s">
        <v>20087</v>
      </c>
      <c r="I1969" s="9">
        <v>1</v>
      </c>
    </row>
    <row r="1970" spans="1:9">
      <c r="A1970" s="257" t="s">
        <v>3068</v>
      </c>
      <c r="B1970" s="9">
        <v>0</v>
      </c>
      <c r="C1970" s="257" t="s">
        <v>10243</v>
      </c>
      <c r="D1970" s="9">
        <v>0.1127934071177957</v>
      </c>
      <c r="E1970" s="9">
        <v>17258998.467498779</v>
      </c>
      <c r="F1970" s="257" t="s">
        <v>15006</v>
      </c>
      <c r="G1970" s="9">
        <v>1</v>
      </c>
      <c r="H1970" s="257" t="s">
        <v>20087</v>
      </c>
      <c r="I1970" s="9">
        <v>1</v>
      </c>
    </row>
    <row r="1971" spans="1:9">
      <c r="A1971" s="257" t="s">
        <v>3069</v>
      </c>
      <c r="B1971" s="9">
        <v>0</v>
      </c>
      <c r="C1971" s="257" t="s">
        <v>10244</v>
      </c>
      <c r="D1971" s="9">
        <v>4.6780979661531309E-2</v>
      </c>
      <c r="E1971" s="9">
        <v>17258998.467498779</v>
      </c>
      <c r="F1971" s="257" t="s">
        <v>15006</v>
      </c>
      <c r="G1971" s="9">
        <v>1</v>
      </c>
      <c r="H1971" s="257" t="s">
        <v>20087</v>
      </c>
      <c r="I1971" s="9">
        <v>1</v>
      </c>
    </row>
    <row r="1972" spans="1:9">
      <c r="A1972" s="257" t="s">
        <v>3070</v>
      </c>
      <c r="B1972" s="9">
        <v>0</v>
      </c>
      <c r="C1972" s="257" t="s">
        <v>10245</v>
      </c>
      <c r="D1972" s="9">
        <v>0.37897120000000001</v>
      </c>
      <c r="E1972" s="9">
        <v>17258998.467498779</v>
      </c>
      <c r="F1972" s="257" t="s">
        <v>15007</v>
      </c>
      <c r="G1972" s="9">
        <v>1</v>
      </c>
      <c r="H1972" s="257" t="s">
        <v>20088</v>
      </c>
      <c r="I1972" s="9">
        <v>1</v>
      </c>
    </row>
    <row r="1973" spans="1:9">
      <c r="A1973" s="257" t="s">
        <v>3071</v>
      </c>
      <c r="B1973" s="9">
        <v>0</v>
      </c>
      <c r="C1973" s="257" t="s">
        <v>10246</v>
      </c>
      <c r="D1973" s="9">
        <v>0.25957049999999998</v>
      </c>
      <c r="E1973" s="9">
        <v>17258998.467498779</v>
      </c>
      <c r="F1973" s="257" t="s">
        <v>15007</v>
      </c>
      <c r="G1973" s="9">
        <v>1</v>
      </c>
      <c r="H1973" s="257" t="s">
        <v>20089</v>
      </c>
      <c r="I1973" s="9">
        <v>1</v>
      </c>
    </row>
    <row r="1974" spans="1:9">
      <c r="A1974" s="257" t="s">
        <v>3072</v>
      </c>
      <c r="B1974" s="9">
        <v>0</v>
      </c>
      <c r="C1974" s="257" t="s">
        <v>10247</v>
      </c>
      <c r="D1974" s="9">
        <v>0.38454916941149048</v>
      </c>
      <c r="E1974" s="9">
        <v>17258998.467498779</v>
      </c>
      <c r="F1974" s="257" t="s">
        <v>15007</v>
      </c>
      <c r="G1974" s="9">
        <v>1</v>
      </c>
      <c r="H1974" s="257" t="s">
        <v>20090</v>
      </c>
      <c r="I1974" s="9">
        <v>1</v>
      </c>
    </row>
    <row r="1975" spans="1:9">
      <c r="A1975" s="257" t="s">
        <v>3073</v>
      </c>
      <c r="B1975" s="9">
        <v>0</v>
      </c>
      <c r="C1975" s="257" t="s">
        <v>10248</v>
      </c>
      <c r="D1975" s="9">
        <v>0.11377375382421015</v>
      </c>
      <c r="E1975" s="9">
        <v>17258998.467498779</v>
      </c>
      <c r="F1975" s="257" t="s">
        <v>15007</v>
      </c>
      <c r="G1975" s="9">
        <v>1</v>
      </c>
      <c r="H1975" s="257" t="s">
        <v>20090</v>
      </c>
      <c r="I1975" s="9">
        <v>1</v>
      </c>
    </row>
    <row r="1976" spans="1:9">
      <c r="A1976" s="257" t="s">
        <v>3074</v>
      </c>
      <c r="B1976" s="9">
        <v>0</v>
      </c>
      <c r="C1976" s="257" t="s">
        <v>10249</v>
      </c>
      <c r="D1976" s="9">
        <v>4.7132882004016989E-2</v>
      </c>
      <c r="E1976" s="9">
        <v>17258998.467498779</v>
      </c>
      <c r="F1976" s="257" t="s">
        <v>15007</v>
      </c>
      <c r="G1976" s="9">
        <v>1</v>
      </c>
      <c r="H1976" s="257" t="s">
        <v>20090</v>
      </c>
      <c r="I1976" s="9">
        <v>1</v>
      </c>
    </row>
    <row r="1977" spans="1:9">
      <c r="A1977" s="257" t="s">
        <v>3075</v>
      </c>
      <c r="B1977" s="9">
        <v>0</v>
      </c>
      <c r="C1977" s="257" t="s">
        <v>10250</v>
      </c>
      <c r="D1977" s="9">
        <v>0.38079730000000001</v>
      </c>
      <c r="E1977" s="9">
        <v>17258998.467498779</v>
      </c>
      <c r="F1977" s="257" t="s">
        <v>15008</v>
      </c>
      <c r="G1977" s="9">
        <v>1</v>
      </c>
      <c r="H1977" s="257" t="s">
        <v>20091</v>
      </c>
      <c r="I1977" s="9">
        <v>1</v>
      </c>
    </row>
    <row r="1978" spans="1:9">
      <c r="A1978" s="257" t="s">
        <v>3076</v>
      </c>
      <c r="B1978" s="9">
        <v>0</v>
      </c>
      <c r="C1978" s="257" t="s">
        <v>10251</v>
      </c>
      <c r="D1978" s="9">
        <v>0.26216420000000001</v>
      </c>
      <c r="E1978" s="9">
        <v>17258998.467498779</v>
      </c>
      <c r="F1978" s="257" t="s">
        <v>15008</v>
      </c>
      <c r="G1978" s="9">
        <v>1</v>
      </c>
      <c r="H1978" s="257" t="s">
        <v>20092</v>
      </c>
      <c r="I1978" s="9">
        <v>1</v>
      </c>
    </row>
    <row r="1979" spans="1:9">
      <c r="A1979" s="257" t="s">
        <v>3077</v>
      </c>
      <c r="B1979" s="9">
        <v>0</v>
      </c>
      <c r="C1979" s="257" t="s">
        <v>10252</v>
      </c>
      <c r="D1979" s="9">
        <v>0.38001512100901252</v>
      </c>
      <c r="E1979" s="9">
        <v>17258998.467498779</v>
      </c>
      <c r="F1979" s="257" t="s">
        <v>15008</v>
      </c>
      <c r="G1979" s="9">
        <v>1</v>
      </c>
      <c r="H1979" s="257" t="s">
        <v>20093</v>
      </c>
      <c r="I1979" s="9">
        <v>1</v>
      </c>
    </row>
    <row r="1980" spans="1:9">
      <c r="A1980" s="257" t="s">
        <v>3078</v>
      </c>
      <c r="B1980" s="9">
        <v>0</v>
      </c>
      <c r="C1980" s="257" t="s">
        <v>10253</v>
      </c>
      <c r="D1980" s="9">
        <v>0.11233673259323013</v>
      </c>
      <c r="E1980" s="9">
        <v>17258998.467498779</v>
      </c>
      <c r="F1980" s="257" t="s">
        <v>15008</v>
      </c>
      <c r="G1980" s="9">
        <v>1</v>
      </c>
      <c r="H1980" s="257" t="s">
        <v>20093</v>
      </c>
      <c r="I1980" s="9">
        <v>1</v>
      </c>
    </row>
    <row r="1981" spans="1:9">
      <c r="A1981" s="257" t="s">
        <v>3079</v>
      </c>
      <c r="B1981" s="9">
        <v>0</v>
      </c>
      <c r="C1981" s="257" t="s">
        <v>10254</v>
      </c>
      <c r="D1981" s="9">
        <v>4.6560840050516888E-2</v>
      </c>
      <c r="E1981" s="9">
        <v>17258998.467498779</v>
      </c>
      <c r="F1981" s="257" t="s">
        <v>15008</v>
      </c>
      <c r="G1981" s="9">
        <v>1</v>
      </c>
      <c r="H1981" s="257" t="s">
        <v>20093</v>
      </c>
      <c r="I1981" s="9">
        <v>1</v>
      </c>
    </row>
    <row r="1982" spans="1:9">
      <c r="A1982" s="257" t="s">
        <v>3080</v>
      </c>
      <c r="B1982" s="9">
        <v>1</v>
      </c>
      <c r="C1982" s="257" t="s">
        <v>10255</v>
      </c>
      <c r="D1982" s="9">
        <v>231369.07879638672</v>
      </c>
      <c r="E1982" s="9">
        <v>1721536.5294189453</v>
      </c>
      <c r="F1982" s="257" t="s">
        <v>15009</v>
      </c>
      <c r="G1982" s="9"/>
      <c r="H1982" s="257" t="s">
        <v>20094</v>
      </c>
      <c r="I1982" s="9">
        <v>2</v>
      </c>
    </row>
    <row r="1983" spans="1:9">
      <c r="A1983" s="257" t="s">
        <v>3081</v>
      </c>
      <c r="B1983" s="9">
        <v>1</v>
      </c>
      <c r="C1983" s="257" t="s">
        <v>10256</v>
      </c>
      <c r="D1983" s="9">
        <v>557510980.12458229</v>
      </c>
      <c r="E1983" s="9">
        <v>1721536.5294189453</v>
      </c>
      <c r="F1983" s="257" t="s">
        <v>15009</v>
      </c>
      <c r="G1983" s="9"/>
      <c r="H1983" s="257" t="s">
        <v>20095</v>
      </c>
      <c r="I1983" s="9">
        <v>2</v>
      </c>
    </row>
    <row r="1984" spans="1:9">
      <c r="A1984" s="257" t="s">
        <v>3082</v>
      </c>
      <c r="B1984" s="9">
        <v>1</v>
      </c>
      <c r="C1984" s="257" t="s">
        <v>10257</v>
      </c>
      <c r="D1984" s="9">
        <v>0.1343968454009388</v>
      </c>
      <c r="E1984" s="9">
        <v>1721536.5294189453</v>
      </c>
      <c r="F1984" s="257" t="s">
        <v>15009</v>
      </c>
      <c r="G1984" s="9"/>
      <c r="H1984" s="257" t="s">
        <v>20096</v>
      </c>
      <c r="I1984" s="9">
        <v>2</v>
      </c>
    </row>
    <row r="1985" spans="1:9">
      <c r="A1985" s="257" t="s">
        <v>3083</v>
      </c>
      <c r="B1985" s="9">
        <v>1</v>
      </c>
      <c r="C1985" s="257" t="s">
        <v>10258</v>
      </c>
      <c r="D1985" s="9">
        <v>323.84498998273011</v>
      </c>
      <c r="E1985" s="9">
        <v>1721536.5294189453</v>
      </c>
      <c r="F1985" s="257" t="s">
        <v>15009</v>
      </c>
      <c r="G1985" s="9"/>
      <c r="H1985" s="257" t="s">
        <v>20097</v>
      </c>
      <c r="I1985" s="9">
        <v>2</v>
      </c>
    </row>
    <row r="1986" spans="1:9">
      <c r="A1986" s="257" t="s">
        <v>3084</v>
      </c>
      <c r="B1986" s="9">
        <v>1</v>
      </c>
      <c r="C1986" s="257" t="s">
        <v>10259</v>
      </c>
      <c r="D1986" s="9">
        <v>0</v>
      </c>
      <c r="E1986" s="9">
        <v>1721536.5294189453</v>
      </c>
      <c r="F1986" s="257" t="s">
        <v>15010</v>
      </c>
      <c r="G1986" s="9"/>
      <c r="H1986" s="257" t="s">
        <v>20098</v>
      </c>
      <c r="I1986" s="9">
        <v>2</v>
      </c>
    </row>
    <row r="1987" spans="1:9">
      <c r="A1987" s="257" t="s">
        <v>3085</v>
      </c>
      <c r="B1987" s="9">
        <v>1</v>
      </c>
      <c r="C1987" s="257" t="s">
        <v>10260</v>
      </c>
      <c r="D1987" s="9">
        <v>0</v>
      </c>
      <c r="E1987" s="9">
        <v>1721536.5294189453</v>
      </c>
      <c r="F1987" s="257" t="s">
        <v>15010</v>
      </c>
      <c r="G1987" s="9"/>
      <c r="H1987" s="257" t="s">
        <v>20099</v>
      </c>
      <c r="I1987" s="9">
        <v>2</v>
      </c>
    </row>
    <row r="1988" spans="1:9">
      <c r="A1988" s="257" t="s">
        <v>3086</v>
      </c>
      <c r="B1988" s="9">
        <v>1</v>
      </c>
      <c r="C1988" s="257" t="s">
        <v>10261</v>
      </c>
      <c r="D1988" s="9">
        <v>0</v>
      </c>
      <c r="E1988" s="9">
        <v>1721536.5294189453</v>
      </c>
      <c r="F1988" s="257" t="s">
        <v>15010</v>
      </c>
      <c r="G1988" s="9"/>
      <c r="H1988" s="257" t="s">
        <v>20100</v>
      </c>
      <c r="I1988" s="9">
        <v>2</v>
      </c>
    </row>
    <row r="1989" spans="1:9">
      <c r="A1989" s="257" t="s">
        <v>3087</v>
      </c>
      <c r="B1989" s="9">
        <v>1</v>
      </c>
      <c r="C1989" s="257" t="s">
        <v>10262</v>
      </c>
      <c r="D1989" s="9">
        <v>0</v>
      </c>
      <c r="E1989" s="9">
        <v>1721536.5294189453</v>
      </c>
      <c r="F1989" s="257" t="s">
        <v>15010</v>
      </c>
      <c r="G1989" s="9"/>
      <c r="H1989" s="257" t="s">
        <v>20101</v>
      </c>
      <c r="I1989" s="9">
        <v>2</v>
      </c>
    </row>
    <row r="1990" spans="1:9">
      <c r="A1990" s="257" t="s">
        <v>3088</v>
      </c>
      <c r="B1990" s="9">
        <v>1</v>
      </c>
      <c r="C1990" s="257" t="s">
        <v>10263</v>
      </c>
      <c r="D1990" s="9">
        <v>287844.57055664063</v>
      </c>
      <c r="E1990" s="9">
        <v>1721536.5294189453</v>
      </c>
      <c r="F1990" s="257" t="s">
        <v>15011</v>
      </c>
      <c r="G1990" s="9"/>
      <c r="H1990" s="257" t="s">
        <v>20102</v>
      </c>
      <c r="I1990" s="9">
        <v>2</v>
      </c>
    </row>
    <row r="1991" spans="1:9">
      <c r="A1991" s="257" t="s">
        <v>3089</v>
      </c>
      <c r="B1991" s="9">
        <v>1</v>
      </c>
      <c r="C1991" s="257" t="s">
        <v>10264</v>
      </c>
      <c r="D1991" s="9">
        <v>40581786.265208587</v>
      </c>
      <c r="E1991" s="9">
        <v>1721536.5294189453</v>
      </c>
      <c r="F1991" s="257" t="s">
        <v>15011</v>
      </c>
      <c r="G1991" s="9"/>
      <c r="H1991" s="257" t="s">
        <v>20103</v>
      </c>
      <c r="I1991" s="9">
        <v>2</v>
      </c>
    </row>
    <row r="1992" spans="1:9">
      <c r="A1992" s="257" t="s">
        <v>3090</v>
      </c>
      <c r="B1992" s="9">
        <v>1</v>
      </c>
      <c r="C1992" s="257" t="s">
        <v>10265</v>
      </c>
      <c r="D1992" s="9">
        <v>0.16720212765615505</v>
      </c>
      <c r="E1992" s="9">
        <v>1721536.5294189453</v>
      </c>
      <c r="F1992" s="257" t="s">
        <v>15011</v>
      </c>
      <c r="G1992" s="9"/>
      <c r="H1992" s="257" t="s">
        <v>20104</v>
      </c>
      <c r="I1992" s="9">
        <v>2</v>
      </c>
    </row>
    <row r="1993" spans="1:9">
      <c r="A1993" s="257" t="s">
        <v>3091</v>
      </c>
      <c r="B1993" s="9">
        <v>1</v>
      </c>
      <c r="C1993" s="257" t="s">
        <v>10266</v>
      </c>
      <c r="D1993" s="9">
        <v>23.573003286143333</v>
      </c>
      <c r="E1993" s="9">
        <v>1721536.5294189453</v>
      </c>
      <c r="F1993" s="257" t="s">
        <v>15011</v>
      </c>
      <c r="G1993" s="9"/>
      <c r="H1993" s="257" t="s">
        <v>20105</v>
      </c>
      <c r="I1993" s="9">
        <v>2</v>
      </c>
    </row>
    <row r="1994" spans="1:9">
      <c r="A1994" s="257" t="s">
        <v>3092</v>
      </c>
      <c r="B1994" s="9">
        <v>1</v>
      </c>
      <c r="C1994" s="257" t="s">
        <v>10267</v>
      </c>
      <c r="D1994" s="9">
        <v>0</v>
      </c>
      <c r="E1994" s="9">
        <v>1721536.5294189453</v>
      </c>
      <c r="F1994" s="257" t="s">
        <v>15012</v>
      </c>
      <c r="G1994" s="9"/>
      <c r="H1994" s="257" t="s">
        <v>20106</v>
      </c>
      <c r="I1994" s="9">
        <v>2</v>
      </c>
    </row>
    <row r="1995" spans="1:9">
      <c r="A1995" s="257" t="s">
        <v>3093</v>
      </c>
      <c r="B1995" s="9">
        <v>1</v>
      </c>
      <c r="C1995" s="257" t="s">
        <v>10268</v>
      </c>
      <c r="D1995" s="9">
        <v>0</v>
      </c>
      <c r="E1995" s="9">
        <v>1721536.5294189453</v>
      </c>
      <c r="F1995" s="257" t="s">
        <v>15012</v>
      </c>
      <c r="G1995" s="9"/>
      <c r="H1995" s="257" t="s">
        <v>20107</v>
      </c>
      <c r="I1995" s="9">
        <v>2</v>
      </c>
    </row>
    <row r="1996" spans="1:9">
      <c r="A1996" s="257" t="s">
        <v>3094</v>
      </c>
      <c r="B1996" s="9">
        <v>1</v>
      </c>
      <c r="C1996" s="257" t="s">
        <v>10269</v>
      </c>
      <c r="D1996" s="9">
        <v>0</v>
      </c>
      <c r="E1996" s="9">
        <v>1721536.5294189453</v>
      </c>
      <c r="F1996" s="257" t="s">
        <v>15012</v>
      </c>
      <c r="G1996" s="9"/>
      <c r="H1996" s="257" t="s">
        <v>20108</v>
      </c>
      <c r="I1996" s="9">
        <v>2</v>
      </c>
    </row>
    <row r="1997" spans="1:9">
      <c r="A1997" s="257" t="s">
        <v>3095</v>
      </c>
      <c r="B1997" s="9">
        <v>1</v>
      </c>
      <c r="C1997" s="257" t="s">
        <v>10270</v>
      </c>
      <c r="D1997" s="9">
        <v>0</v>
      </c>
      <c r="E1997" s="9">
        <v>1721536.5294189453</v>
      </c>
      <c r="F1997" s="257" t="s">
        <v>15012</v>
      </c>
      <c r="G1997" s="9"/>
      <c r="H1997" s="257" t="s">
        <v>20109</v>
      </c>
      <c r="I1997" s="9">
        <v>2</v>
      </c>
    </row>
    <row r="1998" spans="1:9">
      <c r="A1998" s="257" t="s">
        <v>3096</v>
      </c>
      <c r="B1998" s="9">
        <v>1</v>
      </c>
      <c r="C1998" s="257" t="s">
        <v>10271</v>
      </c>
      <c r="D1998" s="9">
        <v>0</v>
      </c>
      <c r="E1998" s="9">
        <v>1721536.5294189453</v>
      </c>
      <c r="F1998" s="257" t="s">
        <v>15013</v>
      </c>
      <c r="G1998" s="9"/>
      <c r="H1998" s="257" t="s">
        <v>20110</v>
      </c>
      <c r="I1998" s="9">
        <v>2</v>
      </c>
    </row>
    <row r="1999" spans="1:9">
      <c r="A1999" s="257" t="s">
        <v>3097</v>
      </c>
      <c r="B1999" s="9">
        <v>1</v>
      </c>
      <c r="C1999" s="257" t="s">
        <v>10272</v>
      </c>
      <c r="D1999" s="9">
        <v>0</v>
      </c>
      <c r="E1999" s="9">
        <v>1721536.5294189453</v>
      </c>
      <c r="F1999" s="257" t="s">
        <v>15013</v>
      </c>
      <c r="G1999" s="9"/>
      <c r="H1999" s="257" t="s">
        <v>20111</v>
      </c>
      <c r="I1999" s="9">
        <v>2</v>
      </c>
    </row>
    <row r="2000" spans="1:9">
      <c r="A2000" s="257" t="s">
        <v>3098</v>
      </c>
      <c r="B2000" s="9">
        <v>1</v>
      </c>
      <c r="C2000" s="257" t="s">
        <v>10273</v>
      </c>
      <c r="D2000" s="9">
        <v>0</v>
      </c>
      <c r="E2000" s="9">
        <v>1721536.5294189453</v>
      </c>
      <c r="F2000" s="257" t="s">
        <v>15013</v>
      </c>
      <c r="G2000" s="9"/>
      <c r="H2000" s="257" t="s">
        <v>20112</v>
      </c>
      <c r="I2000" s="9">
        <v>2</v>
      </c>
    </row>
    <row r="2001" spans="1:9">
      <c r="A2001" s="257" t="s">
        <v>3099</v>
      </c>
      <c r="B2001" s="9">
        <v>1</v>
      </c>
      <c r="C2001" s="257" t="s">
        <v>10274</v>
      </c>
      <c r="D2001" s="9">
        <v>0</v>
      </c>
      <c r="E2001" s="9">
        <v>1721536.5294189453</v>
      </c>
      <c r="F2001" s="257" t="s">
        <v>15013</v>
      </c>
      <c r="G2001" s="9"/>
      <c r="H2001" s="257" t="s">
        <v>20113</v>
      </c>
      <c r="I2001" s="9">
        <v>2</v>
      </c>
    </row>
    <row r="2002" spans="1:9">
      <c r="A2002" s="257" t="s">
        <v>3100</v>
      </c>
      <c r="B2002" s="9">
        <v>1</v>
      </c>
      <c r="C2002" s="257" t="s">
        <v>10275</v>
      </c>
      <c r="D2002" s="9">
        <v>0</v>
      </c>
      <c r="E2002" s="9">
        <v>1721536.5294189453</v>
      </c>
      <c r="F2002" s="257" t="s">
        <v>15014</v>
      </c>
      <c r="G2002" s="9"/>
      <c r="H2002" s="257" t="s">
        <v>20114</v>
      </c>
      <c r="I2002" s="9">
        <v>2</v>
      </c>
    </row>
    <row r="2003" spans="1:9">
      <c r="A2003" s="257" t="s">
        <v>3101</v>
      </c>
      <c r="B2003" s="9">
        <v>1</v>
      </c>
      <c r="C2003" s="257" t="s">
        <v>10276</v>
      </c>
      <c r="D2003" s="9">
        <v>0</v>
      </c>
      <c r="E2003" s="9">
        <v>1721536.5294189453</v>
      </c>
      <c r="F2003" s="257" t="s">
        <v>15014</v>
      </c>
      <c r="G2003" s="9"/>
      <c r="H2003" s="257" t="s">
        <v>20115</v>
      </c>
      <c r="I2003" s="9">
        <v>2</v>
      </c>
    </row>
    <row r="2004" spans="1:9">
      <c r="A2004" s="257" t="s">
        <v>3102</v>
      </c>
      <c r="B2004" s="9">
        <v>1</v>
      </c>
      <c r="C2004" s="257" t="s">
        <v>10277</v>
      </c>
      <c r="D2004" s="9">
        <v>0</v>
      </c>
      <c r="E2004" s="9">
        <v>1721536.5294189453</v>
      </c>
      <c r="F2004" s="257" t="s">
        <v>15014</v>
      </c>
      <c r="G2004" s="9"/>
      <c r="H2004" s="257" t="s">
        <v>20116</v>
      </c>
      <c r="I2004" s="9">
        <v>2</v>
      </c>
    </row>
    <row r="2005" spans="1:9">
      <c r="A2005" s="257" t="s">
        <v>3103</v>
      </c>
      <c r="B2005" s="9">
        <v>1</v>
      </c>
      <c r="C2005" s="257" t="s">
        <v>10278</v>
      </c>
      <c r="D2005" s="9">
        <v>0</v>
      </c>
      <c r="E2005" s="9">
        <v>1721536.5294189453</v>
      </c>
      <c r="F2005" s="257" t="s">
        <v>15014</v>
      </c>
      <c r="G2005" s="9"/>
      <c r="H2005" s="257" t="s">
        <v>20117</v>
      </c>
      <c r="I2005" s="9">
        <v>2</v>
      </c>
    </row>
    <row r="2006" spans="1:9">
      <c r="A2006" s="257" t="s">
        <v>3104</v>
      </c>
      <c r="B2006" s="9">
        <v>1</v>
      </c>
      <c r="C2006" s="257" t="s">
        <v>10279</v>
      </c>
      <c r="D2006" s="9">
        <v>287844.57055664063</v>
      </c>
      <c r="E2006" s="9">
        <v>1721536.5294189453</v>
      </c>
      <c r="F2006" s="257" t="s">
        <v>15015</v>
      </c>
      <c r="G2006" s="9"/>
      <c r="H2006" s="257" t="s">
        <v>20118</v>
      </c>
      <c r="I2006" s="9">
        <v>2</v>
      </c>
    </row>
    <row r="2007" spans="1:9">
      <c r="A2007" s="257" t="s">
        <v>3105</v>
      </c>
      <c r="B2007" s="9">
        <v>1</v>
      </c>
      <c r="C2007" s="257" t="s">
        <v>10280</v>
      </c>
      <c r="D2007" s="9">
        <v>40581786.265208587</v>
      </c>
      <c r="E2007" s="9">
        <v>1721536.5294189453</v>
      </c>
      <c r="F2007" s="257" t="s">
        <v>15015</v>
      </c>
      <c r="G2007" s="9"/>
      <c r="H2007" s="257" t="s">
        <v>20119</v>
      </c>
      <c r="I2007" s="9">
        <v>2</v>
      </c>
    </row>
    <row r="2008" spans="1:9">
      <c r="A2008" s="257" t="s">
        <v>3106</v>
      </c>
      <c r="B2008" s="9">
        <v>1</v>
      </c>
      <c r="C2008" s="257" t="s">
        <v>10281</v>
      </c>
      <c r="D2008" s="9">
        <v>0.16720212765615505</v>
      </c>
      <c r="E2008" s="9">
        <v>1721536.5294189453</v>
      </c>
      <c r="F2008" s="257" t="s">
        <v>15015</v>
      </c>
      <c r="G2008" s="9"/>
      <c r="H2008" s="257" t="s">
        <v>20120</v>
      </c>
      <c r="I2008" s="9">
        <v>2</v>
      </c>
    </row>
    <row r="2009" spans="1:9">
      <c r="A2009" s="257" t="s">
        <v>3107</v>
      </c>
      <c r="B2009" s="9">
        <v>1</v>
      </c>
      <c r="C2009" s="257" t="s">
        <v>10282</v>
      </c>
      <c r="D2009" s="9">
        <v>23.573003286143333</v>
      </c>
      <c r="E2009" s="9">
        <v>1721536.5294189453</v>
      </c>
      <c r="F2009" s="257" t="s">
        <v>15015</v>
      </c>
      <c r="G2009" s="9"/>
      <c r="H2009" s="257" t="s">
        <v>20121</v>
      </c>
      <c r="I2009" s="9">
        <v>2</v>
      </c>
    </row>
    <row r="2010" spans="1:9">
      <c r="A2010" s="257" t="s">
        <v>3108</v>
      </c>
      <c r="B2010" s="9">
        <v>1</v>
      </c>
      <c r="C2010" s="257" t="s">
        <v>10283</v>
      </c>
      <c r="D2010" s="9">
        <v>0</v>
      </c>
      <c r="E2010" s="9">
        <v>1721536.5294189453</v>
      </c>
      <c r="F2010" s="257" t="s">
        <v>15016</v>
      </c>
      <c r="G2010" s="9"/>
      <c r="H2010" s="257" t="s">
        <v>20122</v>
      </c>
      <c r="I2010" s="9">
        <v>2</v>
      </c>
    </row>
    <row r="2011" spans="1:9">
      <c r="A2011" s="257" t="s">
        <v>3109</v>
      </c>
      <c r="B2011" s="9">
        <v>1</v>
      </c>
      <c r="C2011" s="257" t="s">
        <v>10284</v>
      </c>
      <c r="D2011" s="9">
        <v>0</v>
      </c>
      <c r="E2011" s="9">
        <v>1721536.5294189453</v>
      </c>
      <c r="F2011" s="257" t="s">
        <v>15016</v>
      </c>
      <c r="G2011" s="9"/>
      <c r="H2011" s="257" t="s">
        <v>20123</v>
      </c>
      <c r="I2011" s="9">
        <v>2</v>
      </c>
    </row>
    <row r="2012" spans="1:9">
      <c r="A2012" s="257" t="s">
        <v>3110</v>
      </c>
      <c r="B2012" s="9">
        <v>1</v>
      </c>
      <c r="C2012" s="257" t="s">
        <v>10285</v>
      </c>
      <c r="D2012" s="9">
        <v>0</v>
      </c>
      <c r="E2012" s="9">
        <v>1721536.5294189453</v>
      </c>
      <c r="F2012" s="257" t="s">
        <v>15016</v>
      </c>
      <c r="G2012" s="9"/>
      <c r="H2012" s="257" t="s">
        <v>20124</v>
      </c>
      <c r="I2012" s="9">
        <v>2</v>
      </c>
    </row>
    <row r="2013" spans="1:9">
      <c r="A2013" s="257" t="s">
        <v>3111</v>
      </c>
      <c r="B2013" s="9">
        <v>1</v>
      </c>
      <c r="C2013" s="257" t="s">
        <v>10286</v>
      </c>
      <c r="D2013" s="9">
        <v>0</v>
      </c>
      <c r="E2013" s="9">
        <v>1721536.5294189453</v>
      </c>
      <c r="F2013" s="257" t="s">
        <v>15016</v>
      </c>
      <c r="G2013" s="9"/>
      <c r="H2013" s="257" t="s">
        <v>20125</v>
      </c>
      <c r="I2013" s="9">
        <v>2</v>
      </c>
    </row>
    <row r="2014" spans="1:9">
      <c r="A2014" s="257" t="s">
        <v>3112</v>
      </c>
      <c r="B2014" s="9">
        <v>1</v>
      </c>
      <c r="C2014" s="257" t="s">
        <v>10287</v>
      </c>
      <c r="D2014" s="9">
        <v>1721536.5294189453</v>
      </c>
      <c r="E2014" s="9">
        <v>1721536.5294189453</v>
      </c>
      <c r="F2014" s="257" t="s">
        <v>15017</v>
      </c>
      <c r="G2014" s="9"/>
      <c r="H2014" s="257" t="s">
        <v>20126</v>
      </c>
      <c r="I2014" s="9">
        <v>2</v>
      </c>
    </row>
    <row r="2015" spans="1:9">
      <c r="A2015" s="257" t="s">
        <v>3113</v>
      </c>
      <c r="B2015" s="9">
        <v>1</v>
      </c>
      <c r="C2015" s="257" t="s">
        <v>10288</v>
      </c>
      <c r="D2015" s="9">
        <v>1357367039.743855</v>
      </c>
      <c r="E2015" s="9">
        <v>1721536.5294189453</v>
      </c>
      <c r="F2015" s="257" t="s">
        <v>15017</v>
      </c>
      <c r="G2015" s="9"/>
      <c r="H2015" s="257" t="s">
        <v>20127</v>
      </c>
      <c r="I2015" s="9">
        <v>2</v>
      </c>
    </row>
    <row r="2016" spans="1:9">
      <c r="A2016" s="257" t="s">
        <v>3114</v>
      </c>
      <c r="B2016" s="9">
        <v>1</v>
      </c>
      <c r="C2016" s="257" t="s">
        <v>10289</v>
      </c>
      <c r="D2016" s="9">
        <v>1</v>
      </c>
      <c r="E2016" s="9">
        <v>1721536.5294189453</v>
      </c>
      <c r="F2016" s="257" t="s">
        <v>15017</v>
      </c>
      <c r="G2016" s="9"/>
      <c r="H2016" s="257" t="s">
        <v>20128</v>
      </c>
      <c r="I2016" s="9">
        <v>2</v>
      </c>
    </row>
    <row r="2017" spans="1:9">
      <c r="A2017" s="257" t="s">
        <v>3115</v>
      </c>
      <c r="B2017" s="9">
        <v>1</v>
      </c>
      <c r="C2017" s="257" t="s">
        <v>10290</v>
      </c>
      <c r="D2017" s="9">
        <v>788.46252551027476</v>
      </c>
      <c r="E2017" s="9">
        <v>1721536.5294189453</v>
      </c>
      <c r="F2017" s="257" t="s">
        <v>15017</v>
      </c>
      <c r="G2017" s="9"/>
      <c r="H2017" s="257" t="s">
        <v>20129</v>
      </c>
      <c r="I2017" s="9">
        <v>2</v>
      </c>
    </row>
    <row r="2018" spans="1:9">
      <c r="A2018" s="257" t="s">
        <v>3116</v>
      </c>
      <c r="B2018" s="9">
        <v>1</v>
      </c>
      <c r="C2018" s="257" t="s">
        <v>10291</v>
      </c>
      <c r="D2018" s="9">
        <v>1721536.5294189453</v>
      </c>
      <c r="E2018" s="9">
        <v>1721536.5294189453</v>
      </c>
      <c r="F2018" s="257" t="s">
        <v>15018</v>
      </c>
      <c r="G2018" s="9"/>
      <c r="H2018" s="257" t="s">
        <v>20130</v>
      </c>
      <c r="I2018" s="9">
        <v>2</v>
      </c>
    </row>
    <row r="2019" spans="1:9">
      <c r="A2019" s="257" t="s">
        <v>3117</v>
      </c>
      <c r="B2019" s="9">
        <v>1</v>
      </c>
      <c r="C2019" s="257" t="s">
        <v>10292</v>
      </c>
      <c r="D2019" s="9">
        <v>1316785253.4786463</v>
      </c>
      <c r="E2019" s="9">
        <v>1721536.5294189453</v>
      </c>
      <c r="F2019" s="257" t="s">
        <v>15018</v>
      </c>
      <c r="G2019" s="9"/>
      <c r="H2019" s="257" t="s">
        <v>20131</v>
      </c>
      <c r="I2019" s="9">
        <v>2</v>
      </c>
    </row>
    <row r="2020" spans="1:9">
      <c r="A2020" s="257" t="s">
        <v>3118</v>
      </c>
      <c r="B2020" s="9">
        <v>1</v>
      </c>
      <c r="C2020" s="257" t="s">
        <v>10293</v>
      </c>
      <c r="D2020" s="9">
        <v>1</v>
      </c>
      <c r="E2020" s="9">
        <v>1721536.5294189453</v>
      </c>
      <c r="F2020" s="257" t="s">
        <v>15018</v>
      </c>
      <c r="G2020" s="9"/>
      <c r="H2020" s="257" t="s">
        <v>20132</v>
      </c>
      <c r="I2020" s="9">
        <v>2</v>
      </c>
    </row>
    <row r="2021" spans="1:9">
      <c r="A2021" s="257" t="s">
        <v>3119</v>
      </c>
      <c r="B2021" s="9">
        <v>1</v>
      </c>
      <c r="C2021" s="257" t="s">
        <v>10294</v>
      </c>
      <c r="D2021" s="9">
        <v>764.88952222413127</v>
      </c>
      <c r="E2021" s="9">
        <v>1721536.5294189453</v>
      </c>
      <c r="F2021" s="257" t="s">
        <v>15018</v>
      </c>
      <c r="G2021" s="9"/>
      <c r="H2021" s="257" t="s">
        <v>20133</v>
      </c>
      <c r="I2021" s="9">
        <v>2</v>
      </c>
    </row>
    <row r="2022" spans="1:9">
      <c r="A2022" s="257" t="s">
        <v>3120</v>
      </c>
      <c r="B2022" s="9">
        <v>1</v>
      </c>
      <c r="C2022" s="257" t="s">
        <v>10295</v>
      </c>
      <c r="D2022" s="9">
        <v>1721536.5294189453</v>
      </c>
      <c r="E2022" s="9">
        <v>1721536.5294189453</v>
      </c>
      <c r="F2022" s="257" t="s">
        <v>15019</v>
      </c>
      <c r="G2022" s="9"/>
      <c r="H2022" s="257" t="s">
        <v>20134</v>
      </c>
      <c r="I2022" s="9">
        <v>2</v>
      </c>
    </row>
    <row r="2023" spans="1:9">
      <c r="A2023" s="257" t="s">
        <v>3121</v>
      </c>
      <c r="B2023" s="9">
        <v>1</v>
      </c>
      <c r="C2023" s="257" t="s">
        <v>10296</v>
      </c>
      <c r="D2023" s="9">
        <v>1357367039.743855</v>
      </c>
      <c r="E2023" s="9">
        <v>1721536.5294189453</v>
      </c>
      <c r="F2023" s="257" t="s">
        <v>15019</v>
      </c>
      <c r="G2023" s="9"/>
      <c r="H2023" s="257" t="s">
        <v>20135</v>
      </c>
      <c r="I2023" s="9">
        <v>2</v>
      </c>
    </row>
    <row r="2024" spans="1:9">
      <c r="A2024" s="257" t="s">
        <v>3122</v>
      </c>
      <c r="B2024" s="9">
        <v>1</v>
      </c>
      <c r="C2024" s="257" t="s">
        <v>10297</v>
      </c>
      <c r="D2024" s="9">
        <v>1</v>
      </c>
      <c r="E2024" s="9">
        <v>1721536.5294189453</v>
      </c>
      <c r="F2024" s="257" t="s">
        <v>15019</v>
      </c>
      <c r="G2024" s="9"/>
      <c r="H2024" s="257" t="s">
        <v>20136</v>
      </c>
      <c r="I2024" s="9">
        <v>2</v>
      </c>
    </row>
    <row r="2025" spans="1:9">
      <c r="A2025" s="257" t="s">
        <v>3123</v>
      </c>
      <c r="B2025" s="9">
        <v>1</v>
      </c>
      <c r="C2025" s="257" t="s">
        <v>10298</v>
      </c>
      <c r="D2025" s="9">
        <v>788.46252551027476</v>
      </c>
      <c r="E2025" s="9">
        <v>1721536.5294189453</v>
      </c>
      <c r="F2025" s="257" t="s">
        <v>15019</v>
      </c>
      <c r="G2025" s="9"/>
      <c r="H2025" s="257" t="s">
        <v>20137</v>
      </c>
      <c r="I2025" s="9">
        <v>2</v>
      </c>
    </row>
    <row r="2026" spans="1:9">
      <c r="A2026" s="257" t="s">
        <v>3124</v>
      </c>
      <c r="B2026" s="9">
        <v>1</v>
      </c>
      <c r="C2026" s="257" t="s">
        <v>10299</v>
      </c>
      <c r="D2026" s="9">
        <v>1721536.5294189453</v>
      </c>
      <c r="E2026" s="9">
        <v>1721536.5294189453</v>
      </c>
      <c r="F2026" s="257" t="s">
        <v>15020</v>
      </c>
      <c r="G2026" s="9"/>
      <c r="H2026" s="257" t="s">
        <v>20138</v>
      </c>
      <c r="I2026" s="9">
        <v>2</v>
      </c>
    </row>
    <row r="2027" spans="1:9">
      <c r="A2027" s="257" t="s">
        <v>3125</v>
      </c>
      <c r="B2027" s="9">
        <v>1</v>
      </c>
      <c r="C2027" s="257" t="s">
        <v>10300</v>
      </c>
      <c r="D2027" s="9">
        <v>565909604.27923203</v>
      </c>
      <c r="E2027" s="9">
        <v>1721536.5294189453</v>
      </c>
      <c r="F2027" s="257" t="s">
        <v>15020</v>
      </c>
      <c r="G2027" s="9"/>
      <c r="H2027" s="257" t="s">
        <v>20139</v>
      </c>
      <c r="I2027" s="9">
        <v>2</v>
      </c>
    </row>
    <row r="2028" spans="1:9">
      <c r="A2028" s="257" t="s">
        <v>3126</v>
      </c>
      <c r="B2028" s="9">
        <v>1</v>
      </c>
      <c r="C2028" s="257" t="s">
        <v>10301</v>
      </c>
      <c r="D2028" s="9">
        <v>1</v>
      </c>
      <c r="E2028" s="9">
        <v>1721536.5294189453</v>
      </c>
      <c r="F2028" s="257" t="s">
        <v>15020</v>
      </c>
      <c r="G2028" s="9"/>
      <c r="H2028" s="257" t="s">
        <v>20140</v>
      </c>
      <c r="I2028" s="9">
        <v>2</v>
      </c>
    </row>
    <row r="2029" spans="1:9">
      <c r="A2029" s="257" t="s">
        <v>3127</v>
      </c>
      <c r="B2029" s="9">
        <v>1</v>
      </c>
      <c r="C2029" s="257" t="s">
        <v>10302</v>
      </c>
      <c r="D2029" s="9">
        <v>328.72355283116667</v>
      </c>
      <c r="E2029" s="9">
        <v>1721536.5294189453</v>
      </c>
      <c r="F2029" s="257" t="s">
        <v>15020</v>
      </c>
      <c r="G2029" s="9"/>
      <c r="H2029" s="257" t="s">
        <v>20141</v>
      </c>
      <c r="I2029" s="9">
        <v>2</v>
      </c>
    </row>
    <row r="2030" spans="1:9">
      <c r="A2030" s="257" t="s">
        <v>3128</v>
      </c>
      <c r="B2030" s="9">
        <v>1</v>
      </c>
      <c r="C2030" s="257" t="s">
        <v>10303</v>
      </c>
      <c r="D2030" s="9">
        <v>240333.54522705078</v>
      </c>
      <c r="E2030" s="9">
        <v>1721536.5294189453</v>
      </c>
      <c r="F2030" s="257" t="s">
        <v>15021</v>
      </c>
      <c r="G2030" s="9"/>
      <c r="H2030" s="257" t="s">
        <v>20142</v>
      </c>
      <c r="I2030" s="9">
        <v>2</v>
      </c>
    </row>
    <row r="2031" spans="1:9">
      <c r="A2031" s="257" t="s">
        <v>3129</v>
      </c>
      <c r="B2031" s="9">
        <v>1</v>
      </c>
      <c r="C2031" s="257" t="s">
        <v>10304</v>
      </c>
      <c r="D2031" s="9">
        <v>413518893.51263011</v>
      </c>
      <c r="E2031" s="9">
        <v>1721536.5294189453</v>
      </c>
      <c r="F2031" s="257" t="s">
        <v>15021</v>
      </c>
      <c r="G2031" s="9"/>
      <c r="H2031" s="257" t="s">
        <v>20143</v>
      </c>
      <c r="I2031" s="9">
        <v>2</v>
      </c>
    </row>
    <row r="2032" spans="1:9">
      <c r="A2032" s="257" t="s">
        <v>3130</v>
      </c>
      <c r="B2032" s="9">
        <v>1</v>
      </c>
      <c r="C2032" s="257" t="s">
        <v>10305</v>
      </c>
      <c r="D2032" s="9">
        <v>0.13960409269280413</v>
      </c>
      <c r="E2032" s="9">
        <v>1721536.5294189453</v>
      </c>
      <c r="F2032" s="257" t="s">
        <v>15021</v>
      </c>
      <c r="G2032" s="9"/>
      <c r="H2032" s="257" t="s">
        <v>20144</v>
      </c>
      <c r="I2032" s="9">
        <v>2</v>
      </c>
    </row>
    <row r="2033" spans="1:9">
      <c r="A2033" s="257" t="s">
        <v>3131</v>
      </c>
      <c r="B2033" s="9">
        <v>1</v>
      </c>
      <c r="C2033" s="257" t="s">
        <v>10306</v>
      </c>
      <c r="D2033" s="9">
        <v>240.20338020489254</v>
      </c>
      <c r="E2033" s="9">
        <v>1721536.5294189453</v>
      </c>
      <c r="F2033" s="257" t="s">
        <v>15021</v>
      </c>
      <c r="G2033" s="9"/>
      <c r="H2033" s="257" t="s">
        <v>20145</v>
      </c>
      <c r="I2033" s="9">
        <v>2</v>
      </c>
    </row>
    <row r="2034" spans="1:9">
      <c r="A2034" s="257" t="s">
        <v>3132</v>
      </c>
      <c r="B2034" s="9">
        <v>1</v>
      </c>
      <c r="C2034" s="257" t="s">
        <v>10307</v>
      </c>
      <c r="D2034" s="9">
        <v>1721536.5294189453</v>
      </c>
      <c r="E2034" s="9">
        <v>1721536.5294189453</v>
      </c>
      <c r="F2034" s="257" t="s">
        <v>15022</v>
      </c>
      <c r="G2034" s="9"/>
      <c r="H2034" s="257" t="s">
        <v>20146</v>
      </c>
      <c r="I2034" s="9">
        <v>2</v>
      </c>
    </row>
    <row r="2035" spans="1:9">
      <c r="A2035" s="257" t="s">
        <v>3133</v>
      </c>
      <c r="B2035" s="9">
        <v>1</v>
      </c>
      <c r="C2035" s="257" t="s">
        <v>10308</v>
      </c>
      <c r="D2035" s="9">
        <v>1730304146.9912765</v>
      </c>
      <c r="E2035" s="9">
        <v>1721536.5294189453</v>
      </c>
      <c r="F2035" s="257" t="s">
        <v>15022</v>
      </c>
      <c r="G2035" s="9"/>
      <c r="H2035" s="257" t="s">
        <v>20147</v>
      </c>
      <c r="I2035" s="9">
        <v>2</v>
      </c>
    </row>
    <row r="2036" spans="1:9">
      <c r="A2036" s="257" t="s">
        <v>3134</v>
      </c>
      <c r="B2036" s="9">
        <v>1</v>
      </c>
      <c r="C2036" s="257" t="s">
        <v>10309</v>
      </c>
      <c r="D2036" s="9">
        <v>1</v>
      </c>
      <c r="E2036" s="9">
        <v>1721536.5294189453</v>
      </c>
      <c r="F2036" s="257" t="s">
        <v>15022</v>
      </c>
      <c r="G2036" s="9"/>
      <c r="H2036" s="257" t="s">
        <v>20148</v>
      </c>
      <c r="I2036" s="9">
        <v>2</v>
      </c>
    </row>
    <row r="2037" spans="1:9">
      <c r="A2037" s="257" t="s">
        <v>3135</v>
      </c>
      <c r="B2037" s="9">
        <v>1</v>
      </c>
      <c r="C2037" s="257" t="s">
        <v>10310</v>
      </c>
      <c r="D2037" s="9">
        <v>1005.092902429024</v>
      </c>
      <c r="E2037" s="9">
        <v>1721536.5294189453</v>
      </c>
      <c r="F2037" s="257" t="s">
        <v>15022</v>
      </c>
      <c r="G2037" s="9"/>
      <c r="H2037" s="257" t="s">
        <v>20149</v>
      </c>
      <c r="I2037" s="9">
        <v>2</v>
      </c>
    </row>
    <row r="2038" spans="1:9">
      <c r="A2038" s="257" t="s">
        <v>3136</v>
      </c>
      <c r="B2038" s="9">
        <v>1</v>
      </c>
      <c r="C2038" s="257" t="s">
        <v>10311</v>
      </c>
      <c r="D2038" s="9">
        <v>1721536.5294189453</v>
      </c>
      <c r="E2038" s="9">
        <v>1721536.5294189453</v>
      </c>
      <c r="F2038" s="257" t="s">
        <v>15023</v>
      </c>
      <c r="G2038" s="9"/>
      <c r="H2038" s="257" t="s">
        <v>20150</v>
      </c>
      <c r="I2038" s="9">
        <v>2</v>
      </c>
    </row>
    <row r="2039" spans="1:9">
      <c r="A2039" s="257" t="s">
        <v>3137</v>
      </c>
      <c r="B2039" s="9">
        <v>1</v>
      </c>
      <c r="C2039" s="257" t="s">
        <v>10312</v>
      </c>
      <c r="D2039" s="9">
        <v>1770885933.256485</v>
      </c>
      <c r="E2039" s="9">
        <v>1721536.5294189453</v>
      </c>
      <c r="F2039" s="257" t="s">
        <v>15023</v>
      </c>
      <c r="G2039" s="9"/>
      <c r="H2039" s="257" t="s">
        <v>20151</v>
      </c>
      <c r="I2039" s="9">
        <v>2</v>
      </c>
    </row>
    <row r="2040" spans="1:9">
      <c r="A2040" s="257" t="s">
        <v>3138</v>
      </c>
      <c r="B2040" s="9">
        <v>1</v>
      </c>
      <c r="C2040" s="257" t="s">
        <v>10313</v>
      </c>
      <c r="D2040" s="9">
        <v>1</v>
      </c>
      <c r="E2040" s="9">
        <v>1721536.5294189453</v>
      </c>
      <c r="F2040" s="257" t="s">
        <v>15023</v>
      </c>
      <c r="G2040" s="9"/>
      <c r="H2040" s="257" t="s">
        <v>20152</v>
      </c>
      <c r="I2040" s="9">
        <v>2</v>
      </c>
    </row>
    <row r="2041" spans="1:9">
      <c r="A2041" s="257" t="s">
        <v>3139</v>
      </c>
      <c r="B2041" s="9">
        <v>1</v>
      </c>
      <c r="C2041" s="257" t="s">
        <v>10314</v>
      </c>
      <c r="D2041" s="9">
        <v>1028.6659057151671</v>
      </c>
      <c r="E2041" s="9">
        <v>1721536.5294189453</v>
      </c>
      <c r="F2041" s="257" t="s">
        <v>15023</v>
      </c>
      <c r="G2041" s="9"/>
      <c r="H2041" s="257" t="s">
        <v>20153</v>
      </c>
      <c r="I2041" s="9">
        <v>2</v>
      </c>
    </row>
    <row r="2042" spans="1:9">
      <c r="A2042" s="257" t="s">
        <v>3140</v>
      </c>
      <c r="B2042" s="9">
        <v>1</v>
      </c>
      <c r="C2042" s="257" t="s">
        <v>10315</v>
      </c>
      <c r="D2042" s="9">
        <v>285772.10522460938</v>
      </c>
      <c r="E2042" s="9">
        <v>1721536.5294189453</v>
      </c>
      <c r="F2042" s="257" t="s">
        <v>15024</v>
      </c>
      <c r="G2042" s="9"/>
      <c r="H2042" s="257" t="s">
        <v>20154</v>
      </c>
      <c r="I2042" s="9">
        <v>2</v>
      </c>
    </row>
    <row r="2043" spans="1:9">
      <c r="A2043" s="257" t="s">
        <v>3141</v>
      </c>
      <c r="B2043" s="9">
        <v>1</v>
      </c>
      <c r="C2043" s="257" t="s">
        <v>10316</v>
      </c>
      <c r="D2043" s="9">
        <v>597109749.40966177</v>
      </c>
      <c r="E2043" s="9">
        <v>1721536.5294189453</v>
      </c>
      <c r="F2043" s="257" t="s">
        <v>15024</v>
      </c>
      <c r="G2043" s="9"/>
      <c r="H2043" s="257" t="s">
        <v>20155</v>
      </c>
      <c r="I2043" s="9">
        <v>2</v>
      </c>
    </row>
    <row r="2044" spans="1:9">
      <c r="A2044" s="257" t="s">
        <v>3142</v>
      </c>
      <c r="B2044" s="9">
        <v>1</v>
      </c>
      <c r="C2044" s="257" t="s">
        <v>10317</v>
      </c>
      <c r="D2044" s="9">
        <v>0.16599828138474845</v>
      </c>
      <c r="E2044" s="9">
        <v>1721536.5294189453</v>
      </c>
      <c r="F2044" s="257" t="s">
        <v>15024</v>
      </c>
      <c r="G2044" s="9"/>
      <c r="H2044" s="257" t="s">
        <v>20156</v>
      </c>
      <c r="I2044" s="9">
        <v>2</v>
      </c>
    </row>
    <row r="2045" spans="1:9">
      <c r="A2045" s="257" t="s">
        <v>3143</v>
      </c>
      <c r="B2045" s="9">
        <v>1</v>
      </c>
      <c r="C2045" s="257" t="s">
        <v>10318</v>
      </c>
      <c r="D2045" s="9">
        <v>346.84698187101429</v>
      </c>
      <c r="E2045" s="9">
        <v>1721536.5294189453</v>
      </c>
      <c r="F2045" s="257" t="s">
        <v>15024</v>
      </c>
      <c r="G2045" s="9"/>
      <c r="H2045" s="257" t="s">
        <v>20157</v>
      </c>
      <c r="I2045" s="9">
        <v>2</v>
      </c>
    </row>
    <row r="2046" spans="1:9">
      <c r="A2046" s="257" t="s">
        <v>3144</v>
      </c>
      <c r="B2046" s="9">
        <v>1</v>
      </c>
      <c r="C2046" s="257" t="s">
        <v>10319</v>
      </c>
      <c r="D2046" s="9">
        <v>285772.10522460938</v>
      </c>
      <c r="E2046" s="9">
        <v>1721536.5294189453</v>
      </c>
      <c r="F2046" s="257" t="s">
        <v>15025</v>
      </c>
      <c r="G2046" s="9"/>
      <c r="H2046" s="257" t="s">
        <v>20158</v>
      </c>
      <c r="I2046" s="9">
        <v>2</v>
      </c>
    </row>
    <row r="2047" spans="1:9">
      <c r="A2047" s="257" t="s">
        <v>3145</v>
      </c>
      <c r="B2047" s="9">
        <v>1</v>
      </c>
      <c r="C2047" s="257" t="s">
        <v>10320</v>
      </c>
      <c r="D2047" s="9">
        <v>637691535.67487037</v>
      </c>
      <c r="E2047" s="9">
        <v>1721536.5294189453</v>
      </c>
      <c r="F2047" s="257" t="s">
        <v>15025</v>
      </c>
      <c r="G2047" s="9"/>
      <c r="H2047" s="257" t="s">
        <v>20159</v>
      </c>
      <c r="I2047" s="9">
        <v>2</v>
      </c>
    </row>
    <row r="2048" spans="1:9">
      <c r="A2048" s="257" t="s">
        <v>3146</v>
      </c>
      <c r="B2048" s="9">
        <v>1</v>
      </c>
      <c r="C2048" s="257" t="s">
        <v>10321</v>
      </c>
      <c r="D2048" s="9">
        <v>0.16599828138474845</v>
      </c>
      <c r="E2048" s="9">
        <v>1721536.5294189453</v>
      </c>
      <c r="F2048" s="257" t="s">
        <v>15025</v>
      </c>
      <c r="G2048" s="9"/>
      <c r="H2048" s="257" t="s">
        <v>20160</v>
      </c>
      <c r="I2048" s="9">
        <v>2</v>
      </c>
    </row>
    <row r="2049" spans="1:9">
      <c r="A2049" s="257" t="s">
        <v>3147</v>
      </c>
      <c r="B2049" s="9">
        <v>1</v>
      </c>
      <c r="C2049" s="257" t="s">
        <v>10322</v>
      </c>
      <c r="D2049" s="9">
        <v>370.41998515715761</v>
      </c>
      <c r="E2049" s="9">
        <v>1721536.5294189453</v>
      </c>
      <c r="F2049" s="257" t="s">
        <v>15025</v>
      </c>
      <c r="G2049" s="9"/>
      <c r="H2049" s="257" t="s">
        <v>20161</v>
      </c>
      <c r="I2049" s="9">
        <v>2</v>
      </c>
    </row>
    <row r="2050" spans="1:9">
      <c r="A2050" s="257" t="s">
        <v>3148</v>
      </c>
      <c r="B2050" s="9">
        <v>1</v>
      </c>
      <c r="C2050" s="257" t="s">
        <v>10323</v>
      </c>
      <c r="D2050" s="9">
        <v>1721536.5294189453</v>
      </c>
      <c r="E2050" s="9">
        <v>1721536.5294189453</v>
      </c>
      <c r="F2050" s="257" t="s">
        <v>15026</v>
      </c>
      <c r="G2050" s="9"/>
      <c r="H2050" s="257" t="s">
        <v>20162</v>
      </c>
      <c r="I2050" s="9">
        <v>2</v>
      </c>
    </row>
    <row r="2051" spans="1:9">
      <c r="A2051" s="257" t="s">
        <v>3149</v>
      </c>
      <c r="B2051" s="9">
        <v>1</v>
      </c>
      <c r="C2051" s="257" t="s">
        <v>10324</v>
      </c>
      <c r="D2051" s="9">
        <v>719675504.06898451</v>
      </c>
      <c r="E2051" s="9">
        <v>1721536.5294189453</v>
      </c>
      <c r="F2051" s="257" t="s">
        <v>15026</v>
      </c>
      <c r="G2051" s="9"/>
      <c r="H2051" s="257" t="s">
        <v>20163</v>
      </c>
      <c r="I2051" s="9">
        <v>2</v>
      </c>
    </row>
    <row r="2052" spans="1:9">
      <c r="A2052" s="257" t="s">
        <v>3150</v>
      </c>
      <c r="B2052" s="9">
        <v>1</v>
      </c>
      <c r="C2052" s="257" t="s">
        <v>10325</v>
      </c>
      <c r="D2052" s="9">
        <v>1</v>
      </c>
      <c r="E2052" s="9">
        <v>1721536.5294189453</v>
      </c>
      <c r="F2052" s="257" t="s">
        <v>15026</v>
      </c>
      <c r="G2052" s="9"/>
      <c r="H2052" s="257" t="s">
        <v>20164</v>
      </c>
      <c r="I2052" s="9">
        <v>2</v>
      </c>
    </row>
    <row r="2053" spans="1:9">
      <c r="A2053" s="257" t="s">
        <v>3151</v>
      </c>
      <c r="B2053" s="9">
        <v>1</v>
      </c>
      <c r="C2053" s="257" t="s">
        <v>10326</v>
      </c>
      <c r="D2053" s="9">
        <v>418.04254035311703</v>
      </c>
      <c r="E2053" s="9">
        <v>1721536.5294189453</v>
      </c>
      <c r="F2053" s="257" t="s">
        <v>15026</v>
      </c>
      <c r="G2053" s="9"/>
      <c r="H2053" s="257" t="s">
        <v>20165</v>
      </c>
      <c r="I2053" s="9">
        <v>2</v>
      </c>
    </row>
    <row r="2054" spans="1:9">
      <c r="A2054" s="257" t="s">
        <v>3152</v>
      </c>
      <c r="B2054" s="9">
        <v>1</v>
      </c>
      <c r="C2054" s="257" t="s">
        <v>10327</v>
      </c>
      <c r="D2054" s="9">
        <v>1721536.5294189453</v>
      </c>
      <c r="E2054" s="9">
        <v>1721536.5294189453</v>
      </c>
      <c r="F2054" s="257" t="s">
        <v>15027</v>
      </c>
      <c r="G2054" s="9"/>
      <c r="H2054" s="257" t="s">
        <v>20166</v>
      </c>
      <c r="I2054" s="9">
        <v>2</v>
      </c>
    </row>
    <row r="2055" spans="1:9">
      <c r="A2055" s="257" t="s">
        <v>3153</v>
      </c>
      <c r="B2055" s="9">
        <v>1</v>
      </c>
      <c r="C2055" s="257" t="s">
        <v>10328</v>
      </c>
      <c r="D2055" s="9">
        <v>1123420584.4038143</v>
      </c>
      <c r="E2055" s="9">
        <v>1721536.5294189453</v>
      </c>
      <c r="F2055" s="257" t="s">
        <v>15027</v>
      </c>
      <c r="G2055" s="9"/>
      <c r="H2055" s="257" t="s">
        <v>20167</v>
      </c>
      <c r="I2055" s="9">
        <v>2</v>
      </c>
    </row>
    <row r="2056" spans="1:9">
      <c r="A2056" s="257" t="s">
        <v>3154</v>
      </c>
      <c r="B2056" s="9">
        <v>1</v>
      </c>
      <c r="C2056" s="257" t="s">
        <v>10329</v>
      </c>
      <c r="D2056" s="9">
        <v>1</v>
      </c>
      <c r="E2056" s="9">
        <v>1721536.5294189453</v>
      </c>
      <c r="F2056" s="257" t="s">
        <v>15027</v>
      </c>
      <c r="G2056" s="9"/>
      <c r="H2056" s="257" t="s">
        <v>20168</v>
      </c>
      <c r="I2056" s="9">
        <v>2</v>
      </c>
    </row>
    <row r="2057" spans="1:9">
      <c r="A2057" s="257" t="s">
        <v>3155</v>
      </c>
      <c r="B2057" s="9">
        <v>1</v>
      </c>
      <c r="C2057" s="257" t="s">
        <v>10330</v>
      </c>
      <c r="D2057" s="9">
        <v>652.56854281389678</v>
      </c>
      <c r="E2057" s="9">
        <v>1721536.5294189453</v>
      </c>
      <c r="F2057" s="257" t="s">
        <v>15027</v>
      </c>
      <c r="G2057" s="9"/>
      <c r="H2057" s="257" t="s">
        <v>20169</v>
      </c>
      <c r="I2057" s="9">
        <v>2</v>
      </c>
    </row>
    <row r="2058" spans="1:9">
      <c r="A2058" s="257" t="s">
        <v>3156</v>
      </c>
      <c r="B2058" s="9">
        <v>1</v>
      </c>
      <c r="C2058" s="257" t="s">
        <v>10331</v>
      </c>
      <c r="D2058" s="9">
        <v>287844.57055664063</v>
      </c>
      <c r="E2058" s="9">
        <v>1721536.5294189453</v>
      </c>
      <c r="F2058" s="257" t="s">
        <v>15028</v>
      </c>
      <c r="G2058" s="9"/>
      <c r="H2058" s="257" t="s">
        <v>20170</v>
      </c>
      <c r="I2058" s="9">
        <v>2</v>
      </c>
    </row>
    <row r="2059" spans="1:9">
      <c r="A2059" s="257" t="s">
        <v>3157</v>
      </c>
      <c r="B2059" s="9">
        <v>1</v>
      </c>
      <c r="C2059" s="257" t="s">
        <v>10332</v>
      </c>
      <c r="D2059" s="9">
        <v>893670096.39259613</v>
      </c>
      <c r="E2059" s="9">
        <v>1721536.5294189453</v>
      </c>
      <c r="F2059" s="257" t="s">
        <v>15028</v>
      </c>
      <c r="G2059" s="9"/>
      <c r="H2059" s="257" t="s">
        <v>20171</v>
      </c>
      <c r="I2059" s="9">
        <v>2</v>
      </c>
    </row>
    <row r="2060" spans="1:9">
      <c r="A2060" s="257" t="s">
        <v>3158</v>
      </c>
      <c r="B2060" s="9">
        <v>1</v>
      </c>
      <c r="C2060" s="257" t="s">
        <v>10333</v>
      </c>
      <c r="D2060" s="9">
        <v>0.16720212765615505</v>
      </c>
      <c r="E2060" s="9">
        <v>1721536.5294189453</v>
      </c>
      <c r="F2060" s="257" t="s">
        <v>15028</v>
      </c>
      <c r="G2060" s="9"/>
      <c r="H2060" s="257" t="s">
        <v>20172</v>
      </c>
      <c r="I2060" s="9">
        <v>2</v>
      </c>
    </row>
    <row r="2061" spans="1:9">
      <c r="A2061" s="257" t="s">
        <v>3159</v>
      </c>
      <c r="B2061" s="9">
        <v>1</v>
      </c>
      <c r="C2061" s="257" t="s">
        <v>10334</v>
      </c>
      <c r="D2061" s="9">
        <v>519.11189865615484</v>
      </c>
      <c r="E2061" s="9">
        <v>1721536.5294189453</v>
      </c>
      <c r="F2061" s="257" t="s">
        <v>15028</v>
      </c>
      <c r="G2061" s="9"/>
      <c r="H2061" s="257" t="s">
        <v>20173</v>
      </c>
      <c r="I2061" s="9">
        <v>2</v>
      </c>
    </row>
    <row r="2062" spans="1:9">
      <c r="A2062" s="257" t="s">
        <v>3160</v>
      </c>
      <c r="B2062" s="9">
        <v>1</v>
      </c>
      <c r="C2062" s="257" t="s">
        <v>10335</v>
      </c>
      <c r="D2062" s="9">
        <v>0</v>
      </c>
      <c r="E2062" s="9">
        <v>1721536.5294189453</v>
      </c>
      <c r="F2062" s="257" t="s">
        <v>15029</v>
      </c>
      <c r="G2062" s="9"/>
      <c r="H2062" s="257" t="s">
        <v>20174</v>
      </c>
      <c r="I2062" s="9">
        <v>2</v>
      </c>
    </row>
    <row r="2063" spans="1:9">
      <c r="A2063" s="257" t="s">
        <v>3161</v>
      </c>
      <c r="B2063" s="9">
        <v>1</v>
      </c>
      <c r="C2063" s="257" t="s">
        <v>10336</v>
      </c>
      <c r="D2063" s="9">
        <v>-246204747.53992537</v>
      </c>
      <c r="E2063" s="9">
        <v>1721536.5294189453</v>
      </c>
      <c r="F2063" s="257" t="s">
        <v>15029</v>
      </c>
      <c r="G2063" s="9"/>
      <c r="H2063" s="257" t="s">
        <v>20175</v>
      </c>
      <c r="I2063" s="9">
        <v>2</v>
      </c>
    </row>
    <row r="2064" spans="1:9">
      <c r="A2064" s="257" t="s">
        <v>3162</v>
      </c>
      <c r="B2064" s="9">
        <v>1</v>
      </c>
      <c r="C2064" s="257" t="s">
        <v>10337</v>
      </c>
      <c r="D2064" s="9">
        <v>0</v>
      </c>
      <c r="E2064" s="9">
        <v>1721536.5294189453</v>
      </c>
      <c r="F2064" s="257" t="s">
        <v>15029</v>
      </c>
      <c r="G2064" s="9"/>
      <c r="H2064" s="257" t="s">
        <v>20176</v>
      </c>
      <c r="I2064" s="9">
        <v>2</v>
      </c>
    </row>
    <row r="2065" spans="1:9">
      <c r="A2065" s="257" t="s">
        <v>3163</v>
      </c>
      <c r="B2065" s="9">
        <v>1</v>
      </c>
      <c r="C2065" s="257" t="s">
        <v>10338</v>
      </c>
      <c r="D2065" s="9">
        <v>-143.01453575488441</v>
      </c>
      <c r="E2065" s="9">
        <v>1721536.5294189453</v>
      </c>
      <c r="F2065" s="257" t="s">
        <v>15029</v>
      </c>
      <c r="G2065" s="9"/>
      <c r="H2065" s="257" t="s">
        <v>20177</v>
      </c>
      <c r="I2065" s="9">
        <v>2</v>
      </c>
    </row>
    <row r="2066" spans="1:9">
      <c r="A2066" s="257" t="s">
        <v>3164</v>
      </c>
      <c r="B2066" s="9">
        <v>1</v>
      </c>
      <c r="C2066" s="257" t="s">
        <v>10339</v>
      </c>
      <c r="D2066" s="9">
        <v>285772.10522460938</v>
      </c>
      <c r="E2066" s="9">
        <v>1721536.5294189453</v>
      </c>
      <c r="F2066" s="257" t="s">
        <v>15030</v>
      </c>
      <c r="G2066" s="9"/>
      <c r="H2066" s="257" t="s">
        <v>20178</v>
      </c>
      <c r="I2066" s="9">
        <v>2</v>
      </c>
    </row>
    <row r="2067" spans="1:9">
      <c r="A2067" s="257" t="s">
        <v>3165</v>
      </c>
      <c r="B2067" s="9">
        <v>1</v>
      </c>
      <c r="C2067" s="257" t="s">
        <v>10340</v>
      </c>
      <c r="D2067" s="9">
        <v>647465348.85267079</v>
      </c>
      <c r="E2067" s="9">
        <v>1721536.5294189453</v>
      </c>
      <c r="F2067" s="257" t="s">
        <v>15030</v>
      </c>
      <c r="G2067" s="9"/>
      <c r="H2067" s="257" t="s">
        <v>20179</v>
      </c>
      <c r="I2067" s="9">
        <v>2</v>
      </c>
    </row>
    <row r="2068" spans="1:9">
      <c r="A2068" s="257" t="s">
        <v>3166</v>
      </c>
      <c r="B2068" s="9">
        <v>1</v>
      </c>
      <c r="C2068" s="257" t="s">
        <v>10341</v>
      </c>
      <c r="D2068" s="9">
        <v>0.16599828138474845</v>
      </c>
      <c r="E2068" s="9">
        <v>1721536.5294189453</v>
      </c>
      <c r="F2068" s="257" t="s">
        <v>15030</v>
      </c>
      <c r="G2068" s="9"/>
      <c r="H2068" s="257" t="s">
        <v>20180</v>
      </c>
      <c r="I2068" s="9">
        <v>2</v>
      </c>
    </row>
    <row r="2069" spans="1:9">
      <c r="A2069" s="257" t="s">
        <v>3167</v>
      </c>
      <c r="B2069" s="9">
        <v>1</v>
      </c>
      <c r="C2069" s="257" t="s">
        <v>10342</v>
      </c>
      <c r="D2069" s="9">
        <v>376.09736290127046</v>
      </c>
      <c r="E2069" s="9">
        <v>1721536.5294189453</v>
      </c>
      <c r="F2069" s="257" t="s">
        <v>15030</v>
      </c>
      <c r="G2069" s="9"/>
      <c r="H2069" s="257" t="s">
        <v>20181</v>
      </c>
      <c r="I2069" s="9">
        <v>2</v>
      </c>
    </row>
    <row r="2070" spans="1:9">
      <c r="A2070" s="257" t="s">
        <v>3168</v>
      </c>
      <c r="B2070" s="9">
        <v>1</v>
      </c>
      <c r="C2070" s="257" t="s">
        <v>10343</v>
      </c>
      <c r="D2070" s="9">
        <v>13207.776977539063</v>
      </c>
      <c r="E2070" s="9">
        <v>1721536.5294189453</v>
      </c>
      <c r="F2070" s="257" t="s">
        <v>15031</v>
      </c>
      <c r="G2070" s="9"/>
      <c r="H2070" s="257" t="s">
        <v>20182</v>
      </c>
      <c r="I2070" s="9">
        <v>2</v>
      </c>
    </row>
    <row r="2071" spans="1:9">
      <c r="A2071" s="257" t="s">
        <v>3169</v>
      </c>
      <c r="B2071" s="9">
        <v>1</v>
      </c>
      <c r="C2071" s="257" t="s">
        <v>10344</v>
      </c>
      <c r="D2071" s="9">
        <v>9773813.1778003834</v>
      </c>
      <c r="E2071" s="9">
        <v>1721536.5294189453</v>
      </c>
      <c r="F2071" s="257" t="s">
        <v>15031</v>
      </c>
      <c r="G2071" s="9"/>
      <c r="H2071" s="257" t="s">
        <v>20183</v>
      </c>
      <c r="I2071" s="9">
        <v>2</v>
      </c>
    </row>
    <row r="2072" spans="1:9">
      <c r="A2072" s="257" t="s">
        <v>3170</v>
      </c>
      <c r="B2072" s="9">
        <v>1</v>
      </c>
      <c r="C2072" s="257" t="s">
        <v>10345</v>
      </c>
      <c r="D2072" s="9">
        <v>7.6720863901720195E-3</v>
      </c>
      <c r="E2072" s="9">
        <v>1721536.5294189453</v>
      </c>
      <c r="F2072" s="257" t="s">
        <v>15031</v>
      </c>
      <c r="G2072" s="9"/>
      <c r="H2072" s="257" t="s">
        <v>20184</v>
      </c>
      <c r="I2072" s="9">
        <v>2</v>
      </c>
    </row>
    <row r="2073" spans="1:9">
      <c r="A2073" s="257" t="s">
        <v>3171</v>
      </c>
      <c r="B2073" s="9">
        <v>1</v>
      </c>
      <c r="C2073" s="257" t="s">
        <v>10346</v>
      </c>
      <c r="D2073" s="9">
        <v>5.6773777441128424</v>
      </c>
      <c r="E2073" s="9">
        <v>1721536.5294189453</v>
      </c>
      <c r="F2073" s="257" t="s">
        <v>15031</v>
      </c>
      <c r="G2073" s="9"/>
      <c r="H2073" s="257" t="s">
        <v>20185</v>
      </c>
      <c r="I2073" s="9">
        <v>2</v>
      </c>
    </row>
    <row r="2074" spans="1:9">
      <c r="A2074" s="257" t="s">
        <v>3172</v>
      </c>
      <c r="B2074" s="9">
        <v>1</v>
      </c>
      <c r="C2074" s="257" t="s">
        <v>10347</v>
      </c>
      <c r="D2074" s="9">
        <v>231369.07879638672</v>
      </c>
      <c r="E2074" s="9">
        <v>1721536.5294189453</v>
      </c>
      <c r="F2074" s="257" t="s">
        <v>15032</v>
      </c>
      <c r="G2074" s="9"/>
      <c r="H2074" s="257" t="s">
        <v>20186</v>
      </c>
      <c r="I2074" s="9">
        <v>2</v>
      </c>
    </row>
    <row r="2075" spans="1:9">
      <c r="A2075" s="257" t="s">
        <v>3173</v>
      </c>
      <c r="B2075" s="9">
        <v>1</v>
      </c>
      <c r="C2075" s="257" t="s">
        <v>10348</v>
      </c>
      <c r="D2075" s="9">
        <v>403745080.33482975</v>
      </c>
      <c r="E2075" s="9">
        <v>1721536.5294189453</v>
      </c>
      <c r="F2075" s="257" t="s">
        <v>15032</v>
      </c>
      <c r="G2075" s="9"/>
      <c r="H2075" s="257" t="s">
        <v>20187</v>
      </c>
      <c r="I2075" s="9">
        <v>2</v>
      </c>
    </row>
    <row r="2076" spans="1:9">
      <c r="A2076" s="257" t="s">
        <v>3174</v>
      </c>
      <c r="B2076" s="9">
        <v>1</v>
      </c>
      <c r="C2076" s="257" t="s">
        <v>10349</v>
      </c>
      <c r="D2076" s="9">
        <v>0.1343968454009388</v>
      </c>
      <c r="E2076" s="9">
        <v>1721536.5294189453</v>
      </c>
      <c r="F2076" s="257" t="s">
        <v>15032</v>
      </c>
      <c r="G2076" s="9"/>
      <c r="H2076" s="257" t="s">
        <v>20188</v>
      </c>
      <c r="I2076" s="9">
        <v>2</v>
      </c>
    </row>
    <row r="2077" spans="1:9">
      <c r="A2077" s="257" t="s">
        <v>3175</v>
      </c>
      <c r="B2077" s="9">
        <v>1</v>
      </c>
      <c r="C2077" s="257" t="s">
        <v>10350</v>
      </c>
      <c r="D2077" s="9">
        <v>234.52600246077972</v>
      </c>
      <c r="E2077" s="9">
        <v>1721536.5294189453</v>
      </c>
      <c r="F2077" s="257" t="s">
        <v>15032</v>
      </c>
      <c r="G2077" s="9"/>
      <c r="H2077" s="257" t="s">
        <v>20189</v>
      </c>
      <c r="I2077" s="9">
        <v>2</v>
      </c>
    </row>
    <row r="2078" spans="1:9">
      <c r="A2078" s="257" t="s">
        <v>3176</v>
      </c>
      <c r="B2078" s="9">
        <v>1</v>
      </c>
      <c r="C2078" s="257" t="s">
        <v>10351</v>
      </c>
      <c r="D2078" s="9">
        <v>0</v>
      </c>
      <c r="E2078" s="9">
        <v>1721536.5294189453</v>
      </c>
      <c r="F2078" s="257" t="s">
        <v>15033</v>
      </c>
      <c r="G2078" s="9"/>
      <c r="H2078" s="257" t="s">
        <v>20190</v>
      </c>
      <c r="I2078" s="9">
        <v>2</v>
      </c>
    </row>
    <row r="2079" spans="1:9">
      <c r="A2079" s="257" t="s">
        <v>3177</v>
      </c>
      <c r="B2079" s="9">
        <v>1</v>
      </c>
      <c r="C2079" s="257" t="s">
        <v>10352</v>
      </c>
      <c r="D2079" s="9">
        <v>0</v>
      </c>
      <c r="E2079" s="9">
        <v>1721536.5294189453</v>
      </c>
      <c r="F2079" s="257" t="s">
        <v>15033</v>
      </c>
      <c r="G2079" s="9"/>
      <c r="H2079" s="257" t="s">
        <v>20191</v>
      </c>
      <c r="I2079" s="9">
        <v>2</v>
      </c>
    </row>
    <row r="2080" spans="1:9">
      <c r="A2080" s="257" t="s">
        <v>3178</v>
      </c>
      <c r="B2080" s="9">
        <v>1</v>
      </c>
      <c r="C2080" s="257" t="s">
        <v>10353</v>
      </c>
      <c r="D2080" s="9">
        <v>0</v>
      </c>
      <c r="E2080" s="9">
        <v>1721536.5294189453</v>
      </c>
      <c r="F2080" s="257" t="s">
        <v>15033</v>
      </c>
      <c r="G2080" s="9"/>
      <c r="H2080" s="257" t="s">
        <v>20192</v>
      </c>
      <c r="I2080" s="9">
        <v>2</v>
      </c>
    </row>
    <row r="2081" spans="1:9">
      <c r="A2081" s="257" t="s">
        <v>3179</v>
      </c>
      <c r="B2081" s="9">
        <v>1</v>
      </c>
      <c r="C2081" s="257" t="s">
        <v>10354</v>
      </c>
      <c r="D2081" s="9">
        <v>0</v>
      </c>
      <c r="E2081" s="9">
        <v>1721536.5294189453</v>
      </c>
      <c r="F2081" s="257" t="s">
        <v>15033</v>
      </c>
      <c r="G2081" s="9"/>
      <c r="H2081" s="257" t="s">
        <v>20193</v>
      </c>
      <c r="I2081" s="9">
        <v>2</v>
      </c>
    </row>
    <row r="2082" spans="1:9">
      <c r="A2082" s="257" t="s">
        <v>3180</v>
      </c>
      <c r="B2082" s="9">
        <v>2</v>
      </c>
      <c r="C2082" s="257" t="s">
        <v>10355</v>
      </c>
      <c r="D2082" s="9">
        <v>371304.27395629883</v>
      </c>
      <c r="E2082" s="9">
        <v>1728935.5716552734</v>
      </c>
      <c r="F2082" s="257" t="s">
        <v>15034</v>
      </c>
      <c r="G2082" s="9"/>
      <c r="H2082" s="257" t="s">
        <v>20194</v>
      </c>
      <c r="I2082" s="9">
        <v>2</v>
      </c>
    </row>
    <row r="2083" spans="1:9">
      <c r="A2083" s="257" t="s">
        <v>3181</v>
      </c>
      <c r="B2083" s="9">
        <v>2</v>
      </c>
      <c r="C2083" s="257" t="s">
        <v>10356</v>
      </c>
      <c r="D2083" s="9">
        <v>1221506233.8920085</v>
      </c>
      <c r="E2083" s="9">
        <v>1728935.5716552734</v>
      </c>
      <c r="F2083" s="257" t="s">
        <v>15034</v>
      </c>
      <c r="G2083" s="9"/>
      <c r="H2083" s="257" t="s">
        <v>20195</v>
      </c>
      <c r="I2083" s="9">
        <v>2</v>
      </c>
    </row>
    <row r="2084" spans="1:9">
      <c r="A2084" s="257" t="s">
        <v>3182</v>
      </c>
      <c r="B2084" s="9">
        <v>2</v>
      </c>
      <c r="C2084" s="257" t="s">
        <v>10357</v>
      </c>
      <c r="D2084" s="9">
        <v>0.21475888404610366</v>
      </c>
      <c r="E2084" s="9">
        <v>1728935.5716552734</v>
      </c>
      <c r="F2084" s="257" t="s">
        <v>15034</v>
      </c>
      <c r="G2084" s="9"/>
      <c r="H2084" s="257" t="s">
        <v>20196</v>
      </c>
      <c r="I2084" s="9">
        <v>2</v>
      </c>
    </row>
    <row r="2085" spans="1:9">
      <c r="A2085" s="257" t="s">
        <v>3183</v>
      </c>
      <c r="B2085" s="9">
        <v>2</v>
      </c>
      <c r="C2085" s="257" t="s">
        <v>10358</v>
      </c>
      <c r="D2085" s="9">
        <v>706.50766513094823</v>
      </c>
      <c r="E2085" s="9">
        <v>1728935.5716552734</v>
      </c>
      <c r="F2085" s="257" t="s">
        <v>15034</v>
      </c>
      <c r="G2085" s="9"/>
      <c r="H2085" s="257" t="s">
        <v>20197</v>
      </c>
      <c r="I2085" s="9">
        <v>2</v>
      </c>
    </row>
    <row r="2086" spans="1:9">
      <c r="A2086" s="257" t="s">
        <v>3184</v>
      </c>
      <c r="B2086" s="9">
        <v>2</v>
      </c>
      <c r="C2086" s="257" t="s">
        <v>10359</v>
      </c>
      <c r="D2086" s="9">
        <v>0</v>
      </c>
      <c r="E2086" s="9">
        <v>1728935.5716552734</v>
      </c>
      <c r="F2086" s="257" t="s">
        <v>15035</v>
      </c>
      <c r="G2086" s="9"/>
      <c r="H2086" s="257" t="s">
        <v>20198</v>
      </c>
      <c r="I2086" s="9">
        <v>2</v>
      </c>
    </row>
    <row r="2087" spans="1:9">
      <c r="A2087" s="257" t="s">
        <v>3185</v>
      </c>
      <c r="B2087" s="9">
        <v>2</v>
      </c>
      <c r="C2087" s="257" t="s">
        <v>10360</v>
      </c>
      <c r="D2087" s="9">
        <v>0</v>
      </c>
      <c r="E2087" s="9">
        <v>1728935.5716552734</v>
      </c>
      <c r="F2087" s="257" t="s">
        <v>15035</v>
      </c>
      <c r="G2087" s="9"/>
      <c r="H2087" s="257" t="s">
        <v>20199</v>
      </c>
      <c r="I2087" s="9">
        <v>2</v>
      </c>
    </row>
    <row r="2088" spans="1:9">
      <c r="A2088" s="257" t="s">
        <v>3186</v>
      </c>
      <c r="B2088" s="9">
        <v>2</v>
      </c>
      <c r="C2088" s="257" t="s">
        <v>10361</v>
      </c>
      <c r="D2088" s="9">
        <v>0</v>
      </c>
      <c r="E2088" s="9">
        <v>1728935.5716552734</v>
      </c>
      <c r="F2088" s="257" t="s">
        <v>15035</v>
      </c>
      <c r="G2088" s="9"/>
      <c r="H2088" s="257" t="s">
        <v>20200</v>
      </c>
      <c r="I2088" s="9">
        <v>2</v>
      </c>
    </row>
    <row r="2089" spans="1:9">
      <c r="A2089" s="257" t="s">
        <v>3187</v>
      </c>
      <c r="B2089" s="9">
        <v>2</v>
      </c>
      <c r="C2089" s="257" t="s">
        <v>10362</v>
      </c>
      <c r="D2089" s="9">
        <v>0</v>
      </c>
      <c r="E2089" s="9">
        <v>1728935.5716552734</v>
      </c>
      <c r="F2089" s="257" t="s">
        <v>15035</v>
      </c>
      <c r="G2089" s="9"/>
      <c r="H2089" s="257" t="s">
        <v>20201</v>
      </c>
      <c r="I2089" s="9">
        <v>2</v>
      </c>
    </row>
    <row r="2090" spans="1:9">
      <c r="A2090" s="257" t="s">
        <v>3188</v>
      </c>
      <c r="B2090" s="9">
        <v>2</v>
      </c>
      <c r="C2090" s="257" t="s">
        <v>10363</v>
      </c>
      <c r="D2090" s="9">
        <v>460464.61125183105</v>
      </c>
      <c r="E2090" s="9">
        <v>1728935.5716552734</v>
      </c>
      <c r="F2090" s="257" t="s">
        <v>15036</v>
      </c>
      <c r="G2090" s="9"/>
      <c r="H2090" s="257" t="s">
        <v>20202</v>
      </c>
      <c r="I2090" s="9">
        <v>2</v>
      </c>
    </row>
    <row r="2091" spans="1:9">
      <c r="A2091" s="257" t="s">
        <v>3189</v>
      </c>
      <c r="B2091" s="9">
        <v>2</v>
      </c>
      <c r="C2091" s="257" t="s">
        <v>10364</v>
      </c>
      <c r="D2091" s="9">
        <v>76645649.225105882</v>
      </c>
      <c r="E2091" s="9">
        <v>1728935.5716552734</v>
      </c>
      <c r="F2091" s="257" t="s">
        <v>15036</v>
      </c>
      <c r="G2091" s="9"/>
      <c r="H2091" s="257" t="s">
        <v>20203</v>
      </c>
      <c r="I2091" s="9">
        <v>2</v>
      </c>
    </row>
    <row r="2092" spans="1:9">
      <c r="A2092" s="257" t="s">
        <v>3190</v>
      </c>
      <c r="B2092" s="9">
        <v>2</v>
      </c>
      <c r="C2092" s="257" t="s">
        <v>10365</v>
      </c>
      <c r="D2092" s="9">
        <v>0.26632838076839654</v>
      </c>
      <c r="E2092" s="9">
        <v>1728935.5716552734</v>
      </c>
      <c r="F2092" s="257" t="s">
        <v>15036</v>
      </c>
      <c r="G2092" s="9"/>
      <c r="H2092" s="257" t="s">
        <v>20204</v>
      </c>
      <c r="I2092" s="9">
        <v>2</v>
      </c>
    </row>
    <row r="2093" spans="1:9">
      <c r="A2093" s="257" t="s">
        <v>3191</v>
      </c>
      <c r="B2093" s="9">
        <v>2</v>
      </c>
      <c r="C2093" s="257" t="s">
        <v>10366</v>
      </c>
      <c r="D2093" s="9">
        <v>44.331119378685557</v>
      </c>
      <c r="E2093" s="9">
        <v>1728935.5716552734</v>
      </c>
      <c r="F2093" s="257" t="s">
        <v>15036</v>
      </c>
      <c r="G2093" s="9"/>
      <c r="H2093" s="257" t="s">
        <v>20205</v>
      </c>
      <c r="I2093" s="9">
        <v>2</v>
      </c>
    </row>
    <row r="2094" spans="1:9">
      <c r="A2094" s="257" t="s">
        <v>3192</v>
      </c>
      <c r="B2094" s="9">
        <v>2</v>
      </c>
      <c r="C2094" s="257" t="s">
        <v>10367</v>
      </c>
      <c r="D2094" s="9">
        <v>0</v>
      </c>
      <c r="E2094" s="9">
        <v>1728935.5716552734</v>
      </c>
      <c r="F2094" s="257" t="s">
        <v>15037</v>
      </c>
      <c r="G2094" s="9"/>
      <c r="H2094" s="257" t="s">
        <v>20206</v>
      </c>
      <c r="I2094" s="9">
        <v>2</v>
      </c>
    </row>
    <row r="2095" spans="1:9">
      <c r="A2095" s="257" t="s">
        <v>3193</v>
      </c>
      <c r="B2095" s="9">
        <v>2</v>
      </c>
      <c r="C2095" s="257" t="s">
        <v>10368</v>
      </c>
      <c r="D2095" s="9">
        <v>0</v>
      </c>
      <c r="E2095" s="9">
        <v>1728935.5716552734</v>
      </c>
      <c r="F2095" s="257" t="s">
        <v>15037</v>
      </c>
      <c r="G2095" s="9"/>
      <c r="H2095" s="257" t="s">
        <v>20207</v>
      </c>
      <c r="I2095" s="9">
        <v>2</v>
      </c>
    </row>
    <row r="2096" spans="1:9">
      <c r="A2096" s="257" t="s">
        <v>3194</v>
      </c>
      <c r="B2096" s="9">
        <v>2</v>
      </c>
      <c r="C2096" s="257" t="s">
        <v>10369</v>
      </c>
      <c r="D2096" s="9">
        <v>0</v>
      </c>
      <c r="E2096" s="9">
        <v>1728935.5716552734</v>
      </c>
      <c r="F2096" s="257" t="s">
        <v>15037</v>
      </c>
      <c r="G2096" s="9"/>
      <c r="H2096" s="257" t="s">
        <v>20208</v>
      </c>
      <c r="I2096" s="9">
        <v>2</v>
      </c>
    </row>
    <row r="2097" spans="1:9">
      <c r="A2097" s="257" t="s">
        <v>3195</v>
      </c>
      <c r="B2097" s="9">
        <v>2</v>
      </c>
      <c r="C2097" s="257" t="s">
        <v>10370</v>
      </c>
      <c r="D2097" s="9">
        <v>0</v>
      </c>
      <c r="E2097" s="9">
        <v>1728935.5716552734</v>
      </c>
      <c r="F2097" s="257" t="s">
        <v>15037</v>
      </c>
      <c r="G2097" s="9"/>
      <c r="H2097" s="257" t="s">
        <v>20209</v>
      </c>
      <c r="I2097" s="9">
        <v>2</v>
      </c>
    </row>
    <row r="2098" spans="1:9">
      <c r="A2098" s="257" t="s">
        <v>3196</v>
      </c>
      <c r="B2098" s="9">
        <v>2</v>
      </c>
      <c r="C2098" s="257" t="s">
        <v>10371</v>
      </c>
      <c r="D2098" s="9">
        <v>0</v>
      </c>
      <c r="E2098" s="9">
        <v>1728935.5716552734</v>
      </c>
      <c r="F2098" s="257" t="s">
        <v>15038</v>
      </c>
      <c r="G2098" s="9"/>
      <c r="H2098" s="257" t="s">
        <v>20210</v>
      </c>
      <c r="I2098" s="9">
        <v>2</v>
      </c>
    </row>
    <row r="2099" spans="1:9">
      <c r="A2099" s="257" t="s">
        <v>3197</v>
      </c>
      <c r="B2099" s="9">
        <v>2</v>
      </c>
      <c r="C2099" s="257" t="s">
        <v>10372</v>
      </c>
      <c r="D2099" s="9">
        <v>0</v>
      </c>
      <c r="E2099" s="9">
        <v>1728935.5716552734</v>
      </c>
      <c r="F2099" s="257" t="s">
        <v>15038</v>
      </c>
      <c r="G2099" s="9"/>
      <c r="H2099" s="257" t="s">
        <v>20211</v>
      </c>
      <c r="I2099" s="9">
        <v>2</v>
      </c>
    </row>
    <row r="2100" spans="1:9">
      <c r="A2100" s="257" t="s">
        <v>3198</v>
      </c>
      <c r="B2100" s="9">
        <v>2</v>
      </c>
      <c r="C2100" s="257" t="s">
        <v>10373</v>
      </c>
      <c r="D2100" s="9">
        <v>0</v>
      </c>
      <c r="E2100" s="9">
        <v>1728935.5716552734</v>
      </c>
      <c r="F2100" s="257" t="s">
        <v>15038</v>
      </c>
      <c r="G2100" s="9"/>
      <c r="H2100" s="257" t="s">
        <v>20212</v>
      </c>
      <c r="I2100" s="9">
        <v>2</v>
      </c>
    </row>
    <row r="2101" spans="1:9">
      <c r="A2101" s="257" t="s">
        <v>3199</v>
      </c>
      <c r="B2101" s="9">
        <v>2</v>
      </c>
      <c r="C2101" s="257" t="s">
        <v>10374</v>
      </c>
      <c r="D2101" s="9">
        <v>0</v>
      </c>
      <c r="E2101" s="9">
        <v>1728935.5716552734</v>
      </c>
      <c r="F2101" s="257" t="s">
        <v>15038</v>
      </c>
      <c r="G2101" s="9"/>
      <c r="H2101" s="257" t="s">
        <v>20213</v>
      </c>
      <c r="I2101" s="9">
        <v>2</v>
      </c>
    </row>
    <row r="2102" spans="1:9">
      <c r="A2102" s="257" t="s">
        <v>3200</v>
      </c>
      <c r="B2102" s="9">
        <v>2</v>
      </c>
      <c r="C2102" s="257" t="s">
        <v>10375</v>
      </c>
      <c r="D2102" s="9">
        <v>0</v>
      </c>
      <c r="E2102" s="9">
        <v>1728935.5716552734</v>
      </c>
      <c r="F2102" s="257" t="s">
        <v>15039</v>
      </c>
      <c r="G2102" s="9"/>
      <c r="H2102" s="257" t="s">
        <v>20214</v>
      </c>
      <c r="I2102" s="9">
        <v>2</v>
      </c>
    </row>
    <row r="2103" spans="1:9">
      <c r="A2103" s="257" t="s">
        <v>3201</v>
      </c>
      <c r="B2103" s="9">
        <v>2</v>
      </c>
      <c r="C2103" s="257" t="s">
        <v>10376</v>
      </c>
      <c r="D2103" s="9">
        <v>0</v>
      </c>
      <c r="E2103" s="9">
        <v>1728935.5716552734</v>
      </c>
      <c r="F2103" s="257" t="s">
        <v>15039</v>
      </c>
      <c r="G2103" s="9"/>
      <c r="H2103" s="257" t="s">
        <v>20215</v>
      </c>
      <c r="I2103" s="9">
        <v>2</v>
      </c>
    </row>
    <row r="2104" spans="1:9">
      <c r="A2104" s="257" t="s">
        <v>3202</v>
      </c>
      <c r="B2104" s="9">
        <v>2</v>
      </c>
      <c r="C2104" s="257" t="s">
        <v>10377</v>
      </c>
      <c r="D2104" s="9">
        <v>0</v>
      </c>
      <c r="E2104" s="9">
        <v>1728935.5716552734</v>
      </c>
      <c r="F2104" s="257" t="s">
        <v>15039</v>
      </c>
      <c r="G2104" s="9"/>
      <c r="H2104" s="257" t="s">
        <v>20216</v>
      </c>
      <c r="I2104" s="9">
        <v>2</v>
      </c>
    </row>
    <row r="2105" spans="1:9">
      <c r="A2105" s="257" t="s">
        <v>3203</v>
      </c>
      <c r="B2105" s="9">
        <v>2</v>
      </c>
      <c r="C2105" s="257" t="s">
        <v>10378</v>
      </c>
      <c r="D2105" s="9">
        <v>0</v>
      </c>
      <c r="E2105" s="9">
        <v>1728935.5716552734</v>
      </c>
      <c r="F2105" s="257" t="s">
        <v>15039</v>
      </c>
      <c r="G2105" s="9"/>
      <c r="H2105" s="257" t="s">
        <v>20217</v>
      </c>
      <c r="I2105" s="9">
        <v>2</v>
      </c>
    </row>
    <row r="2106" spans="1:9">
      <c r="A2106" s="257" t="s">
        <v>3204</v>
      </c>
      <c r="B2106" s="9">
        <v>2</v>
      </c>
      <c r="C2106" s="257" t="s">
        <v>10379</v>
      </c>
      <c r="D2106" s="9">
        <v>460464.61125183105</v>
      </c>
      <c r="E2106" s="9">
        <v>1728935.5716552734</v>
      </c>
      <c r="F2106" s="257" t="s">
        <v>15040</v>
      </c>
      <c r="G2106" s="9"/>
      <c r="H2106" s="257" t="s">
        <v>20218</v>
      </c>
      <c r="I2106" s="9">
        <v>2</v>
      </c>
    </row>
    <row r="2107" spans="1:9">
      <c r="A2107" s="257" t="s">
        <v>3205</v>
      </c>
      <c r="B2107" s="9">
        <v>2</v>
      </c>
      <c r="C2107" s="257" t="s">
        <v>10380</v>
      </c>
      <c r="D2107" s="9">
        <v>76645649.225105882</v>
      </c>
      <c r="E2107" s="9">
        <v>1728935.5716552734</v>
      </c>
      <c r="F2107" s="257" t="s">
        <v>15040</v>
      </c>
      <c r="G2107" s="9"/>
      <c r="H2107" s="257" t="s">
        <v>20219</v>
      </c>
      <c r="I2107" s="9">
        <v>2</v>
      </c>
    </row>
    <row r="2108" spans="1:9">
      <c r="A2108" s="257" t="s">
        <v>3206</v>
      </c>
      <c r="B2108" s="9">
        <v>2</v>
      </c>
      <c r="C2108" s="257" t="s">
        <v>10381</v>
      </c>
      <c r="D2108" s="9">
        <v>0.26632838076839654</v>
      </c>
      <c r="E2108" s="9">
        <v>1728935.5716552734</v>
      </c>
      <c r="F2108" s="257" t="s">
        <v>15040</v>
      </c>
      <c r="G2108" s="9"/>
      <c r="H2108" s="257" t="s">
        <v>20220</v>
      </c>
      <c r="I2108" s="9">
        <v>2</v>
      </c>
    </row>
    <row r="2109" spans="1:9">
      <c r="A2109" s="257" t="s">
        <v>3207</v>
      </c>
      <c r="B2109" s="9">
        <v>2</v>
      </c>
      <c r="C2109" s="257" t="s">
        <v>10382</v>
      </c>
      <c r="D2109" s="9">
        <v>44.331119378685557</v>
      </c>
      <c r="E2109" s="9">
        <v>1728935.5716552734</v>
      </c>
      <c r="F2109" s="257" t="s">
        <v>15040</v>
      </c>
      <c r="G2109" s="9"/>
      <c r="H2109" s="257" t="s">
        <v>20221</v>
      </c>
      <c r="I2109" s="9">
        <v>2</v>
      </c>
    </row>
    <row r="2110" spans="1:9">
      <c r="A2110" s="257" t="s">
        <v>3208</v>
      </c>
      <c r="B2110" s="9">
        <v>2</v>
      </c>
      <c r="C2110" s="257" t="s">
        <v>10383</v>
      </c>
      <c r="D2110" s="9">
        <v>0</v>
      </c>
      <c r="E2110" s="9">
        <v>1728935.5716552734</v>
      </c>
      <c r="F2110" s="257" t="s">
        <v>15041</v>
      </c>
      <c r="G2110" s="9"/>
      <c r="H2110" s="257" t="s">
        <v>20222</v>
      </c>
      <c r="I2110" s="9">
        <v>2</v>
      </c>
    </row>
    <row r="2111" spans="1:9">
      <c r="A2111" s="257" t="s">
        <v>3209</v>
      </c>
      <c r="B2111" s="9">
        <v>2</v>
      </c>
      <c r="C2111" s="257" t="s">
        <v>10384</v>
      </c>
      <c r="D2111" s="9">
        <v>0</v>
      </c>
      <c r="E2111" s="9">
        <v>1728935.5716552734</v>
      </c>
      <c r="F2111" s="257" t="s">
        <v>15041</v>
      </c>
      <c r="G2111" s="9"/>
      <c r="H2111" s="257" t="s">
        <v>20223</v>
      </c>
      <c r="I2111" s="9">
        <v>2</v>
      </c>
    </row>
    <row r="2112" spans="1:9">
      <c r="A2112" s="257" t="s">
        <v>3210</v>
      </c>
      <c r="B2112" s="9">
        <v>2</v>
      </c>
      <c r="C2112" s="257" t="s">
        <v>10385</v>
      </c>
      <c r="D2112" s="9">
        <v>0</v>
      </c>
      <c r="E2112" s="9">
        <v>1728935.5716552734</v>
      </c>
      <c r="F2112" s="257" t="s">
        <v>15041</v>
      </c>
      <c r="G2112" s="9"/>
      <c r="H2112" s="257" t="s">
        <v>20224</v>
      </c>
      <c r="I2112" s="9">
        <v>2</v>
      </c>
    </row>
    <row r="2113" spans="1:9">
      <c r="A2113" s="257" t="s">
        <v>3211</v>
      </c>
      <c r="B2113" s="9">
        <v>2</v>
      </c>
      <c r="C2113" s="257" t="s">
        <v>10386</v>
      </c>
      <c r="D2113" s="9">
        <v>0</v>
      </c>
      <c r="E2113" s="9">
        <v>1728935.5716552734</v>
      </c>
      <c r="F2113" s="257" t="s">
        <v>15041</v>
      </c>
      <c r="G2113" s="9"/>
      <c r="H2113" s="257" t="s">
        <v>20225</v>
      </c>
      <c r="I2113" s="9">
        <v>2</v>
      </c>
    </row>
    <row r="2114" spans="1:9">
      <c r="A2114" s="257" t="s">
        <v>3212</v>
      </c>
      <c r="B2114" s="9">
        <v>2</v>
      </c>
      <c r="C2114" s="257" t="s">
        <v>10387</v>
      </c>
      <c r="D2114" s="9">
        <v>1728935.5716552734</v>
      </c>
      <c r="E2114" s="9">
        <v>1728935.5716552734</v>
      </c>
      <c r="F2114" s="257" t="s">
        <v>15042</v>
      </c>
      <c r="G2114" s="9"/>
      <c r="H2114" s="257" t="s">
        <v>20226</v>
      </c>
      <c r="I2114" s="9">
        <v>2</v>
      </c>
    </row>
    <row r="2115" spans="1:9">
      <c r="A2115" s="257" t="s">
        <v>3213</v>
      </c>
      <c r="B2115" s="9">
        <v>2</v>
      </c>
      <c r="C2115" s="257" t="s">
        <v>10388</v>
      </c>
      <c r="D2115" s="9">
        <v>2561537767.18677</v>
      </c>
      <c r="E2115" s="9">
        <v>1728935.5716552734</v>
      </c>
      <c r="F2115" s="257" t="s">
        <v>15042</v>
      </c>
      <c r="G2115" s="9"/>
      <c r="H2115" s="257" t="s">
        <v>20227</v>
      </c>
      <c r="I2115" s="9">
        <v>2</v>
      </c>
    </row>
    <row r="2116" spans="1:9">
      <c r="A2116" s="257" t="s">
        <v>3214</v>
      </c>
      <c r="B2116" s="9">
        <v>2</v>
      </c>
      <c r="C2116" s="257" t="s">
        <v>10389</v>
      </c>
      <c r="D2116" s="9">
        <v>1</v>
      </c>
      <c r="E2116" s="9">
        <v>1728935.5716552734</v>
      </c>
      <c r="F2116" s="257" t="s">
        <v>15042</v>
      </c>
      <c r="G2116" s="9"/>
      <c r="H2116" s="257" t="s">
        <v>20228</v>
      </c>
      <c r="I2116" s="9">
        <v>2</v>
      </c>
    </row>
    <row r="2117" spans="1:9">
      <c r="A2117" s="257" t="s">
        <v>3215</v>
      </c>
      <c r="B2117" s="9">
        <v>2</v>
      </c>
      <c r="C2117" s="257" t="s">
        <v>10390</v>
      </c>
      <c r="D2117" s="9">
        <v>1481.5692436325824</v>
      </c>
      <c r="E2117" s="9">
        <v>1728935.5716552734</v>
      </c>
      <c r="F2117" s="257" t="s">
        <v>15042</v>
      </c>
      <c r="G2117" s="9"/>
      <c r="H2117" s="257" t="s">
        <v>20229</v>
      </c>
      <c r="I2117" s="9">
        <v>2</v>
      </c>
    </row>
    <row r="2118" spans="1:9">
      <c r="A2118" s="257" t="s">
        <v>3216</v>
      </c>
      <c r="B2118" s="9">
        <v>2</v>
      </c>
      <c r="C2118" s="257" t="s">
        <v>10391</v>
      </c>
      <c r="D2118" s="9">
        <v>1728935.5716552734</v>
      </c>
      <c r="E2118" s="9">
        <v>1728935.5716552734</v>
      </c>
      <c r="F2118" s="257" t="s">
        <v>15043</v>
      </c>
      <c r="G2118" s="9"/>
      <c r="H2118" s="257" t="s">
        <v>20230</v>
      </c>
      <c r="I2118" s="9">
        <v>2</v>
      </c>
    </row>
    <row r="2119" spans="1:9">
      <c r="A2119" s="257" t="s">
        <v>3217</v>
      </c>
      <c r="B2119" s="9">
        <v>2</v>
      </c>
      <c r="C2119" s="257" t="s">
        <v>10392</v>
      </c>
      <c r="D2119" s="9">
        <v>2484892117.9616637</v>
      </c>
      <c r="E2119" s="9">
        <v>1728935.5716552734</v>
      </c>
      <c r="F2119" s="257" t="s">
        <v>15043</v>
      </c>
      <c r="G2119" s="9"/>
      <c r="H2119" s="257" t="s">
        <v>20231</v>
      </c>
      <c r="I2119" s="9">
        <v>2</v>
      </c>
    </row>
    <row r="2120" spans="1:9">
      <c r="A2120" s="257" t="s">
        <v>3218</v>
      </c>
      <c r="B2120" s="9">
        <v>2</v>
      </c>
      <c r="C2120" s="257" t="s">
        <v>10393</v>
      </c>
      <c r="D2120" s="9">
        <v>1</v>
      </c>
      <c r="E2120" s="9">
        <v>1728935.5716552734</v>
      </c>
      <c r="F2120" s="257" t="s">
        <v>15043</v>
      </c>
      <c r="G2120" s="9"/>
      <c r="H2120" s="257" t="s">
        <v>20232</v>
      </c>
      <c r="I2120" s="9">
        <v>2</v>
      </c>
    </row>
    <row r="2121" spans="1:9">
      <c r="A2121" s="257" t="s">
        <v>3219</v>
      </c>
      <c r="B2121" s="9">
        <v>2</v>
      </c>
      <c r="C2121" s="257" t="s">
        <v>10394</v>
      </c>
      <c r="D2121" s="9">
        <v>1437.2381242538966</v>
      </c>
      <c r="E2121" s="9">
        <v>1728935.5716552734</v>
      </c>
      <c r="F2121" s="257" t="s">
        <v>15043</v>
      </c>
      <c r="G2121" s="9"/>
      <c r="H2121" s="257" t="s">
        <v>20233</v>
      </c>
      <c r="I2121" s="9">
        <v>2</v>
      </c>
    </row>
    <row r="2122" spans="1:9">
      <c r="A2122" s="257" t="s">
        <v>3220</v>
      </c>
      <c r="B2122" s="9">
        <v>2</v>
      </c>
      <c r="C2122" s="257" t="s">
        <v>10395</v>
      </c>
      <c r="D2122" s="9">
        <v>1728935.5716552734</v>
      </c>
      <c r="E2122" s="9">
        <v>1728935.5716552734</v>
      </c>
      <c r="F2122" s="257" t="s">
        <v>15044</v>
      </c>
      <c r="G2122" s="9"/>
      <c r="H2122" s="257" t="s">
        <v>20234</v>
      </c>
      <c r="I2122" s="9">
        <v>2</v>
      </c>
    </row>
    <row r="2123" spans="1:9">
      <c r="A2123" s="257" t="s">
        <v>3221</v>
      </c>
      <c r="B2123" s="9">
        <v>2</v>
      </c>
      <c r="C2123" s="257" t="s">
        <v>10396</v>
      </c>
      <c r="D2123" s="9">
        <v>2561537767.18677</v>
      </c>
      <c r="E2123" s="9">
        <v>1728935.5716552734</v>
      </c>
      <c r="F2123" s="257" t="s">
        <v>15044</v>
      </c>
      <c r="G2123" s="9"/>
      <c r="H2123" s="257" t="s">
        <v>20235</v>
      </c>
      <c r="I2123" s="9">
        <v>2</v>
      </c>
    </row>
    <row r="2124" spans="1:9">
      <c r="A2124" s="257" t="s">
        <v>3222</v>
      </c>
      <c r="B2124" s="9">
        <v>2</v>
      </c>
      <c r="C2124" s="257" t="s">
        <v>10397</v>
      </c>
      <c r="D2124" s="9">
        <v>1</v>
      </c>
      <c r="E2124" s="9">
        <v>1728935.5716552734</v>
      </c>
      <c r="F2124" s="257" t="s">
        <v>15044</v>
      </c>
      <c r="G2124" s="9"/>
      <c r="H2124" s="257" t="s">
        <v>20236</v>
      </c>
      <c r="I2124" s="9">
        <v>2</v>
      </c>
    </row>
    <row r="2125" spans="1:9">
      <c r="A2125" s="257" t="s">
        <v>3223</v>
      </c>
      <c r="B2125" s="9">
        <v>2</v>
      </c>
      <c r="C2125" s="257" t="s">
        <v>10398</v>
      </c>
      <c r="D2125" s="9">
        <v>1481.5692436325824</v>
      </c>
      <c r="E2125" s="9">
        <v>1728935.5716552734</v>
      </c>
      <c r="F2125" s="257" t="s">
        <v>15044</v>
      </c>
      <c r="G2125" s="9"/>
      <c r="H2125" s="257" t="s">
        <v>20237</v>
      </c>
      <c r="I2125" s="9">
        <v>2</v>
      </c>
    </row>
    <row r="2126" spans="1:9">
      <c r="A2126" s="257" t="s">
        <v>3224</v>
      </c>
      <c r="B2126" s="9">
        <v>2</v>
      </c>
      <c r="C2126" s="257" t="s">
        <v>10399</v>
      </c>
      <c r="D2126" s="9">
        <v>1728935.5716552734</v>
      </c>
      <c r="E2126" s="9">
        <v>1728935.5716552734</v>
      </c>
      <c r="F2126" s="257" t="s">
        <v>15045</v>
      </c>
      <c r="G2126" s="9"/>
      <c r="H2126" s="257" t="s">
        <v>20238</v>
      </c>
      <c r="I2126" s="9">
        <v>2</v>
      </c>
    </row>
    <row r="2127" spans="1:9">
      <c r="A2127" s="257" t="s">
        <v>3225</v>
      </c>
      <c r="B2127" s="9">
        <v>2</v>
      </c>
      <c r="C2127" s="257" t="s">
        <v>10400</v>
      </c>
      <c r="D2127" s="9">
        <v>886579772.77209437</v>
      </c>
      <c r="E2127" s="9">
        <v>1728935.5716552734</v>
      </c>
      <c r="F2127" s="257" t="s">
        <v>15045</v>
      </c>
      <c r="G2127" s="9"/>
      <c r="H2127" s="257" t="s">
        <v>20239</v>
      </c>
      <c r="I2127" s="9">
        <v>2</v>
      </c>
    </row>
    <row r="2128" spans="1:9">
      <c r="A2128" s="257" t="s">
        <v>3226</v>
      </c>
      <c r="B2128" s="9">
        <v>2</v>
      </c>
      <c r="C2128" s="257" t="s">
        <v>10401</v>
      </c>
      <c r="D2128" s="9">
        <v>1</v>
      </c>
      <c r="E2128" s="9">
        <v>1728935.5716552734</v>
      </c>
      <c r="F2128" s="257" t="s">
        <v>15045</v>
      </c>
      <c r="G2128" s="9"/>
      <c r="H2128" s="257" t="s">
        <v>20240</v>
      </c>
      <c r="I2128" s="9">
        <v>2</v>
      </c>
    </row>
    <row r="2129" spans="1:9">
      <c r="A2129" s="257" t="s">
        <v>3227</v>
      </c>
      <c r="B2129" s="9">
        <v>2</v>
      </c>
      <c r="C2129" s="257" t="s">
        <v>10402</v>
      </c>
      <c r="D2129" s="9">
        <v>512.78936433894285</v>
      </c>
      <c r="E2129" s="9">
        <v>1728935.5716552734</v>
      </c>
      <c r="F2129" s="257" t="s">
        <v>15045</v>
      </c>
      <c r="G2129" s="9"/>
      <c r="H2129" s="257" t="s">
        <v>20241</v>
      </c>
      <c r="I2129" s="9">
        <v>2</v>
      </c>
    </row>
    <row r="2130" spans="1:9">
      <c r="A2130" s="257" t="s">
        <v>3228</v>
      </c>
      <c r="B2130" s="9">
        <v>2</v>
      </c>
      <c r="C2130" s="257" t="s">
        <v>10403</v>
      </c>
      <c r="D2130" s="9">
        <v>407549.17483520508</v>
      </c>
      <c r="E2130" s="9">
        <v>1728935.5716552734</v>
      </c>
      <c r="F2130" s="257" t="s">
        <v>15046</v>
      </c>
      <c r="G2130" s="9"/>
      <c r="H2130" s="257" t="s">
        <v>20242</v>
      </c>
      <c r="I2130" s="9">
        <v>2</v>
      </c>
    </row>
    <row r="2131" spans="1:9">
      <c r="A2131" s="257" t="s">
        <v>3229</v>
      </c>
      <c r="B2131" s="9">
        <v>2</v>
      </c>
      <c r="C2131" s="257" t="s">
        <v>10404</v>
      </c>
      <c r="D2131" s="9">
        <v>909008921.40612173</v>
      </c>
      <c r="E2131" s="9">
        <v>1728935.5716552734</v>
      </c>
      <c r="F2131" s="257" t="s">
        <v>15046</v>
      </c>
      <c r="G2131" s="9"/>
      <c r="H2131" s="257" t="s">
        <v>20243</v>
      </c>
      <c r="I2131" s="9">
        <v>2</v>
      </c>
    </row>
    <row r="2132" spans="1:9">
      <c r="A2132" s="257" t="s">
        <v>3230</v>
      </c>
      <c r="B2132" s="9">
        <v>2</v>
      </c>
      <c r="C2132" s="257" t="s">
        <v>10405</v>
      </c>
      <c r="D2132" s="9">
        <v>0.23572259227972256</v>
      </c>
      <c r="E2132" s="9">
        <v>1728935.5716552734</v>
      </c>
      <c r="F2132" s="257" t="s">
        <v>15046</v>
      </c>
      <c r="G2132" s="9"/>
      <c r="H2132" s="257" t="s">
        <v>20244</v>
      </c>
      <c r="I2132" s="9">
        <v>2</v>
      </c>
    </row>
    <row r="2133" spans="1:9">
      <c r="A2133" s="257" t="s">
        <v>3231</v>
      </c>
      <c r="B2133" s="9">
        <v>2</v>
      </c>
      <c r="C2133" s="257" t="s">
        <v>10406</v>
      </c>
      <c r="D2133" s="9">
        <v>525.76217200265103</v>
      </c>
      <c r="E2133" s="9">
        <v>1728935.5716552734</v>
      </c>
      <c r="F2133" s="257" t="s">
        <v>15046</v>
      </c>
      <c r="G2133" s="9"/>
      <c r="H2133" s="257" t="s">
        <v>20245</v>
      </c>
      <c r="I2133" s="9">
        <v>2</v>
      </c>
    </row>
    <row r="2134" spans="1:9">
      <c r="A2134" s="257" t="s">
        <v>3232</v>
      </c>
      <c r="B2134" s="9">
        <v>2</v>
      </c>
      <c r="C2134" s="257" t="s">
        <v>10407</v>
      </c>
      <c r="D2134" s="9">
        <v>1728935.5716552734</v>
      </c>
      <c r="E2134" s="9">
        <v>1728935.5716552734</v>
      </c>
      <c r="F2134" s="257" t="s">
        <v>15047</v>
      </c>
      <c r="G2134" s="9"/>
      <c r="H2134" s="257" t="s">
        <v>20246</v>
      </c>
      <c r="I2134" s="9">
        <v>2</v>
      </c>
    </row>
    <row r="2135" spans="1:9">
      <c r="A2135" s="257" t="s">
        <v>3233</v>
      </c>
      <c r="B2135" s="9">
        <v>2</v>
      </c>
      <c r="C2135" s="257" t="s">
        <v>10408</v>
      </c>
      <c r="D2135" s="9">
        <v>3393901039.3677859</v>
      </c>
      <c r="E2135" s="9">
        <v>1728935.5716552734</v>
      </c>
      <c r="F2135" s="257" t="s">
        <v>15047</v>
      </c>
      <c r="G2135" s="9"/>
      <c r="H2135" s="257" t="s">
        <v>20247</v>
      </c>
      <c r="I2135" s="9">
        <v>2</v>
      </c>
    </row>
    <row r="2136" spans="1:9">
      <c r="A2136" s="257" t="s">
        <v>3234</v>
      </c>
      <c r="B2136" s="9">
        <v>2</v>
      </c>
      <c r="C2136" s="257" t="s">
        <v>10409</v>
      </c>
      <c r="D2136" s="9">
        <v>1</v>
      </c>
      <c r="E2136" s="9">
        <v>1728935.5716552734</v>
      </c>
      <c r="F2136" s="257" t="s">
        <v>15047</v>
      </c>
      <c r="G2136" s="9"/>
      <c r="H2136" s="257" t="s">
        <v>20248</v>
      </c>
      <c r="I2136" s="9">
        <v>2</v>
      </c>
    </row>
    <row r="2137" spans="1:9">
      <c r="A2137" s="257" t="s">
        <v>3235</v>
      </c>
      <c r="B2137" s="9">
        <v>2</v>
      </c>
      <c r="C2137" s="257" t="s">
        <v>10410</v>
      </c>
      <c r="D2137" s="9">
        <v>1963.0002962565479</v>
      </c>
      <c r="E2137" s="9">
        <v>1728935.5716552734</v>
      </c>
      <c r="F2137" s="257" t="s">
        <v>15047</v>
      </c>
      <c r="G2137" s="9"/>
      <c r="H2137" s="257" t="s">
        <v>20249</v>
      </c>
      <c r="I2137" s="9">
        <v>2</v>
      </c>
    </row>
    <row r="2138" spans="1:9">
      <c r="A2138" s="257" t="s">
        <v>3236</v>
      </c>
      <c r="B2138" s="9">
        <v>2</v>
      </c>
      <c r="C2138" s="257" t="s">
        <v>10411</v>
      </c>
      <c r="D2138" s="9">
        <v>1728935.5716552734</v>
      </c>
      <c r="E2138" s="9">
        <v>1728935.5716552734</v>
      </c>
      <c r="F2138" s="257" t="s">
        <v>15048</v>
      </c>
      <c r="G2138" s="9"/>
      <c r="H2138" s="257" t="s">
        <v>20250</v>
      </c>
      <c r="I2138" s="9">
        <v>2</v>
      </c>
    </row>
    <row r="2139" spans="1:9">
      <c r="A2139" s="257" t="s">
        <v>3237</v>
      </c>
      <c r="B2139" s="9">
        <v>2</v>
      </c>
      <c r="C2139" s="257" t="s">
        <v>10412</v>
      </c>
      <c r="D2139" s="9">
        <v>3470546688.5928917</v>
      </c>
      <c r="E2139" s="9">
        <v>1728935.5716552734</v>
      </c>
      <c r="F2139" s="257" t="s">
        <v>15048</v>
      </c>
      <c r="G2139" s="9"/>
      <c r="H2139" s="257" t="s">
        <v>20251</v>
      </c>
      <c r="I2139" s="9">
        <v>2</v>
      </c>
    </row>
    <row r="2140" spans="1:9">
      <c r="A2140" s="257" t="s">
        <v>3238</v>
      </c>
      <c r="B2140" s="9">
        <v>2</v>
      </c>
      <c r="C2140" s="257" t="s">
        <v>10413</v>
      </c>
      <c r="D2140" s="9">
        <v>1</v>
      </c>
      <c r="E2140" s="9">
        <v>1728935.5716552734</v>
      </c>
      <c r="F2140" s="257" t="s">
        <v>15048</v>
      </c>
      <c r="G2140" s="9"/>
      <c r="H2140" s="257" t="s">
        <v>20252</v>
      </c>
      <c r="I2140" s="9">
        <v>2</v>
      </c>
    </row>
    <row r="2141" spans="1:9">
      <c r="A2141" s="257" t="s">
        <v>3239</v>
      </c>
      <c r="B2141" s="9">
        <v>2</v>
      </c>
      <c r="C2141" s="257" t="s">
        <v>10414</v>
      </c>
      <c r="D2141" s="9">
        <v>2007.3314156352335</v>
      </c>
      <c r="E2141" s="9">
        <v>1728935.5716552734</v>
      </c>
      <c r="F2141" s="257" t="s">
        <v>15048</v>
      </c>
      <c r="G2141" s="9"/>
      <c r="H2141" s="257" t="s">
        <v>20253</v>
      </c>
      <c r="I2141" s="9">
        <v>2</v>
      </c>
    </row>
    <row r="2142" spans="1:9">
      <c r="A2142" s="257" t="s">
        <v>3240</v>
      </c>
      <c r="B2142" s="9">
        <v>2</v>
      </c>
      <c r="C2142" s="257" t="s">
        <v>10415</v>
      </c>
      <c r="D2142" s="9">
        <v>460319.74406433105</v>
      </c>
      <c r="E2142" s="9">
        <v>1728935.5716552734</v>
      </c>
      <c r="F2142" s="257" t="s">
        <v>15049</v>
      </c>
      <c r="G2142" s="9"/>
      <c r="H2142" s="257" t="s">
        <v>20254</v>
      </c>
      <c r="I2142" s="9">
        <v>2</v>
      </c>
    </row>
    <row r="2143" spans="1:9">
      <c r="A2143" s="257" t="s">
        <v>3241</v>
      </c>
      <c r="B2143" s="9">
        <v>2</v>
      </c>
      <c r="C2143" s="257" t="s">
        <v>10416</v>
      </c>
      <c r="D2143" s="9">
        <v>1215936986.96979</v>
      </c>
      <c r="E2143" s="9">
        <v>1728935.5716552734</v>
      </c>
      <c r="F2143" s="257" t="s">
        <v>15049</v>
      </c>
      <c r="G2143" s="9"/>
      <c r="H2143" s="257" t="s">
        <v>20255</v>
      </c>
      <c r="I2143" s="9">
        <v>2</v>
      </c>
    </row>
    <row r="2144" spans="1:9">
      <c r="A2144" s="257" t="s">
        <v>3242</v>
      </c>
      <c r="B2144" s="9">
        <v>2</v>
      </c>
      <c r="C2144" s="257" t="s">
        <v>10417</v>
      </c>
      <c r="D2144" s="9">
        <v>0.26624459095582342</v>
      </c>
      <c r="E2144" s="9">
        <v>1728935.5716552734</v>
      </c>
      <c r="F2144" s="257" t="s">
        <v>15049</v>
      </c>
      <c r="G2144" s="9"/>
      <c r="H2144" s="257" t="s">
        <v>20256</v>
      </c>
      <c r="I2144" s="9">
        <v>2</v>
      </c>
    </row>
    <row r="2145" spans="1:9">
      <c r="A2145" s="257" t="s">
        <v>3243</v>
      </c>
      <c r="B2145" s="9">
        <v>2</v>
      </c>
      <c r="C2145" s="257" t="s">
        <v>10418</v>
      </c>
      <c r="D2145" s="9">
        <v>703.28646532829362</v>
      </c>
      <c r="E2145" s="9">
        <v>1728935.5716552734</v>
      </c>
      <c r="F2145" s="257" t="s">
        <v>15049</v>
      </c>
      <c r="G2145" s="9"/>
      <c r="H2145" s="257" t="s">
        <v>20257</v>
      </c>
      <c r="I2145" s="9">
        <v>2</v>
      </c>
    </row>
    <row r="2146" spans="1:9">
      <c r="A2146" s="257" t="s">
        <v>3244</v>
      </c>
      <c r="B2146" s="9">
        <v>2</v>
      </c>
      <c r="C2146" s="257" t="s">
        <v>10419</v>
      </c>
      <c r="D2146" s="9">
        <v>460319.74406433105</v>
      </c>
      <c r="E2146" s="9">
        <v>1728935.5716552734</v>
      </c>
      <c r="F2146" s="257" t="s">
        <v>15050</v>
      </c>
      <c r="G2146" s="9"/>
      <c r="H2146" s="257" t="s">
        <v>20258</v>
      </c>
      <c r="I2146" s="9">
        <v>2</v>
      </c>
    </row>
    <row r="2147" spans="1:9">
      <c r="A2147" s="257" t="s">
        <v>3245</v>
      </c>
      <c r="B2147" s="9">
        <v>2</v>
      </c>
      <c r="C2147" s="257" t="s">
        <v>10420</v>
      </c>
      <c r="D2147" s="9">
        <v>1292582636.1948957</v>
      </c>
      <c r="E2147" s="9">
        <v>1728935.5716552734</v>
      </c>
      <c r="F2147" s="257" t="s">
        <v>15050</v>
      </c>
      <c r="G2147" s="9"/>
      <c r="H2147" s="257" t="s">
        <v>20259</v>
      </c>
      <c r="I2147" s="9">
        <v>2</v>
      </c>
    </row>
    <row r="2148" spans="1:9">
      <c r="A2148" s="257" t="s">
        <v>3246</v>
      </c>
      <c r="B2148" s="9">
        <v>2</v>
      </c>
      <c r="C2148" s="257" t="s">
        <v>10421</v>
      </c>
      <c r="D2148" s="9">
        <v>0.26624459095582342</v>
      </c>
      <c r="E2148" s="9">
        <v>1728935.5716552734</v>
      </c>
      <c r="F2148" s="257" t="s">
        <v>15050</v>
      </c>
      <c r="G2148" s="9"/>
      <c r="H2148" s="257" t="s">
        <v>20260</v>
      </c>
      <c r="I2148" s="9">
        <v>2</v>
      </c>
    </row>
    <row r="2149" spans="1:9">
      <c r="A2149" s="257" t="s">
        <v>3247</v>
      </c>
      <c r="B2149" s="9">
        <v>2</v>
      </c>
      <c r="C2149" s="257" t="s">
        <v>10422</v>
      </c>
      <c r="D2149" s="9">
        <v>747.61758470697907</v>
      </c>
      <c r="E2149" s="9">
        <v>1728935.5716552734</v>
      </c>
      <c r="F2149" s="257" t="s">
        <v>15050</v>
      </c>
      <c r="G2149" s="9"/>
      <c r="H2149" s="257" t="s">
        <v>20261</v>
      </c>
      <c r="I2149" s="9">
        <v>2</v>
      </c>
    </row>
    <row r="2150" spans="1:9">
      <c r="A2150" s="257" t="s">
        <v>3248</v>
      </c>
      <c r="B2150" s="9">
        <v>2</v>
      </c>
      <c r="C2150" s="257" t="s">
        <v>10423</v>
      </c>
      <c r="D2150" s="9">
        <v>1728935.5716552734</v>
      </c>
      <c r="E2150" s="9">
        <v>1728935.5716552734</v>
      </c>
      <c r="F2150" s="257" t="s">
        <v>15051</v>
      </c>
      <c r="G2150" s="9"/>
      <c r="H2150" s="257" t="s">
        <v>20262</v>
      </c>
      <c r="I2150" s="9">
        <v>2</v>
      </c>
    </row>
    <row r="2151" spans="1:9">
      <c r="A2151" s="257" t="s">
        <v>3249</v>
      </c>
      <c r="B2151" s="9">
        <v>2</v>
      </c>
      <c r="C2151" s="257" t="s">
        <v>10424</v>
      </c>
      <c r="D2151" s="9">
        <v>1268955130.991874</v>
      </c>
      <c r="E2151" s="9">
        <v>1728935.5716552734</v>
      </c>
      <c r="F2151" s="257" t="s">
        <v>15051</v>
      </c>
      <c r="G2151" s="9"/>
      <c r="H2151" s="257" t="s">
        <v>20263</v>
      </c>
      <c r="I2151" s="9">
        <v>2</v>
      </c>
    </row>
    <row r="2152" spans="1:9">
      <c r="A2152" s="257" t="s">
        <v>3250</v>
      </c>
      <c r="B2152" s="9">
        <v>2</v>
      </c>
      <c r="C2152" s="257" t="s">
        <v>10425</v>
      </c>
      <c r="D2152" s="9">
        <v>1</v>
      </c>
      <c r="E2152" s="9">
        <v>1728935.5716552734</v>
      </c>
      <c r="F2152" s="257" t="s">
        <v>15051</v>
      </c>
      <c r="G2152" s="9"/>
      <c r="H2152" s="257" t="s">
        <v>20264</v>
      </c>
      <c r="I2152" s="9">
        <v>2</v>
      </c>
    </row>
    <row r="2153" spans="1:9">
      <c r="A2153" s="257" t="s">
        <v>3251</v>
      </c>
      <c r="B2153" s="9">
        <v>2</v>
      </c>
      <c r="C2153" s="257" t="s">
        <v>10426</v>
      </c>
      <c r="D2153" s="9">
        <v>733.95165892560317</v>
      </c>
      <c r="E2153" s="9">
        <v>1728935.5716552734</v>
      </c>
      <c r="F2153" s="257" t="s">
        <v>15051</v>
      </c>
      <c r="G2153" s="9"/>
      <c r="H2153" s="257" t="s">
        <v>20265</v>
      </c>
      <c r="I2153" s="9">
        <v>2</v>
      </c>
    </row>
    <row r="2154" spans="1:9">
      <c r="A2154" s="257" t="s">
        <v>3252</v>
      </c>
      <c r="B2154" s="9">
        <v>2</v>
      </c>
      <c r="C2154" s="257" t="s">
        <v>10427</v>
      </c>
      <c r="D2154" s="9">
        <v>1728935.5716552734</v>
      </c>
      <c r="E2154" s="9">
        <v>1728935.5716552734</v>
      </c>
      <c r="F2154" s="257" t="s">
        <v>15052</v>
      </c>
      <c r="G2154" s="9"/>
      <c r="H2154" s="257" t="s">
        <v>20266</v>
      </c>
      <c r="I2154" s="9">
        <v>2</v>
      </c>
    </row>
    <row r="2155" spans="1:9">
      <c r="A2155" s="257" t="s">
        <v>3253</v>
      </c>
      <c r="B2155" s="9">
        <v>2</v>
      </c>
      <c r="C2155" s="257" t="s">
        <v>10428</v>
      </c>
      <c r="D2155" s="9">
        <v>2108086006.664103</v>
      </c>
      <c r="E2155" s="9">
        <v>1728935.5716552734</v>
      </c>
      <c r="F2155" s="257" t="s">
        <v>15052</v>
      </c>
      <c r="G2155" s="9"/>
      <c r="H2155" s="257" t="s">
        <v>20267</v>
      </c>
      <c r="I2155" s="9">
        <v>2</v>
      </c>
    </row>
    <row r="2156" spans="1:9">
      <c r="A2156" s="257" t="s">
        <v>3254</v>
      </c>
      <c r="B2156" s="9">
        <v>2</v>
      </c>
      <c r="C2156" s="257" t="s">
        <v>10429</v>
      </c>
      <c r="D2156" s="9">
        <v>1</v>
      </c>
      <c r="E2156" s="9">
        <v>1728935.5716552734</v>
      </c>
      <c r="F2156" s="257" t="s">
        <v>15052</v>
      </c>
      <c r="G2156" s="9"/>
      <c r="H2156" s="257" t="s">
        <v>20268</v>
      </c>
      <c r="I2156" s="9">
        <v>2</v>
      </c>
    </row>
    <row r="2157" spans="1:9">
      <c r="A2157" s="257" t="s">
        <v>3255</v>
      </c>
      <c r="B2157" s="9">
        <v>2</v>
      </c>
      <c r="C2157" s="257" t="s">
        <v>10430</v>
      </c>
      <c r="D2157" s="9">
        <v>1219.2970294698912</v>
      </c>
      <c r="E2157" s="9">
        <v>1728935.5716552734</v>
      </c>
      <c r="F2157" s="257" t="s">
        <v>15052</v>
      </c>
      <c r="G2157" s="9"/>
      <c r="H2157" s="257" t="s">
        <v>20269</v>
      </c>
      <c r="I2157" s="9">
        <v>2</v>
      </c>
    </row>
    <row r="2158" spans="1:9">
      <c r="A2158" s="257" t="s">
        <v>3256</v>
      </c>
      <c r="B2158" s="9">
        <v>2</v>
      </c>
      <c r="C2158" s="257" t="s">
        <v>10431</v>
      </c>
      <c r="D2158" s="9">
        <v>462838.70304870605</v>
      </c>
      <c r="E2158" s="9">
        <v>1728935.5716552734</v>
      </c>
      <c r="F2158" s="257" t="s">
        <v>15053</v>
      </c>
      <c r="G2158" s="9"/>
      <c r="H2158" s="257" t="s">
        <v>20270</v>
      </c>
      <c r="I2158" s="9">
        <v>2</v>
      </c>
    </row>
    <row r="2159" spans="1:9">
      <c r="A2159" s="257" t="s">
        <v>3257</v>
      </c>
      <c r="B2159" s="9">
        <v>2</v>
      </c>
      <c r="C2159" s="257" t="s">
        <v>10432</v>
      </c>
      <c r="D2159" s="9">
        <v>1744804105.1406186</v>
      </c>
      <c r="E2159" s="9">
        <v>1728935.5716552734</v>
      </c>
      <c r="F2159" s="257" t="s">
        <v>15053</v>
      </c>
      <c r="G2159" s="9"/>
      <c r="H2159" s="257" t="s">
        <v>20271</v>
      </c>
      <c r="I2159" s="9">
        <v>2</v>
      </c>
    </row>
    <row r="2160" spans="1:9">
      <c r="A2160" s="257" t="s">
        <v>3258</v>
      </c>
      <c r="B2160" s="9">
        <v>2</v>
      </c>
      <c r="C2160" s="257" t="s">
        <v>10433</v>
      </c>
      <c r="D2160" s="9">
        <v>0.26770153303375371</v>
      </c>
      <c r="E2160" s="9">
        <v>1728935.5716552734</v>
      </c>
      <c r="F2160" s="257" t="s">
        <v>15053</v>
      </c>
      <c r="G2160" s="9"/>
      <c r="H2160" s="257" t="s">
        <v>20272</v>
      </c>
      <c r="I2160" s="9">
        <v>2</v>
      </c>
    </row>
    <row r="2161" spans="1:9">
      <c r="A2161" s="257" t="s">
        <v>3259</v>
      </c>
      <c r="B2161" s="9">
        <v>2</v>
      </c>
      <c r="C2161" s="257" t="s">
        <v>10434</v>
      </c>
      <c r="D2161" s="9">
        <v>1009.1782098451203</v>
      </c>
      <c r="E2161" s="9">
        <v>1728935.5716552734</v>
      </c>
      <c r="F2161" s="257" t="s">
        <v>15053</v>
      </c>
      <c r="G2161" s="9"/>
      <c r="H2161" s="257" t="s">
        <v>20273</v>
      </c>
      <c r="I2161" s="9">
        <v>2</v>
      </c>
    </row>
    <row r="2162" spans="1:9">
      <c r="A2162" s="257" t="s">
        <v>3260</v>
      </c>
      <c r="B2162" s="9">
        <v>2</v>
      </c>
      <c r="C2162" s="257" t="s">
        <v>10435</v>
      </c>
      <c r="D2162" s="9">
        <v>0</v>
      </c>
      <c r="E2162" s="9">
        <v>1728935.5716552734</v>
      </c>
      <c r="F2162" s="257" t="s">
        <v>15054</v>
      </c>
      <c r="G2162" s="9"/>
      <c r="H2162" s="257" t="s">
        <v>20274</v>
      </c>
      <c r="I2162" s="9">
        <v>2</v>
      </c>
    </row>
    <row r="2163" spans="1:9">
      <c r="A2163" s="257" t="s">
        <v>3261</v>
      </c>
      <c r="B2163" s="9">
        <v>2</v>
      </c>
      <c r="C2163" s="257" t="s">
        <v>10436</v>
      </c>
      <c r="D2163" s="9">
        <v>-382343423.2118299</v>
      </c>
      <c r="E2163" s="9">
        <v>1728935.5716552734</v>
      </c>
      <c r="F2163" s="257" t="s">
        <v>15054</v>
      </c>
      <c r="G2163" s="9"/>
      <c r="H2163" s="257" t="s">
        <v>20275</v>
      </c>
      <c r="I2163" s="9">
        <v>2</v>
      </c>
    </row>
    <row r="2164" spans="1:9">
      <c r="A2164" s="257" t="s">
        <v>3262</v>
      </c>
      <c r="B2164" s="9">
        <v>2</v>
      </c>
      <c r="C2164" s="257" t="s">
        <v>10437</v>
      </c>
      <c r="D2164" s="9">
        <v>0</v>
      </c>
      <c r="E2164" s="9">
        <v>1728935.5716552734</v>
      </c>
      <c r="F2164" s="257" t="s">
        <v>15054</v>
      </c>
      <c r="G2164" s="9"/>
      <c r="H2164" s="257" t="s">
        <v>20276</v>
      </c>
      <c r="I2164" s="9">
        <v>2</v>
      </c>
    </row>
    <row r="2165" spans="1:9">
      <c r="A2165" s="257" t="s">
        <v>3263</v>
      </c>
      <c r="B2165" s="9">
        <v>2</v>
      </c>
      <c r="C2165" s="257" t="s">
        <v>10438</v>
      </c>
      <c r="D2165" s="9">
        <v>-221.14382367977797</v>
      </c>
      <c r="E2165" s="9">
        <v>1728935.5716552734</v>
      </c>
      <c r="F2165" s="257" t="s">
        <v>15054</v>
      </c>
      <c r="G2165" s="9"/>
      <c r="H2165" s="257" t="s">
        <v>20277</v>
      </c>
      <c r="I2165" s="9">
        <v>2</v>
      </c>
    </row>
    <row r="2166" spans="1:9">
      <c r="A2166" s="257" t="s">
        <v>3264</v>
      </c>
      <c r="B2166" s="9">
        <v>2</v>
      </c>
      <c r="C2166" s="257" t="s">
        <v>10439</v>
      </c>
      <c r="D2166" s="9">
        <v>460319.74406433105</v>
      </c>
      <c r="E2166" s="9">
        <v>1728935.5716552734</v>
      </c>
      <c r="F2166" s="257" t="s">
        <v>15055</v>
      </c>
      <c r="G2166" s="9"/>
      <c r="H2166" s="257" t="s">
        <v>20278</v>
      </c>
      <c r="I2166" s="9">
        <v>2</v>
      </c>
    </row>
    <row r="2167" spans="1:9">
      <c r="A2167" s="257" t="s">
        <v>3265</v>
      </c>
      <c r="B2167" s="9">
        <v>2</v>
      </c>
      <c r="C2167" s="257" t="s">
        <v>10440</v>
      </c>
      <c r="D2167" s="9">
        <v>1362460681.9287884</v>
      </c>
      <c r="E2167" s="9">
        <v>1728935.5716552734</v>
      </c>
      <c r="F2167" s="257" t="s">
        <v>15055</v>
      </c>
      <c r="G2167" s="9"/>
      <c r="H2167" s="257" t="s">
        <v>20279</v>
      </c>
      <c r="I2167" s="9">
        <v>2</v>
      </c>
    </row>
    <row r="2168" spans="1:9">
      <c r="A2168" s="257" t="s">
        <v>3266</v>
      </c>
      <c r="B2168" s="9">
        <v>2</v>
      </c>
      <c r="C2168" s="257" t="s">
        <v>10441</v>
      </c>
      <c r="D2168" s="9">
        <v>0.26624459095582342</v>
      </c>
      <c r="E2168" s="9">
        <v>1728935.5716552734</v>
      </c>
      <c r="F2168" s="257" t="s">
        <v>15055</v>
      </c>
      <c r="G2168" s="9"/>
      <c r="H2168" s="257" t="s">
        <v>20280</v>
      </c>
      <c r="I2168" s="9">
        <v>2</v>
      </c>
    </row>
    <row r="2169" spans="1:9">
      <c r="A2169" s="257" t="s">
        <v>3267</v>
      </c>
      <c r="B2169" s="9">
        <v>2</v>
      </c>
      <c r="C2169" s="257" t="s">
        <v>10442</v>
      </c>
      <c r="D2169" s="9">
        <v>788.0343861653422</v>
      </c>
      <c r="E2169" s="9">
        <v>1728935.5716552734</v>
      </c>
      <c r="F2169" s="257" t="s">
        <v>15055</v>
      </c>
      <c r="G2169" s="9"/>
      <c r="H2169" s="257" t="s">
        <v>20281</v>
      </c>
      <c r="I2169" s="9">
        <v>2</v>
      </c>
    </row>
    <row r="2170" spans="1:9">
      <c r="A2170" s="257" t="s">
        <v>3268</v>
      </c>
      <c r="B2170" s="9">
        <v>2</v>
      </c>
      <c r="C2170" s="257" t="s">
        <v>10443</v>
      </c>
      <c r="D2170" s="9">
        <v>51071.08203125</v>
      </c>
      <c r="E2170" s="9">
        <v>1728935.5716552734</v>
      </c>
      <c r="F2170" s="257" t="s">
        <v>15056</v>
      </c>
      <c r="G2170" s="9"/>
      <c r="H2170" s="257" t="s">
        <v>20282</v>
      </c>
      <c r="I2170" s="9">
        <v>2</v>
      </c>
    </row>
    <row r="2171" spans="1:9">
      <c r="A2171" s="257" t="s">
        <v>3269</v>
      </c>
      <c r="B2171" s="9">
        <v>2</v>
      </c>
      <c r="C2171" s="257" t="s">
        <v>10444</v>
      </c>
      <c r="D2171" s="9">
        <v>69878045.733892769</v>
      </c>
      <c r="E2171" s="9">
        <v>1728935.5716552734</v>
      </c>
      <c r="F2171" s="257" t="s">
        <v>15056</v>
      </c>
      <c r="G2171" s="9"/>
      <c r="H2171" s="257" t="s">
        <v>20283</v>
      </c>
      <c r="I2171" s="9">
        <v>2</v>
      </c>
    </row>
    <row r="2172" spans="1:9">
      <c r="A2172" s="257" t="s">
        <v>3270</v>
      </c>
      <c r="B2172" s="9">
        <v>2</v>
      </c>
      <c r="C2172" s="257" t="s">
        <v>10445</v>
      </c>
      <c r="D2172" s="9">
        <v>2.9539031337272346E-2</v>
      </c>
      <c r="E2172" s="9">
        <v>1728935.5716552734</v>
      </c>
      <c r="F2172" s="257" t="s">
        <v>15056</v>
      </c>
      <c r="G2172" s="9"/>
      <c r="H2172" s="257" t="s">
        <v>20284</v>
      </c>
      <c r="I2172" s="9">
        <v>2</v>
      </c>
    </row>
    <row r="2173" spans="1:9">
      <c r="A2173" s="257" t="s">
        <v>3271</v>
      </c>
      <c r="B2173" s="9">
        <v>2</v>
      </c>
      <c r="C2173" s="257" t="s">
        <v>10446</v>
      </c>
      <c r="D2173" s="9">
        <v>40.416801458363139</v>
      </c>
      <c r="E2173" s="9">
        <v>1728935.5716552734</v>
      </c>
      <c r="F2173" s="257" t="s">
        <v>15056</v>
      </c>
      <c r="G2173" s="9"/>
      <c r="H2173" s="257" t="s">
        <v>20285</v>
      </c>
      <c r="I2173" s="9">
        <v>2</v>
      </c>
    </row>
    <row r="2174" spans="1:9">
      <c r="A2174" s="257" t="s">
        <v>3272</v>
      </c>
      <c r="B2174" s="9">
        <v>2</v>
      </c>
      <c r="C2174" s="257" t="s">
        <v>10447</v>
      </c>
      <c r="D2174" s="9">
        <v>371304.27395629883</v>
      </c>
      <c r="E2174" s="9">
        <v>1728935.5716552734</v>
      </c>
      <c r="F2174" s="257" t="s">
        <v>15057</v>
      </c>
      <c r="G2174" s="9"/>
      <c r="H2174" s="257" t="s">
        <v>20286</v>
      </c>
      <c r="I2174" s="9">
        <v>2</v>
      </c>
    </row>
    <row r="2175" spans="1:9">
      <c r="A2175" s="257" t="s">
        <v>3273</v>
      </c>
      <c r="B2175" s="9">
        <v>2</v>
      </c>
      <c r="C2175" s="257" t="s">
        <v>10448</v>
      </c>
      <c r="D2175" s="9">
        <v>839130875.67222893</v>
      </c>
      <c r="E2175" s="9">
        <v>1728935.5716552734</v>
      </c>
      <c r="F2175" s="257" t="s">
        <v>15057</v>
      </c>
      <c r="G2175" s="9"/>
      <c r="H2175" s="257" t="s">
        <v>20287</v>
      </c>
      <c r="I2175" s="9">
        <v>2</v>
      </c>
    </row>
    <row r="2176" spans="1:9">
      <c r="A2176" s="257" t="s">
        <v>3274</v>
      </c>
      <c r="B2176" s="9">
        <v>2</v>
      </c>
      <c r="C2176" s="257" t="s">
        <v>10449</v>
      </c>
      <c r="D2176" s="9">
        <v>0.21475888404610366</v>
      </c>
      <c r="E2176" s="9">
        <v>1728935.5716552734</v>
      </c>
      <c r="F2176" s="257" t="s">
        <v>15057</v>
      </c>
      <c r="G2176" s="9"/>
      <c r="H2176" s="257" t="s">
        <v>20288</v>
      </c>
      <c r="I2176" s="9">
        <v>2</v>
      </c>
    </row>
    <row r="2177" spans="1:9">
      <c r="A2177" s="257" t="s">
        <v>3275</v>
      </c>
      <c r="B2177" s="9">
        <v>2</v>
      </c>
      <c r="C2177" s="257" t="s">
        <v>10450</v>
      </c>
      <c r="D2177" s="9">
        <v>485.3453705442879</v>
      </c>
      <c r="E2177" s="9">
        <v>1728935.5716552734</v>
      </c>
      <c r="F2177" s="257" t="s">
        <v>15057</v>
      </c>
      <c r="G2177" s="9"/>
      <c r="H2177" s="257" t="s">
        <v>20289</v>
      </c>
      <c r="I2177" s="9">
        <v>2</v>
      </c>
    </row>
    <row r="2178" spans="1:9">
      <c r="A2178" s="257" t="s">
        <v>3276</v>
      </c>
      <c r="B2178" s="9">
        <v>2</v>
      </c>
      <c r="C2178" s="257" t="s">
        <v>10451</v>
      </c>
      <c r="D2178" s="9">
        <v>0</v>
      </c>
      <c r="E2178" s="9">
        <v>1728935.5716552734</v>
      </c>
      <c r="F2178" s="257" t="s">
        <v>15058</v>
      </c>
      <c r="G2178" s="9"/>
      <c r="H2178" s="257" t="s">
        <v>20290</v>
      </c>
      <c r="I2178" s="9">
        <v>2</v>
      </c>
    </row>
    <row r="2179" spans="1:9">
      <c r="A2179" s="257" t="s">
        <v>3277</v>
      </c>
      <c r="B2179" s="9">
        <v>2</v>
      </c>
      <c r="C2179" s="257" t="s">
        <v>10452</v>
      </c>
      <c r="D2179" s="9">
        <v>0</v>
      </c>
      <c r="E2179" s="9">
        <v>1728935.5716552734</v>
      </c>
      <c r="F2179" s="257" t="s">
        <v>15058</v>
      </c>
      <c r="G2179" s="9"/>
      <c r="H2179" s="257" t="s">
        <v>20291</v>
      </c>
      <c r="I2179" s="9">
        <v>2</v>
      </c>
    </row>
    <row r="2180" spans="1:9">
      <c r="A2180" s="257" t="s">
        <v>3278</v>
      </c>
      <c r="B2180" s="9">
        <v>2</v>
      </c>
      <c r="C2180" s="257" t="s">
        <v>10453</v>
      </c>
      <c r="D2180" s="9">
        <v>0</v>
      </c>
      <c r="E2180" s="9">
        <v>1728935.5716552734</v>
      </c>
      <c r="F2180" s="257" t="s">
        <v>15058</v>
      </c>
      <c r="G2180" s="9"/>
      <c r="H2180" s="257" t="s">
        <v>20292</v>
      </c>
      <c r="I2180" s="9">
        <v>2</v>
      </c>
    </row>
    <row r="2181" spans="1:9">
      <c r="A2181" s="257" t="s">
        <v>3279</v>
      </c>
      <c r="B2181" s="9">
        <v>2</v>
      </c>
      <c r="C2181" s="257" t="s">
        <v>10454</v>
      </c>
      <c r="D2181" s="9">
        <v>0</v>
      </c>
      <c r="E2181" s="9">
        <v>1728935.5716552734</v>
      </c>
      <c r="F2181" s="257" t="s">
        <v>15058</v>
      </c>
      <c r="G2181" s="9"/>
      <c r="H2181" s="257" t="s">
        <v>20293</v>
      </c>
      <c r="I2181" s="9">
        <v>2</v>
      </c>
    </row>
    <row r="2182" spans="1:9">
      <c r="A2182" s="257" t="s">
        <v>3280</v>
      </c>
      <c r="B2182" s="9">
        <v>3</v>
      </c>
      <c r="C2182" s="257" t="s">
        <v>10455</v>
      </c>
      <c r="D2182" s="9">
        <v>558196.97508239746</v>
      </c>
      <c r="E2182" s="9">
        <v>1724459.8235549927</v>
      </c>
      <c r="F2182" s="257" t="s">
        <v>15059</v>
      </c>
      <c r="G2182" s="9"/>
      <c r="H2182" s="257" t="s">
        <v>20294</v>
      </c>
      <c r="I2182" s="9">
        <v>2</v>
      </c>
    </row>
    <row r="2183" spans="1:9">
      <c r="A2183" s="257" t="s">
        <v>3281</v>
      </c>
      <c r="B2183" s="9">
        <v>3</v>
      </c>
      <c r="C2183" s="257" t="s">
        <v>10456</v>
      </c>
      <c r="D2183" s="9">
        <v>1326242447.9909408</v>
      </c>
      <c r="E2183" s="9">
        <v>1724459.8235549927</v>
      </c>
      <c r="F2183" s="257" t="s">
        <v>15059</v>
      </c>
      <c r="G2183" s="9"/>
      <c r="H2183" s="257" t="s">
        <v>20295</v>
      </c>
      <c r="I2183" s="9">
        <v>2</v>
      </c>
    </row>
    <row r="2184" spans="1:9">
      <c r="A2184" s="257" t="s">
        <v>3282</v>
      </c>
      <c r="B2184" s="9">
        <v>3</v>
      </c>
      <c r="C2184" s="257" t="s">
        <v>10457</v>
      </c>
      <c r="D2184" s="9">
        <v>0.32369381266979497</v>
      </c>
      <c r="E2184" s="9">
        <v>1724459.8235549927</v>
      </c>
      <c r="F2184" s="257" t="s">
        <v>15059</v>
      </c>
      <c r="G2184" s="9"/>
      <c r="H2184" s="257" t="s">
        <v>20296</v>
      </c>
      <c r="I2184" s="9">
        <v>2</v>
      </c>
    </row>
    <row r="2185" spans="1:9">
      <c r="A2185" s="257" t="s">
        <v>3283</v>
      </c>
      <c r="B2185" s="9">
        <v>3</v>
      </c>
      <c r="C2185" s="257" t="s">
        <v>10458</v>
      </c>
      <c r="D2185" s="9">
        <v>769.07703495050271</v>
      </c>
      <c r="E2185" s="9">
        <v>1724459.8235549927</v>
      </c>
      <c r="F2185" s="257" t="s">
        <v>15059</v>
      </c>
      <c r="G2185" s="9"/>
      <c r="H2185" s="257" t="s">
        <v>20297</v>
      </c>
      <c r="I2185" s="9">
        <v>2</v>
      </c>
    </row>
    <row r="2186" spans="1:9">
      <c r="A2186" s="257" t="s">
        <v>3284</v>
      </c>
      <c r="B2186" s="9">
        <v>3</v>
      </c>
      <c r="C2186" s="257" t="s">
        <v>10459</v>
      </c>
      <c r="D2186" s="9">
        <v>0</v>
      </c>
      <c r="E2186" s="9">
        <v>1724459.8235549927</v>
      </c>
      <c r="F2186" s="257" t="s">
        <v>15060</v>
      </c>
      <c r="G2186" s="9"/>
      <c r="H2186" s="257" t="s">
        <v>20298</v>
      </c>
      <c r="I2186" s="9">
        <v>2</v>
      </c>
    </row>
    <row r="2187" spans="1:9">
      <c r="A2187" s="257" t="s">
        <v>3285</v>
      </c>
      <c r="B2187" s="9">
        <v>3</v>
      </c>
      <c r="C2187" s="257" t="s">
        <v>10460</v>
      </c>
      <c r="D2187" s="9">
        <v>0</v>
      </c>
      <c r="E2187" s="9">
        <v>1724459.8235549927</v>
      </c>
      <c r="F2187" s="257" t="s">
        <v>15060</v>
      </c>
      <c r="G2187" s="9"/>
      <c r="H2187" s="257" t="s">
        <v>20299</v>
      </c>
      <c r="I2187" s="9">
        <v>2</v>
      </c>
    </row>
    <row r="2188" spans="1:9">
      <c r="A2188" s="257" t="s">
        <v>3286</v>
      </c>
      <c r="B2188" s="9">
        <v>3</v>
      </c>
      <c r="C2188" s="257" t="s">
        <v>10461</v>
      </c>
      <c r="D2188" s="9">
        <v>0</v>
      </c>
      <c r="E2188" s="9">
        <v>1724459.8235549927</v>
      </c>
      <c r="F2188" s="257" t="s">
        <v>15060</v>
      </c>
      <c r="G2188" s="9"/>
      <c r="H2188" s="257" t="s">
        <v>20300</v>
      </c>
      <c r="I2188" s="9">
        <v>2</v>
      </c>
    </row>
    <row r="2189" spans="1:9">
      <c r="A2189" s="257" t="s">
        <v>3287</v>
      </c>
      <c r="B2189" s="9">
        <v>3</v>
      </c>
      <c r="C2189" s="257" t="s">
        <v>10462</v>
      </c>
      <c r="D2189" s="9">
        <v>0</v>
      </c>
      <c r="E2189" s="9">
        <v>1724459.8235549927</v>
      </c>
      <c r="F2189" s="257" t="s">
        <v>15060</v>
      </c>
      <c r="G2189" s="9"/>
      <c r="H2189" s="257" t="s">
        <v>20301</v>
      </c>
      <c r="I2189" s="9">
        <v>2</v>
      </c>
    </row>
    <row r="2190" spans="1:9">
      <c r="A2190" s="257" t="s">
        <v>3288</v>
      </c>
      <c r="B2190" s="9">
        <v>3</v>
      </c>
      <c r="C2190" s="257" t="s">
        <v>10463</v>
      </c>
      <c r="D2190" s="9">
        <v>602013.88717651367</v>
      </c>
      <c r="E2190" s="9">
        <v>1724459.8235549927</v>
      </c>
      <c r="F2190" s="257" t="s">
        <v>15061</v>
      </c>
      <c r="G2190" s="9"/>
      <c r="H2190" s="257" t="s">
        <v>20302</v>
      </c>
      <c r="I2190" s="9">
        <v>2</v>
      </c>
    </row>
    <row r="2191" spans="1:9">
      <c r="A2191" s="257" t="s">
        <v>3289</v>
      </c>
      <c r="B2191" s="9">
        <v>3</v>
      </c>
      <c r="C2191" s="257" t="s">
        <v>10464</v>
      </c>
      <c r="D2191" s="9">
        <v>118776720.8725241</v>
      </c>
      <c r="E2191" s="9">
        <v>1724459.8235549927</v>
      </c>
      <c r="F2191" s="257" t="s">
        <v>15061</v>
      </c>
      <c r="G2191" s="9"/>
      <c r="H2191" s="257" t="s">
        <v>20303</v>
      </c>
      <c r="I2191" s="9">
        <v>2</v>
      </c>
    </row>
    <row r="2192" spans="1:9">
      <c r="A2192" s="257" t="s">
        <v>3290</v>
      </c>
      <c r="B2192" s="9">
        <v>3</v>
      </c>
      <c r="C2192" s="257" t="s">
        <v>10465</v>
      </c>
      <c r="D2192" s="9">
        <v>0.34910287787131827</v>
      </c>
      <c r="E2192" s="9">
        <v>1724459.8235549927</v>
      </c>
      <c r="F2192" s="257" t="s">
        <v>15061</v>
      </c>
      <c r="G2192" s="9"/>
      <c r="H2192" s="257" t="s">
        <v>20304</v>
      </c>
      <c r="I2192" s="9">
        <v>2</v>
      </c>
    </row>
    <row r="2193" spans="1:9">
      <c r="A2193" s="257" t="s">
        <v>3291</v>
      </c>
      <c r="B2193" s="9">
        <v>3</v>
      </c>
      <c r="C2193" s="257" t="s">
        <v>10466</v>
      </c>
      <c r="D2193" s="9">
        <v>68.877638811940884</v>
      </c>
      <c r="E2193" s="9">
        <v>1724459.8235549927</v>
      </c>
      <c r="F2193" s="257" t="s">
        <v>15061</v>
      </c>
      <c r="G2193" s="9"/>
      <c r="H2193" s="257" t="s">
        <v>20305</v>
      </c>
      <c r="I2193" s="9">
        <v>2</v>
      </c>
    </row>
    <row r="2194" spans="1:9">
      <c r="A2194" s="257" t="s">
        <v>3292</v>
      </c>
      <c r="B2194" s="9">
        <v>3</v>
      </c>
      <c r="C2194" s="257" t="s">
        <v>10467</v>
      </c>
      <c r="D2194" s="9">
        <v>0</v>
      </c>
      <c r="E2194" s="9">
        <v>1724459.8235549927</v>
      </c>
      <c r="F2194" s="257" t="s">
        <v>15062</v>
      </c>
      <c r="G2194" s="9"/>
      <c r="H2194" s="257" t="s">
        <v>20306</v>
      </c>
      <c r="I2194" s="9">
        <v>2</v>
      </c>
    </row>
    <row r="2195" spans="1:9">
      <c r="A2195" s="257" t="s">
        <v>3293</v>
      </c>
      <c r="B2195" s="9">
        <v>3</v>
      </c>
      <c r="C2195" s="257" t="s">
        <v>10468</v>
      </c>
      <c r="D2195" s="9">
        <v>0</v>
      </c>
      <c r="E2195" s="9">
        <v>1724459.8235549927</v>
      </c>
      <c r="F2195" s="257" t="s">
        <v>15062</v>
      </c>
      <c r="G2195" s="9"/>
      <c r="H2195" s="257" t="s">
        <v>20307</v>
      </c>
      <c r="I2195" s="9">
        <v>2</v>
      </c>
    </row>
    <row r="2196" spans="1:9">
      <c r="A2196" s="257" t="s">
        <v>3294</v>
      </c>
      <c r="B2196" s="9">
        <v>3</v>
      </c>
      <c r="C2196" s="257" t="s">
        <v>10469</v>
      </c>
      <c r="D2196" s="9">
        <v>0</v>
      </c>
      <c r="E2196" s="9">
        <v>1724459.8235549927</v>
      </c>
      <c r="F2196" s="257" t="s">
        <v>15062</v>
      </c>
      <c r="G2196" s="9"/>
      <c r="H2196" s="257" t="s">
        <v>20308</v>
      </c>
      <c r="I2196" s="9">
        <v>2</v>
      </c>
    </row>
    <row r="2197" spans="1:9">
      <c r="A2197" s="257" t="s">
        <v>3295</v>
      </c>
      <c r="B2197" s="9">
        <v>3</v>
      </c>
      <c r="C2197" s="257" t="s">
        <v>10470</v>
      </c>
      <c r="D2197" s="9">
        <v>0</v>
      </c>
      <c r="E2197" s="9">
        <v>1724459.8235549927</v>
      </c>
      <c r="F2197" s="257" t="s">
        <v>15062</v>
      </c>
      <c r="G2197" s="9"/>
      <c r="H2197" s="257" t="s">
        <v>20309</v>
      </c>
      <c r="I2197" s="9">
        <v>2</v>
      </c>
    </row>
    <row r="2198" spans="1:9">
      <c r="A2198" s="257" t="s">
        <v>3296</v>
      </c>
      <c r="B2198" s="9">
        <v>3</v>
      </c>
      <c r="C2198" s="257" t="s">
        <v>10471</v>
      </c>
      <c r="D2198" s="9">
        <v>0</v>
      </c>
      <c r="E2198" s="9">
        <v>1724459.8235549927</v>
      </c>
      <c r="F2198" s="257" t="s">
        <v>15063</v>
      </c>
      <c r="G2198" s="9"/>
      <c r="H2198" s="257" t="s">
        <v>20310</v>
      </c>
      <c r="I2198" s="9">
        <v>2</v>
      </c>
    </row>
    <row r="2199" spans="1:9">
      <c r="A2199" s="257" t="s">
        <v>3297</v>
      </c>
      <c r="B2199" s="9">
        <v>3</v>
      </c>
      <c r="C2199" s="257" t="s">
        <v>10472</v>
      </c>
      <c r="D2199" s="9">
        <v>0</v>
      </c>
      <c r="E2199" s="9">
        <v>1724459.8235549927</v>
      </c>
      <c r="F2199" s="257" t="s">
        <v>15063</v>
      </c>
      <c r="G2199" s="9"/>
      <c r="H2199" s="257" t="s">
        <v>20311</v>
      </c>
      <c r="I2199" s="9">
        <v>2</v>
      </c>
    </row>
    <row r="2200" spans="1:9">
      <c r="A2200" s="257" t="s">
        <v>3298</v>
      </c>
      <c r="B2200" s="9">
        <v>3</v>
      </c>
      <c r="C2200" s="257" t="s">
        <v>10473</v>
      </c>
      <c r="D2200" s="9">
        <v>0</v>
      </c>
      <c r="E2200" s="9">
        <v>1724459.8235549927</v>
      </c>
      <c r="F2200" s="257" t="s">
        <v>15063</v>
      </c>
      <c r="G2200" s="9"/>
      <c r="H2200" s="257" t="s">
        <v>20312</v>
      </c>
      <c r="I2200" s="9">
        <v>2</v>
      </c>
    </row>
    <row r="2201" spans="1:9">
      <c r="A2201" s="257" t="s">
        <v>3299</v>
      </c>
      <c r="B2201" s="9">
        <v>3</v>
      </c>
      <c r="C2201" s="257" t="s">
        <v>10474</v>
      </c>
      <c r="D2201" s="9">
        <v>0</v>
      </c>
      <c r="E2201" s="9">
        <v>1724459.8235549927</v>
      </c>
      <c r="F2201" s="257" t="s">
        <v>15063</v>
      </c>
      <c r="G2201" s="9"/>
      <c r="H2201" s="257" t="s">
        <v>20313</v>
      </c>
      <c r="I2201" s="9">
        <v>2</v>
      </c>
    </row>
    <row r="2202" spans="1:9">
      <c r="A2202" s="257" t="s">
        <v>3300</v>
      </c>
      <c r="B2202" s="9">
        <v>3</v>
      </c>
      <c r="C2202" s="257" t="s">
        <v>10475</v>
      </c>
      <c r="D2202" s="9">
        <v>0</v>
      </c>
      <c r="E2202" s="9">
        <v>1724459.8235549927</v>
      </c>
      <c r="F2202" s="257" t="s">
        <v>15064</v>
      </c>
      <c r="G2202" s="9"/>
      <c r="H2202" s="257" t="s">
        <v>20314</v>
      </c>
      <c r="I2202" s="9">
        <v>2</v>
      </c>
    </row>
    <row r="2203" spans="1:9">
      <c r="A2203" s="257" t="s">
        <v>3301</v>
      </c>
      <c r="B2203" s="9">
        <v>3</v>
      </c>
      <c r="C2203" s="257" t="s">
        <v>10476</v>
      </c>
      <c r="D2203" s="9">
        <v>0</v>
      </c>
      <c r="E2203" s="9">
        <v>1724459.8235549927</v>
      </c>
      <c r="F2203" s="257" t="s">
        <v>15064</v>
      </c>
      <c r="G2203" s="9"/>
      <c r="H2203" s="257" t="s">
        <v>20315</v>
      </c>
      <c r="I2203" s="9">
        <v>2</v>
      </c>
    </row>
    <row r="2204" spans="1:9">
      <c r="A2204" s="257" t="s">
        <v>3302</v>
      </c>
      <c r="B2204" s="9">
        <v>3</v>
      </c>
      <c r="C2204" s="257" t="s">
        <v>10477</v>
      </c>
      <c r="D2204" s="9">
        <v>0</v>
      </c>
      <c r="E2204" s="9">
        <v>1724459.8235549927</v>
      </c>
      <c r="F2204" s="257" t="s">
        <v>15064</v>
      </c>
      <c r="G2204" s="9"/>
      <c r="H2204" s="257" t="s">
        <v>20316</v>
      </c>
      <c r="I2204" s="9">
        <v>2</v>
      </c>
    </row>
    <row r="2205" spans="1:9">
      <c r="A2205" s="257" t="s">
        <v>3303</v>
      </c>
      <c r="B2205" s="9">
        <v>3</v>
      </c>
      <c r="C2205" s="257" t="s">
        <v>10478</v>
      </c>
      <c r="D2205" s="9">
        <v>0</v>
      </c>
      <c r="E2205" s="9">
        <v>1724459.8235549927</v>
      </c>
      <c r="F2205" s="257" t="s">
        <v>15064</v>
      </c>
      <c r="G2205" s="9"/>
      <c r="H2205" s="257" t="s">
        <v>20317</v>
      </c>
      <c r="I2205" s="9">
        <v>2</v>
      </c>
    </row>
    <row r="2206" spans="1:9">
      <c r="A2206" s="257" t="s">
        <v>3304</v>
      </c>
      <c r="B2206" s="9">
        <v>3</v>
      </c>
      <c r="C2206" s="257" t="s">
        <v>10479</v>
      </c>
      <c r="D2206" s="9">
        <v>602013.88717651367</v>
      </c>
      <c r="E2206" s="9">
        <v>1724459.8235549927</v>
      </c>
      <c r="F2206" s="257" t="s">
        <v>15065</v>
      </c>
      <c r="G2206" s="9"/>
      <c r="H2206" s="257" t="s">
        <v>20318</v>
      </c>
      <c r="I2206" s="9">
        <v>2</v>
      </c>
    </row>
    <row r="2207" spans="1:9">
      <c r="A2207" s="257" t="s">
        <v>3305</v>
      </c>
      <c r="B2207" s="9">
        <v>3</v>
      </c>
      <c r="C2207" s="257" t="s">
        <v>10480</v>
      </c>
      <c r="D2207" s="9">
        <v>118776720.8725241</v>
      </c>
      <c r="E2207" s="9">
        <v>1724459.8235549927</v>
      </c>
      <c r="F2207" s="257" t="s">
        <v>15065</v>
      </c>
      <c r="G2207" s="9"/>
      <c r="H2207" s="257" t="s">
        <v>20319</v>
      </c>
      <c r="I2207" s="9">
        <v>2</v>
      </c>
    </row>
    <row r="2208" spans="1:9">
      <c r="A2208" s="257" t="s">
        <v>3306</v>
      </c>
      <c r="B2208" s="9">
        <v>3</v>
      </c>
      <c r="C2208" s="257" t="s">
        <v>10481</v>
      </c>
      <c r="D2208" s="9">
        <v>0.34910287787131827</v>
      </c>
      <c r="E2208" s="9">
        <v>1724459.8235549927</v>
      </c>
      <c r="F2208" s="257" t="s">
        <v>15065</v>
      </c>
      <c r="G2208" s="9"/>
      <c r="H2208" s="257" t="s">
        <v>20320</v>
      </c>
      <c r="I2208" s="9">
        <v>2</v>
      </c>
    </row>
    <row r="2209" spans="1:9">
      <c r="A2209" s="257" t="s">
        <v>3307</v>
      </c>
      <c r="B2209" s="9">
        <v>3</v>
      </c>
      <c r="C2209" s="257" t="s">
        <v>10482</v>
      </c>
      <c r="D2209" s="9">
        <v>68.877638811940884</v>
      </c>
      <c r="E2209" s="9">
        <v>1724459.8235549927</v>
      </c>
      <c r="F2209" s="257" t="s">
        <v>15065</v>
      </c>
      <c r="G2209" s="9"/>
      <c r="H2209" s="257" t="s">
        <v>20321</v>
      </c>
      <c r="I2209" s="9">
        <v>2</v>
      </c>
    </row>
    <row r="2210" spans="1:9">
      <c r="A2210" s="257" t="s">
        <v>3308</v>
      </c>
      <c r="B2210" s="9">
        <v>3</v>
      </c>
      <c r="C2210" s="257" t="s">
        <v>10483</v>
      </c>
      <c r="D2210" s="9">
        <v>0</v>
      </c>
      <c r="E2210" s="9">
        <v>1724459.8235549927</v>
      </c>
      <c r="F2210" s="257" t="s">
        <v>15066</v>
      </c>
      <c r="G2210" s="9"/>
      <c r="H2210" s="257" t="s">
        <v>20322</v>
      </c>
      <c r="I2210" s="9">
        <v>2</v>
      </c>
    </row>
    <row r="2211" spans="1:9">
      <c r="A2211" s="257" t="s">
        <v>3309</v>
      </c>
      <c r="B2211" s="9">
        <v>3</v>
      </c>
      <c r="C2211" s="257" t="s">
        <v>10484</v>
      </c>
      <c r="D2211" s="9">
        <v>0</v>
      </c>
      <c r="E2211" s="9">
        <v>1724459.8235549927</v>
      </c>
      <c r="F2211" s="257" t="s">
        <v>15066</v>
      </c>
      <c r="G2211" s="9"/>
      <c r="H2211" s="257" t="s">
        <v>20323</v>
      </c>
      <c r="I2211" s="9">
        <v>2</v>
      </c>
    </row>
    <row r="2212" spans="1:9">
      <c r="A2212" s="257" t="s">
        <v>3310</v>
      </c>
      <c r="B2212" s="9">
        <v>3</v>
      </c>
      <c r="C2212" s="257" t="s">
        <v>10485</v>
      </c>
      <c r="D2212" s="9">
        <v>0</v>
      </c>
      <c r="E2212" s="9">
        <v>1724459.8235549927</v>
      </c>
      <c r="F2212" s="257" t="s">
        <v>15066</v>
      </c>
      <c r="G2212" s="9"/>
      <c r="H2212" s="257" t="s">
        <v>20324</v>
      </c>
      <c r="I2212" s="9">
        <v>2</v>
      </c>
    </row>
    <row r="2213" spans="1:9">
      <c r="A2213" s="257" t="s">
        <v>3311</v>
      </c>
      <c r="B2213" s="9">
        <v>3</v>
      </c>
      <c r="C2213" s="257" t="s">
        <v>10486</v>
      </c>
      <c r="D2213" s="9">
        <v>0</v>
      </c>
      <c r="E2213" s="9">
        <v>1724459.8235549927</v>
      </c>
      <c r="F2213" s="257" t="s">
        <v>15066</v>
      </c>
      <c r="G2213" s="9"/>
      <c r="H2213" s="257" t="s">
        <v>20325</v>
      </c>
      <c r="I2213" s="9">
        <v>2</v>
      </c>
    </row>
    <row r="2214" spans="1:9">
      <c r="A2214" s="257" t="s">
        <v>3312</v>
      </c>
      <c r="B2214" s="9">
        <v>3</v>
      </c>
      <c r="C2214" s="257" t="s">
        <v>10487</v>
      </c>
      <c r="D2214" s="9">
        <v>1724459.8235549927</v>
      </c>
      <c r="E2214" s="9">
        <v>1724459.8235549927</v>
      </c>
      <c r="F2214" s="257" t="s">
        <v>15067</v>
      </c>
      <c r="G2214" s="9"/>
      <c r="H2214" s="257" t="s">
        <v>20326</v>
      </c>
      <c r="I2214" s="9">
        <v>2</v>
      </c>
    </row>
    <row r="2215" spans="1:9">
      <c r="A2215" s="257" t="s">
        <v>3313</v>
      </c>
      <c r="B2215" s="9">
        <v>3</v>
      </c>
      <c r="C2215" s="257" t="s">
        <v>10488</v>
      </c>
      <c r="D2215" s="9">
        <v>3728502597.3024969</v>
      </c>
      <c r="E2215" s="9">
        <v>1724459.8235549927</v>
      </c>
      <c r="F2215" s="257" t="s">
        <v>15067</v>
      </c>
      <c r="G2215" s="9"/>
      <c r="H2215" s="257" t="s">
        <v>20327</v>
      </c>
      <c r="I2215" s="9">
        <v>2</v>
      </c>
    </row>
    <row r="2216" spans="1:9">
      <c r="A2216" s="257" t="s">
        <v>3314</v>
      </c>
      <c r="B2216" s="9">
        <v>3</v>
      </c>
      <c r="C2216" s="257" t="s">
        <v>10489</v>
      </c>
      <c r="D2216" s="9">
        <v>1</v>
      </c>
      <c r="E2216" s="9">
        <v>1724459.8235549927</v>
      </c>
      <c r="F2216" s="257" t="s">
        <v>15067</v>
      </c>
      <c r="G2216" s="9"/>
      <c r="H2216" s="257" t="s">
        <v>20328</v>
      </c>
      <c r="I2216" s="9">
        <v>2</v>
      </c>
    </row>
    <row r="2217" spans="1:9">
      <c r="A2217" s="257" t="s">
        <v>3315</v>
      </c>
      <c r="B2217" s="9">
        <v>3</v>
      </c>
      <c r="C2217" s="257" t="s">
        <v>10490</v>
      </c>
      <c r="D2217" s="9">
        <v>2162.1278422225855</v>
      </c>
      <c r="E2217" s="9">
        <v>1724459.8235549927</v>
      </c>
      <c r="F2217" s="257" t="s">
        <v>15067</v>
      </c>
      <c r="G2217" s="9"/>
      <c r="H2217" s="257" t="s">
        <v>20329</v>
      </c>
      <c r="I2217" s="9">
        <v>2</v>
      </c>
    </row>
    <row r="2218" spans="1:9">
      <c r="A2218" s="257" t="s">
        <v>3316</v>
      </c>
      <c r="B2218" s="9">
        <v>3</v>
      </c>
      <c r="C2218" s="257" t="s">
        <v>10491</v>
      </c>
      <c r="D2218" s="9">
        <v>1724459.8235549927</v>
      </c>
      <c r="E2218" s="9">
        <v>1724459.8235549927</v>
      </c>
      <c r="F2218" s="257" t="s">
        <v>15068</v>
      </c>
      <c r="G2218" s="9"/>
      <c r="H2218" s="257" t="s">
        <v>20330</v>
      </c>
      <c r="I2218" s="9">
        <v>2</v>
      </c>
    </row>
    <row r="2219" spans="1:9">
      <c r="A2219" s="257" t="s">
        <v>3317</v>
      </c>
      <c r="B2219" s="9">
        <v>3</v>
      </c>
      <c r="C2219" s="257" t="s">
        <v>10492</v>
      </c>
      <c r="D2219" s="9">
        <v>3609725876.4299726</v>
      </c>
      <c r="E2219" s="9">
        <v>1724459.8235549927</v>
      </c>
      <c r="F2219" s="257" t="s">
        <v>15068</v>
      </c>
      <c r="G2219" s="9"/>
      <c r="H2219" s="257" t="s">
        <v>20331</v>
      </c>
      <c r="I2219" s="9">
        <v>2</v>
      </c>
    </row>
    <row r="2220" spans="1:9">
      <c r="A2220" s="257" t="s">
        <v>3318</v>
      </c>
      <c r="B2220" s="9">
        <v>3</v>
      </c>
      <c r="C2220" s="257" t="s">
        <v>10493</v>
      </c>
      <c r="D2220" s="9">
        <v>1</v>
      </c>
      <c r="E2220" s="9">
        <v>1724459.8235549927</v>
      </c>
      <c r="F2220" s="257" t="s">
        <v>15068</v>
      </c>
      <c r="G2220" s="9"/>
      <c r="H2220" s="257" t="s">
        <v>20332</v>
      </c>
      <c r="I2220" s="9">
        <v>2</v>
      </c>
    </row>
    <row r="2221" spans="1:9">
      <c r="A2221" s="257" t="s">
        <v>3319</v>
      </c>
      <c r="B2221" s="9">
        <v>3</v>
      </c>
      <c r="C2221" s="257" t="s">
        <v>10494</v>
      </c>
      <c r="D2221" s="9">
        <v>2093.2502034106446</v>
      </c>
      <c r="E2221" s="9">
        <v>1724459.8235549927</v>
      </c>
      <c r="F2221" s="257" t="s">
        <v>15068</v>
      </c>
      <c r="G2221" s="9"/>
      <c r="H2221" s="257" t="s">
        <v>20333</v>
      </c>
      <c r="I2221" s="9">
        <v>2</v>
      </c>
    </row>
    <row r="2222" spans="1:9">
      <c r="A2222" s="257" t="s">
        <v>3320</v>
      </c>
      <c r="B2222" s="9">
        <v>3</v>
      </c>
      <c r="C2222" s="257" t="s">
        <v>10495</v>
      </c>
      <c r="D2222" s="9">
        <v>1724459.8235549927</v>
      </c>
      <c r="E2222" s="9">
        <v>1724459.8235549927</v>
      </c>
      <c r="F2222" s="257" t="s">
        <v>15069</v>
      </c>
      <c r="G2222" s="9"/>
      <c r="H2222" s="257" t="s">
        <v>20334</v>
      </c>
      <c r="I2222" s="9">
        <v>2</v>
      </c>
    </row>
    <row r="2223" spans="1:9">
      <c r="A2223" s="257" t="s">
        <v>3321</v>
      </c>
      <c r="B2223" s="9">
        <v>3</v>
      </c>
      <c r="C2223" s="257" t="s">
        <v>10496</v>
      </c>
      <c r="D2223" s="9">
        <v>3728502597.3024969</v>
      </c>
      <c r="E2223" s="9">
        <v>1724459.8235549927</v>
      </c>
      <c r="F2223" s="257" t="s">
        <v>15069</v>
      </c>
      <c r="G2223" s="9"/>
      <c r="H2223" s="257" t="s">
        <v>20335</v>
      </c>
      <c r="I2223" s="9">
        <v>2</v>
      </c>
    </row>
    <row r="2224" spans="1:9">
      <c r="A2224" s="257" t="s">
        <v>3322</v>
      </c>
      <c r="B2224" s="9">
        <v>3</v>
      </c>
      <c r="C2224" s="257" t="s">
        <v>10497</v>
      </c>
      <c r="D2224" s="9">
        <v>1</v>
      </c>
      <c r="E2224" s="9">
        <v>1724459.8235549927</v>
      </c>
      <c r="F2224" s="257" t="s">
        <v>15069</v>
      </c>
      <c r="G2224" s="9"/>
      <c r="H2224" s="257" t="s">
        <v>20336</v>
      </c>
      <c r="I2224" s="9">
        <v>2</v>
      </c>
    </row>
    <row r="2225" spans="1:9">
      <c r="A2225" s="257" t="s">
        <v>3323</v>
      </c>
      <c r="B2225" s="9">
        <v>3</v>
      </c>
      <c r="C2225" s="257" t="s">
        <v>10498</v>
      </c>
      <c r="D2225" s="9">
        <v>2162.1278422225855</v>
      </c>
      <c r="E2225" s="9">
        <v>1724459.8235549927</v>
      </c>
      <c r="F2225" s="257" t="s">
        <v>15069</v>
      </c>
      <c r="G2225" s="9"/>
      <c r="H2225" s="257" t="s">
        <v>20337</v>
      </c>
      <c r="I2225" s="9">
        <v>2</v>
      </c>
    </row>
    <row r="2226" spans="1:9">
      <c r="A2226" s="257" t="s">
        <v>3324</v>
      </c>
      <c r="B2226" s="9">
        <v>3</v>
      </c>
      <c r="C2226" s="257" t="s">
        <v>10499</v>
      </c>
      <c r="D2226" s="9">
        <v>1724459.8235549927</v>
      </c>
      <c r="E2226" s="9">
        <v>1724459.8235549927</v>
      </c>
      <c r="F2226" s="257" t="s">
        <v>15070</v>
      </c>
      <c r="G2226" s="9"/>
      <c r="H2226" s="257" t="s">
        <v>20338</v>
      </c>
      <c r="I2226" s="9">
        <v>2</v>
      </c>
    </row>
    <row r="2227" spans="1:9">
      <c r="A2227" s="257" t="s">
        <v>3325</v>
      </c>
      <c r="B2227" s="9">
        <v>3</v>
      </c>
      <c r="C2227" s="257" t="s">
        <v>10500</v>
      </c>
      <c r="D2227" s="9">
        <v>1100570242.7206361</v>
      </c>
      <c r="E2227" s="9">
        <v>1724459.8235549927</v>
      </c>
      <c r="F2227" s="257" t="s">
        <v>15070</v>
      </c>
      <c r="G2227" s="9"/>
      <c r="H2227" s="257" t="s">
        <v>20339</v>
      </c>
      <c r="I2227" s="9">
        <v>2</v>
      </c>
    </row>
    <row r="2228" spans="1:9">
      <c r="A2228" s="257" t="s">
        <v>3326</v>
      </c>
      <c r="B2228" s="9">
        <v>3</v>
      </c>
      <c r="C2228" s="257" t="s">
        <v>10501</v>
      </c>
      <c r="D2228" s="9">
        <v>1</v>
      </c>
      <c r="E2228" s="9">
        <v>1724459.8235549927</v>
      </c>
      <c r="F2228" s="257" t="s">
        <v>15070</v>
      </c>
      <c r="G2228" s="9"/>
      <c r="H2228" s="257" t="s">
        <v>20340</v>
      </c>
      <c r="I2228" s="9">
        <v>2</v>
      </c>
    </row>
    <row r="2229" spans="1:9">
      <c r="A2229" s="257" t="s">
        <v>3327</v>
      </c>
      <c r="B2229" s="9">
        <v>3</v>
      </c>
      <c r="C2229" s="257" t="s">
        <v>10502</v>
      </c>
      <c r="D2229" s="9">
        <v>638.21158816666343</v>
      </c>
      <c r="E2229" s="9">
        <v>1724459.8235549927</v>
      </c>
      <c r="F2229" s="257" t="s">
        <v>15070</v>
      </c>
      <c r="G2229" s="9"/>
      <c r="H2229" s="257" t="s">
        <v>20341</v>
      </c>
      <c r="I2229" s="9">
        <v>2</v>
      </c>
    </row>
    <row r="2230" spans="1:9">
      <c r="A2230" s="257" t="s">
        <v>3328</v>
      </c>
      <c r="B2230" s="9">
        <v>3</v>
      </c>
      <c r="C2230" s="257" t="s">
        <v>10503</v>
      </c>
      <c r="D2230" s="9">
        <v>594773.77226257324</v>
      </c>
      <c r="E2230" s="9">
        <v>1724459.8235549927</v>
      </c>
      <c r="F2230" s="257" t="s">
        <v>15071</v>
      </c>
      <c r="G2230" s="9"/>
      <c r="H2230" s="257" t="s">
        <v>20342</v>
      </c>
      <c r="I2230" s="9">
        <v>2</v>
      </c>
    </row>
    <row r="2231" spans="1:9">
      <c r="A2231" s="257" t="s">
        <v>3329</v>
      </c>
      <c r="B2231" s="9">
        <v>3</v>
      </c>
      <c r="C2231" s="257" t="s">
        <v>10504</v>
      </c>
      <c r="D2231" s="9">
        <v>976303285.31556344</v>
      </c>
      <c r="E2231" s="9">
        <v>1724459.8235549927</v>
      </c>
      <c r="F2231" s="257" t="s">
        <v>15071</v>
      </c>
      <c r="G2231" s="9"/>
      <c r="H2231" s="257" t="s">
        <v>20343</v>
      </c>
      <c r="I2231" s="9">
        <v>2</v>
      </c>
    </row>
    <row r="2232" spans="1:9">
      <c r="A2232" s="257" t="s">
        <v>3330</v>
      </c>
      <c r="B2232" s="9">
        <v>3</v>
      </c>
      <c r="C2232" s="257" t="s">
        <v>10505</v>
      </c>
      <c r="D2232" s="9">
        <v>0.34490439506815568</v>
      </c>
      <c r="E2232" s="9">
        <v>1724459.8235549927</v>
      </c>
      <c r="F2232" s="257" t="s">
        <v>15071</v>
      </c>
      <c r="G2232" s="9"/>
      <c r="H2232" s="257" t="s">
        <v>20344</v>
      </c>
      <c r="I2232" s="9">
        <v>2</v>
      </c>
    </row>
    <row r="2233" spans="1:9">
      <c r="A2233" s="257" t="s">
        <v>3331</v>
      </c>
      <c r="B2233" s="9">
        <v>3</v>
      </c>
      <c r="C2233" s="257" t="s">
        <v>10506</v>
      </c>
      <c r="D2233" s="9">
        <v>566.15020656317961</v>
      </c>
      <c r="E2233" s="9">
        <v>1724459.8235549927</v>
      </c>
      <c r="F2233" s="257" t="s">
        <v>15071</v>
      </c>
      <c r="G2233" s="9"/>
      <c r="H2233" s="257" t="s">
        <v>20345</v>
      </c>
      <c r="I2233" s="9">
        <v>2</v>
      </c>
    </row>
    <row r="2234" spans="1:9">
      <c r="A2234" s="257" t="s">
        <v>3332</v>
      </c>
      <c r="B2234" s="9">
        <v>3</v>
      </c>
      <c r="C2234" s="257" t="s">
        <v>10507</v>
      </c>
      <c r="D2234" s="9">
        <v>1724459.8235549927</v>
      </c>
      <c r="E2234" s="9">
        <v>1724459.8235549927</v>
      </c>
      <c r="F2234" s="257" t="s">
        <v>15072</v>
      </c>
      <c r="G2234" s="9"/>
      <c r="H2234" s="257" t="s">
        <v>20346</v>
      </c>
      <c r="I2234" s="9">
        <v>2</v>
      </c>
    </row>
    <row r="2235" spans="1:9">
      <c r="A2235" s="257" t="s">
        <v>3333</v>
      </c>
      <c r="B2235" s="9">
        <v>3</v>
      </c>
      <c r="C2235" s="257" t="s">
        <v>10508</v>
      </c>
      <c r="D2235" s="9">
        <v>4586029161.7455359</v>
      </c>
      <c r="E2235" s="9">
        <v>1724459.8235549927</v>
      </c>
      <c r="F2235" s="257" t="s">
        <v>15072</v>
      </c>
      <c r="G2235" s="9"/>
      <c r="H2235" s="257" t="s">
        <v>20347</v>
      </c>
      <c r="I2235" s="9">
        <v>2</v>
      </c>
    </row>
    <row r="2236" spans="1:9">
      <c r="A2236" s="257" t="s">
        <v>3334</v>
      </c>
      <c r="B2236" s="9">
        <v>3</v>
      </c>
      <c r="C2236" s="257" t="s">
        <v>10509</v>
      </c>
      <c r="D2236" s="9">
        <v>1</v>
      </c>
      <c r="E2236" s="9">
        <v>1724459.8235549927</v>
      </c>
      <c r="F2236" s="257" t="s">
        <v>15072</v>
      </c>
      <c r="G2236" s="9"/>
      <c r="H2236" s="257" t="s">
        <v>20348</v>
      </c>
      <c r="I2236" s="9">
        <v>2</v>
      </c>
    </row>
    <row r="2237" spans="1:9">
      <c r="A2237" s="257" t="s">
        <v>3335</v>
      </c>
      <c r="B2237" s="9">
        <v>3</v>
      </c>
      <c r="C2237" s="257" t="s">
        <v>10510</v>
      </c>
      <c r="D2237" s="9">
        <v>2659.400409973824</v>
      </c>
      <c r="E2237" s="9">
        <v>1724459.8235549927</v>
      </c>
      <c r="F2237" s="257" t="s">
        <v>15072</v>
      </c>
      <c r="G2237" s="9"/>
      <c r="H2237" s="257" t="s">
        <v>20349</v>
      </c>
      <c r="I2237" s="9">
        <v>2</v>
      </c>
    </row>
    <row r="2238" spans="1:9">
      <c r="A2238" s="257" t="s">
        <v>3336</v>
      </c>
      <c r="B2238" s="9">
        <v>3</v>
      </c>
      <c r="C2238" s="257" t="s">
        <v>10511</v>
      </c>
      <c r="D2238" s="9">
        <v>1724459.8235549927</v>
      </c>
      <c r="E2238" s="9">
        <v>1724459.8235549927</v>
      </c>
      <c r="F2238" s="257" t="s">
        <v>15073</v>
      </c>
      <c r="G2238" s="9"/>
      <c r="H2238" s="257" t="s">
        <v>20350</v>
      </c>
      <c r="I2238" s="9">
        <v>2</v>
      </c>
    </row>
    <row r="2239" spans="1:9">
      <c r="A2239" s="257" t="s">
        <v>3337</v>
      </c>
      <c r="B2239" s="9">
        <v>3</v>
      </c>
      <c r="C2239" s="257" t="s">
        <v>10512</v>
      </c>
      <c r="D2239" s="9">
        <v>4704805882.6180601</v>
      </c>
      <c r="E2239" s="9">
        <v>1724459.8235549927</v>
      </c>
      <c r="F2239" s="257" t="s">
        <v>15073</v>
      </c>
      <c r="G2239" s="9"/>
      <c r="H2239" s="257" t="s">
        <v>20351</v>
      </c>
      <c r="I2239" s="9">
        <v>2</v>
      </c>
    </row>
    <row r="2240" spans="1:9">
      <c r="A2240" s="257" t="s">
        <v>3338</v>
      </c>
      <c r="B2240" s="9">
        <v>3</v>
      </c>
      <c r="C2240" s="257" t="s">
        <v>10513</v>
      </c>
      <c r="D2240" s="9">
        <v>1</v>
      </c>
      <c r="E2240" s="9">
        <v>1724459.8235549927</v>
      </c>
      <c r="F2240" s="257" t="s">
        <v>15073</v>
      </c>
      <c r="G2240" s="9"/>
      <c r="H2240" s="257" t="s">
        <v>20352</v>
      </c>
      <c r="I2240" s="9">
        <v>2</v>
      </c>
    </row>
    <row r="2241" spans="1:9">
      <c r="A2241" s="257" t="s">
        <v>3339</v>
      </c>
      <c r="B2241" s="9">
        <v>3</v>
      </c>
      <c r="C2241" s="257" t="s">
        <v>10514</v>
      </c>
      <c r="D2241" s="9">
        <v>2728.2780487857649</v>
      </c>
      <c r="E2241" s="9">
        <v>1724459.8235549927</v>
      </c>
      <c r="F2241" s="257" t="s">
        <v>15073</v>
      </c>
      <c r="G2241" s="9"/>
      <c r="H2241" s="257" t="s">
        <v>20353</v>
      </c>
      <c r="I2241" s="9">
        <v>2</v>
      </c>
    </row>
    <row r="2242" spans="1:9">
      <c r="A2242" s="257" t="s">
        <v>3340</v>
      </c>
      <c r="B2242" s="9">
        <v>3</v>
      </c>
      <c r="C2242" s="257" t="s">
        <v>10515</v>
      </c>
      <c r="D2242" s="9">
        <v>599356.54788208008</v>
      </c>
      <c r="E2242" s="9">
        <v>1724459.8235549927</v>
      </c>
      <c r="F2242" s="257" t="s">
        <v>15074</v>
      </c>
      <c r="G2242" s="9"/>
      <c r="H2242" s="257" t="s">
        <v>20354</v>
      </c>
      <c r="I2242" s="9">
        <v>2</v>
      </c>
    </row>
    <row r="2243" spans="1:9">
      <c r="A2243" s="257" t="s">
        <v>3341</v>
      </c>
      <c r="B2243" s="9">
        <v>3</v>
      </c>
      <c r="C2243" s="257" t="s">
        <v>10516</v>
      </c>
      <c r="D2243" s="9">
        <v>2044780587.7382343</v>
      </c>
      <c r="E2243" s="9">
        <v>1724459.8235549927</v>
      </c>
      <c r="F2243" s="257" t="s">
        <v>15074</v>
      </c>
      <c r="G2243" s="9"/>
      <c r="H2243" s="257" t="s">
        <v>20355</v>
      </c>
      <c r="I2243" s="9">
        <v>2</v>
      </c>
    </row>
    <row r="2244" spans="1:9">
      <c r="A2244" s="257" t="s">
        <v>3342</v>
      </c>
      <c r="B2244" s="9">
        <v>3</v>
      </c>
      <c r="C2244" s="257" t="s">
        <v>10517</v>
      </c>
      <c r="D2244" s="9">
        <v>0.34756190877587395</v>
      </c>
      <c r="E2244" s="9">
        <v>1724459.8235549927</v>
      </c>
      <c r="F2244" s="257" t="s">
        <v>15074</v>
      </c>
      <c r="G2244" s="9"/>
      <c r="H2244" s="257" t="s">
        <v>20356</v>
      </c>
      <c r="I2244" s="9">
        <v>2</v>
      </c>
    </row>
    <row r="2245" spans="1:9">
      <c r="A2245" s="257" t="s">
        <v>3343</v>
      </c>
      <c r="B2245" s="9">
        <v>3</v>
      </c>
      <c r="C2245" s="257" t="s">
        <v>10518</v>
      </c>
      <c r="D2245" s="9">
        <v>1185.7513638809496</v>
      </c>
      <c r="E2245" s="9">
        <v>1724459.8235549927</v>
      </c>
      <c r="F2245" s="257" t="s">
        <v>15074</v>
      </c>
      <c r="G2245" s="9"/>
      <c r="H2245" s="257" t="s">
        <v>20357</v>
      </c>
      <c r="I2245" s="9">
        <v>2</v>
      </c>
    </row>
    <row r="2246" spans="1:9">
      <c r="A2246" s="257" t="s">
        <v>3344</v>
      </c>
      <c r="B2246" s="9">
        <v>3</v>
      </c>
      <c r="C2246" s="257" t="s">
        <v>10519</v>
      </c>
      <c r="D2246" s="9">
        <v>599356.54788208008</v>
      </c>
      <c r="E2246" s="9">
        <v>1724459.8235549927</v>
      </c>
      <c r="F2246" s="257" t="s">
        <v>15075</v>
      </c>
      <c r="G2246" s="9"/>
      <c r="H2246" s="257" t="s">
        <v>20358</v>
      </c>
      <c r="I2246" s="9">
        <v>2</v>
      </c>
    </row>
    <row r="2247" spans="1:9">
      <c r="A2247" s="257" t="s">
        <v>3345</v>
      </c>
      <c r="B2247" s="9">
        <v>3</v>
      </c>
      <c r="C2247" s="257" t="s">
        <v>10520</v>
      </c>
      <c r="D2247" s="9">
        <v>2163557308.6107583</v>
      </c>
      <c r="E2247" s="9">
        <v>1724459.8235549927</v>
      </c>
      <c r="F2247" s="257" t="s">
        <v>15075</v>
      </c>
      <c r="G2247" s="9"/>
      <c r="H2247" s="257" t="s">
        <v>20359</v>
      </c>
      <c r="I2247" s="9">
        <v>2</v>
      </c>
    </row>
    <row r="2248" spans="1:9">
      <c r="A2248" s="257" t="s">
        <v>3346</v>
      </c>
      <c r="B2248" s="9">
        <v>3</v>
      </c>
      <c r="C2248" s="257" t="s">
        <v>10521</v>
      </c>
      <c r="D2248" s="9">
        <v>0.34756190877587395</v>
      </c>
      <c r="E2248" s="9">
        <v>1724459.8235549927</v>
      </c>
      <c r="F2248" s="257" t="s">
        <v>15075</v>
      </c>
      <c r="G2248" s="9"/>
      <c r="H2248" s="257" t="s">
        <v>20360</v>
      </c>
      <c r="I2248" s="9">
        <v>2</v>
      </c>
    </row>
    <row r="2249" spans="1:9">
      <c r="A2249" s="257" t="s">
        <v>3347</v>
      </c>
      <c r="B2249" s="9">
        <v>3</v>
      </c>
      <c r="C2249" s="257" t="s">
        <v>10522</v>
      </c>
      <c r="D2249" s="9">
        <v>1254.6290026928905</v>
      </c>
      <c r="E2249" s="9">
        <v>1724459.8235549927</v>
      </c>
      <c r="F2249" s="257" t="s">
        <v>15075</v>
      </c>
      <c r="G2249" s="9"/>
      <c r="H2249" s="257" t="s">
        <v>20361</v>
      </c>
      <c r="I2249" s="9">
        <v>2</v>
      </c>
    </row>
    <row r="2250" spans="1:9">
      <c r="A2250" s="257" t="s">
        <v>3348</v>
      </c>
      <c r="B2250" s="9">
        <v>3</v>
      </c>
      <c r="C2250" s="257" t="s">
        <v>10523</v>
      </c>
      <c r="D2250" s="9">
        <v>1724459.8235549927</v>
      </c>
      <c r="E2250" s="9">
        <v>1724459.8235549927</v>
      </c>
      <c r="F2250" s="257" t="s">
        <v>15076</v>
      </c>
      <c r="G2250" s="9"/>
      <c r="H2250" s="257" t="s">
        <v>20362</v>
      </c>
      <c r="I2250" s="9">
        <v>2</v>
      </c>
    </row>
    <row r="2251" spans="1:9">
      <c r="A2251" s="257" t="s">
        <v>3349</v>
      </c>
      <c r="B2251" s="9">
        <v>3</v>
      </c>
      <c r="C2251" s="257" t="s">
        <v>10524</v>
      </c>
      <c r="D2251" s="9">
        <v>1564945288.6917384</v>
      </c>
      <c r="E2251" s="9">
        <v>1724459.8235549927</v>
      </c>
      <c r="F2251" s="257" t="s">
        <v>15076</v>
      </c>
      <c r="G2251" s="9"/>
      <c r="H2251" s="257" t="s">
        <v>20363</v>
      </c>
      <c r="I2251" s="9">
        <v>2</v>
      </c>
    </row>
    <row r="2252" spans="1:9">
      <c r="A2252" s="257" t="s">
        <v>3350</v>
      </c>
      <c r="B2252" s="9">
        <v>3</v>
      </c>
      <c r="C2252" s="257" t="s">
        <v>10525</v>
      </c>
      <c r="D2252" s="9">
        <v>1</v>
      </c>
      <c r="E2252" s="9">
        <v>1724459.8235549927</v>
      </c>
      <c r="F2252" s="257" t="s">
        <v>15076</v>
      </c>
      <c r="G2252" s="9"/>
      <c r="H2252" s="257" t="s">
        <v>20364</v>
      </c>
      <c r="I2252" s="9">
        <v>2</v>
      </c>
    </row>
    <row r="2253" spans="1:9">
      <c r="A2253" s="257" t="s">
        <v>3351</v>
      </c>
      <c r="B2253" s="9">
        <v>3</v>
      </c>
      <c r="C2253" s="257" t="s">
        <v>10526</v>
      </c>
      <c r="D2253" s="9">
        <v>907.49883952969492</v>
      </c>
      <c r="E2253" s="9">
        <v>1724459.8235549927</v>
      </c>
      <c r="F2253" s="257" t="s">
        <v>15076</v>
      </c>
      <c r="G2253" s="9"/>
      <c r="H2253" s="257" t="s">
        <v>20365</v>
      </c>
      <c r="I2253" s="9">
        <v>2</v>
      </c>
    </row>
    <row r="2254" spans="1:9">
      <c r="A2254" s="257" t="s">
        <v>3352</v>
      </c>
      <c r="B2254" s="9">
        <v>3</v>
      </c>
      <c r="C2254" s="257" t="s">
        <v>10527</v>
      </c>
      <c r="D2254" s="9">
        <v>1724459.8235549927</v>
      </c>
      <c r="E2254" s="9">
        <v>1724459.8235549927</v>
      </c>
      <c r="F2254" s="257" t="s">
        <v>15077</v>
      </c>
      <c r="G2254" s="9"/>
      <c r="H2254" s="257" t="s">
        <v>20366</v>
      </c>
      <c r="I2254" s="9">
        <v>2</v>
      </c>
    </row>
    <row r="2255" spans="1:9">
      <c r="A2255" s="257" t="s">
        <v>3353</v>
      </c>
      <c r="B2255" s="9">
        <v>3</v>
      </c>
      <c r="C2255" s="257" t="s">
        <v>10528</v>
      </c>
      <c r="D2255" s="9">
        <v>2426812690.7115769</v>
      </c>
      <c r="E2255" s="9">
        <v>1724459.8235549927</v>
      </c>
      <c r="F2255" s="257" t="s">
        <v>15077</v>
      </c>
      <c r="G2255" s="9"/>
      <c r="H2255" s="257" t="s">
        <v>20367</v>
      </c>
      <c r="I2255" s="9">
        <v>2</v>
      </c>
    </row>
    <row r="2256" spans="1:9">
      <c r="A2256" s="257" t="s">
        <v>3354</v>
      </c>
      <c r="B2256" s="9">
        <v>3</v>
      </c>
      <c r="C2256" s="257" t="s">
        <v>10529</v>
      </c>
      <c r="D2256" s="9">
        <v>1</v>
      </c>
      <c r="E2256" s="9">
        <v>1724459.8235549927</v>
      </c>
      <c r="F2256" s="257" t="s">
        <v>15077</v>
      </c>
      <c r="G2256" s="9"/>
      <c r="H2256" s="257" t="s">
        <v>20368</v>
      </c>
      <c r="I2256" s="9">
        <v>2</v>
      </c>
    </row>
    <row r="2257" spans="1:9">
      <c r="A2257" s="257" t="s">
        <v>3355</v>
      </c>
      <c r="B2257" s="9">
        <v>3</v>
      </c>
      <c r="C2257" s="257" t="s">
        <v>10530</v>
      </c>
      <c r="D2257" s="9">
        <v>1407.2886231171663</v>
      </c>
      <c r="E2257" s="9">
        <v>1724459.8235549927</v>
      </c>
      <c r="F2257" s="257" t="s">
        <v>15077</v>
      </c>
      <c r="G2257" s="9"/>
      <c r="H2257" s="257" t="s">
        <v>20369</v>
      </c>
      <c r="I2257" s="9">
        <v>2</v>
      </c>
    </row>
    <row r="2258" spans="1:9">
      <c r="A2258" s="257" t="s">
        <v>3356</v>
      </c>
      <c r="B2258" s="9">
        <v>3</v>
      </c>
      <c r="C2258" s="257" t="s">
        <v>10531</v>
      </c>
      <c r="D2258" s="9">
        <v>606140.43930053711</v>
      </c>
      <c r="E2258" s="9">
        <v>1724459.8235549927</v>
      </c>
      <c r="F2258" s="257" t="s">
        <v>15078</v>
      </c>
      <c r="G2258" s="9"/>
      <c r="H2258" s="257" t="s">
        <v>20370</v>
      </c>
      <c r="I2258" s="9">
        <v>2</v>
      </c>
    </row>
    <row r="2259" spans="1:9">
      <c r="A2259" s="257" t="s">
        <v>3357</v>
      </c>
      <c r="B2259" s="9">
        <v>3</v>
      </c>
      <c r="C2259" s="257" t="s">
        <v>10532</v>
      </c>
      <c r="D2259" s="9">
        <v>2746599669.2663484</v>
      </c>
      <c r="E2259" s="9">
        <v>1724459.8235549927</v>
      </c>
      <c r="F2259" s="257" t="s">
        <v>15078</v>
      </c>
      <c r="G2259" s="9"/>
      <c r="H2259" s="257" t="s">
        <v>20371</v>
      </c>
      <c r="I2259" s="9">
        <v>2</v>
      </c>
    </row>
    <row r="2260" spans="1:9">
      <c r="A2260" s="257" t="s">
        <v>3358</v>
      </c>
      <c r="B2260" s="9">
        <v>3</v>
      </c>
      <c r="C2260" s="257" t="s">
        <v>10533</v>
      </c>
      <c r="D2260" s="9">
        <v>0.35149583134443341</v>
      </c>
      <c r="E2260" s="9">
        <v>1724459.8235549927</v>
      </c>
      <c r="F2260" s="257" t="s">
        <v>15078</v>
      </c>
      <c r="G2260" s="9"/>
      <c r="H2260" s="257" t="s">
        <v>20372</v>
      </c>
      <c r="I2260" s="9">
        <v>2</v>
      </c>
    </row>
    <row r="2261" spans="1:9">
      <c r="A2261" s="257" t="s">
        <v>3359</v>
      </c>
      <c r="B2261" s="9">
        <v>3</v>
      </c>
      <c r="C2261" s="257" t="s">
        <v>10534</v>
      </c>
      <c r="D2261" s="9">
        <v>1592.7304491236005</v>
      </c>
      <c r="E2261" s="9">
        <v>1724459.8235549927</v>
      </c>
      <c r="F2261" s="257" t="s">
        <v>15078</v>
      </c>
      <c r="G2261" s="9"/>
      <c r="H2261" s="257" t="s">
        <v>20373</v>
      </c>
      <c r="I2261" s="9">
        <v>2</v>
      </c>
    </row>
    <row r="2262" spans="1:9">
      <c r="A2262" s="257" t="s">
        <v>3360</v>
      </c>
      <c r="B2262" s="9">
        <v>3</v>
      </c>
      <c r="C2262" s="257" t="s">
        <v>10535</v>
      </c>
      <c r="D2262" s="9">
        <v>0</v>
      </c>
      <c r="E2262" s="9">
        <v>1724459.8235549927</v>
      </c>
      <c r="F2262" s="257" t="s">
        <v>15079</v>
      </c>
      <c r="G2262" s="9"/>
      <c r="H2262" s="257" t="s">
        <v>20374</v>
      </c>
      <c r="I2262" s="9">
        <v>2</v>
      </c>
    </row>
    <row r="2263" spans="1:9">
      <c r="A2263" s="257" t="s">
        <v>3361</v>
      </c>
      <c r="B2263" s="9">
        <v>3</v>
      </c>
      <c r="C2263" s="257" t="s">
        <v>10536</v>
      </c>
      <c r="D2263" s="9">
        <v>-468606477.35986483</v>
      </c>
      <c r="E2263" s="9">
        <v>1724459.8235549927</v>
      </c>
      <c r="F2263" s="257" t="s">
        <v>15079</v>
      </c>
      <c r="G2263" s="9"/>
      <c r="H2263" s="257" t="s">
        <v>20375</v>
      </c>
      <c r="I2263" s="9">
        <v>2</v>
      </c>
    </row>
    <row r="2264" spans="1:9">
      <c r="A2264" s="257" t="s">
        <v>3362</v>
      </c>
      <c r="B2264" s="9">
        <v>3</v>
      </c>
      <c r="C2264" s="257" t="s">
        <v>10537</v>
      </c>
      <c r="D2264" s="9">
        <v>0</v>
      </c>
      <c r="E2264" s="9">
        <v>1724459.8235549927</v>
      </c>
      <c r="F2264" s="257" t="s">
        <v>15079</v>
      </c>
      <c r="G2264" s="9"/>
      <c r="H2264" s="257" t="s">
        <v>20376</v>
      </c>
      <c r="I2264" s="9">
        <v>2</v>
      </c>
    </row>
    <row r="2265" spans="1:9">
      <c r="A2265" s="257" t="s">
        <v>3363</v>
      </c>
      <c r="B2265" s="9">
        <v>3</v>
      </c>
      <c r="C2265" s="257" t="s">
        <v>10538</v>
      </c>
      <c r="D2265" s="9">
        <v>-271.74102345500137</v>
      </c>
      <c r="E2265" s="9">
        <v>1724459.8235549927</v>
      </c>
      <c r="F2265" s="257" t="s">
        <v>15079</v>
      </c>
      <c r="G2265" s="9"/>
      <c r="H2265" s="257" t="s">
        <v>20377</v>
      </c>
      <c r="I2265" s="9">
        <v>2</v>
      </c>
    </row>
    <row r="2266" spans="1:9">
      <c r="A2266" s="257" t="s">
        <v>3364</v>
      </c>
      <c r="B2266" s="9">
        <v>3</v>
      </c>
      <c r="C2266" s="257" t="s">
        <v>10539</v>
      </c>
      <c r="D2266" s="9">
        <v>599356.54788208008</v>
      </c>
      <c r="E2266" s="9">
        <v>1724459.8235549927</v>
      </c>
      <c r="F2266" s="257" t="s">
        <v>15080</v>
      </c>
      <c r="G2266" s="9"/>
      <c r="H2266" s="257" t="s">
        <v>20378</v>
      </c>
      <c r="I2266" s="9">
        <v>2</v>
      </c>
    </row>
    <row r="2267" spans="1:9">
      <c r="A2267" s="257" t="s">
        <v>3365</v>
      </c>
      <c r="B2267" s="9">
        <v>3</v>
      </c>
      <c r="C2267" s="257" t="s">
        <v>10540</v>
      </c>
      <c r="D2267" s="9">
        <v>2277993191.9064832</v>
      </c>
      <c r="E2267" s="9">
        <v>1724459.8235549927</v>
      </c>
      <c r="F2267" s="257" t="s">
        <v>15080</v>
      </c>
      <c r="G2267" s="9"/>
      <c r="H2267" s="257" t="s">
        <v>20379</v>
      </c>
      <c r="I2267" s="9">
        <v>2</v>
      </c>
    </row>
    <row r="2268" spans="1:9">
      <c r="A2268" s="257" t="s">
        <v>3366</v>
      </c>
      <c r="B2268" s="9">
        <v>3</v>
      </c>
      <c r="C2268" s="257" t="s">
        <v>10541</v>
      </c>
      <c r="D2268" s="9">
        <v>0.34756190877587395</v>
      </c>
      <c r="E2268" s="9">
        <v>1724459.8235549927</v>
      </c>
      <c r="F2268" s="257" t="s">
        <v>15080</v>
      </c>
      <c r="G2268" s="9"/>
      <c r="H2268" s="257" t="s">
        <v>20380</v>
      </c>
      <c r="I2268" s="9">
        <v>2</v>
      </c>
    </row>
    <row r="2269" spans="1:9">
      <c r="A2269" s="257" t="s">
        <v>3367</v>
      </c>
      <c r="B2269" s="9">
        <v>3</v>
      </c>
      <c r="C2269" s="257" t="s">
        <v>10542</v>
      </c>
      <c r="D2269" s="9">
        <v>1320.9894256685989</v>
      </c>
      <c r="E2269" s="9">
        <v>1724459.8235549927</v>
      </c>
      <c r="F2269" s="257" t="s">
        <v>15080</v>
      </c>
      <c r="G2269" s="9"/>
      <c r="H2269" s="257" t="s">
        <v>20381</v>
      </c>
      <c r="I2269" s="9">
        <v>2</v>
      </c>
    </row>
    <row r="2270" spans="1:9">
      <c r="A2270" s="257" t="s">
        <v>3368</v>
      </c>
      <c r="B2270" s="9">
        <v>3</v>
      </c>
      <c r="C2270" s="257" t="s">
        <v>10543</v>
      </c>
      <c r="D2270" s="9">
        <v>78741.791076660156</v>
      </c>
      <c r="E2270" s="9">
        <v>1724459.8235549927</v>
      </c>
      <c r="F2270" s="257" t="s">
        <v>15081</v>
      </c>
      <c r="G2270" s="9"/>
      <c r="H2270" s="257" t="s">
        <v>20382</v>
      </c>
      <c r="I2270" s="9">
        <v>2</v>
      </c>
    </row>
    <row r="2271" spans="1:9">
      <c r="A2271" s="257" t="s">
        <v>3369</v>
      </c>
      <c r="B2271" s="9">
        <v>3</v>
      </c>
      <c r="C2271" s="257" t="s">
        <v>10544</v>
      </c>
      <c r="D2271" s="9">
        <v>114435883.295725</v>
      </c>
      <c r="E2271" s="9">
        <v>1724459.8235549927</v>
      </c>
      <c r="F2271" s="257" t="s">
        <v>15081</v>
      </c>
      <c r="G2271" s="9"/>
      <c r="H2271" s="257" t="s">
        <v>20383</v>
      </c>
      <c r="I2271" s="9">
        <v>2</v>
      </c>
    </row>
    <row r="2272" spans="1:9">
      <c r="A2272" s="257" t="s">
        <v>3370</v>
      </c>
      <c r="B2272" s="9">
        <v>3</v>
      </c>
      <c r="C2272" s="257" t="s">
        <v>10545</v>
      </c>
      <c r="D2272" s="9">
        <v>4.5661713889241617E-2</v>
      </c>
      <c r="E2272" s="9">
        <v>1724459.8235549927</v>
      </c>
      <c r="F2272" s="257" t="s">
        <v>15081</v>
      </c>
      <c r="G2272" s="9"/>
      <c r="H2272" s="257" t="s">
        <v>20384</v>
      </c>
      <c r="I2272" s="9">
        <v>2</v>
      </c>
    </row>
    <row r="2273" spans="1:9">
      <c r="A2273" s="257" t="s">
        <v>3371</v>
      </c>
      <c r="B2273" s="9">
        <v>3</v>
      </c>
      <c r="C2273" s="257" t="s">
        <v>10546</v>
      </c>
      <c r="D2273" s="9">
        <v>66.360422975708531</v>
      </c>
      <c r="E2273" s="9">
        <v>1724459.8235549927</v>
      </c>
      <c r="F2273" s="257" t="s">
        <v>15081</v>
      </c>
      <c r="G2273" s="9"/>
      <c r="H2273" s="257" t="s">
        <v>20385</v>
      </c>
      <c r="I2273" s="9">
        <v>2</v>
      </c>
    </row>
    <row r="2274" spans="1:9">
      <c r="A2274" s="257" t="s">
        <v>3372</v>
      </c>
      <c r="B2274" s="9">
        <v>3</v>
      </c>
      <c r="C2274" s="257" t="s">
        <v>10547</v>
      </c>
      <c r="D2274" s="9">
        <v>558196.97508239746</v>
      </c>
      <c r="E2274" s="9">
        <v>1724459.8235549927</v>
      </c>
      <c r="F2274" s="257" t="s">
        <v>15082</v>
      </c>
      <c r="G2274" s="9"/>
      <c r="H2274" s="257" t="s">
        <v>20386</v>
      </c>
      <c r="I2274" s="9">
        <v>2</v>
      </c>
    </row>
    <row r="2275" spans="1:9">
      <c r="A2275" s="257" t="s">
        <v>3373</v>
      </c>
      <c r="B2275" s="9">
        <v>3</v>
      </c>
      <c r="C2275" s="257" t="s">
        <v>10548</v>
      </c>
      <c r="D2275" s="9">
        <v>861867402.01983845</v>
      </c>
      <c r="E2275" s="9">
        <v>1724459.8235549927</v>
      </c>
      <c r="F2275" s="257" t="s">
        <v>15082</v>
      </c>
      <c r="G2275" s="9"/>
      <c r="H2275" s="257" t="s">
        <v>20387</v>
      </c>
      <c r="I2275" s="9">
        <v>2</v>
      </c>
    </row>
    <row r="2276" spans="1:9">
      <c r="A2276" s="257" t="s">
        <v>3374</v>
      </c>
      <c r="B2276" s="9">
        <v>3</v>
      </c>
      <c r="C2276" s="257" t="s">
        <v>10549</v>
      </c>
      <c r="D2276" s="9">
        <v>0.32369381266979497</v>
      </c>
      <c r="E2276" s="9">
        <v>1724459.8235549927</v>
      </c>
      <c r="F2276" s="257" t="s">
        <v>15082</v>
      </c>
      <c r="G2276" s="9"/>
      <c r="H2276" s="257" t="s">
        <v>20388</v>
      </c>
      <c r="I2276" s="9">
        <v>2</v>
      </c>
    </row>
    <row r="2277" spans="1:9">
      <c r="A2277" s="257" t="s">
        <v>3375</v>
      </c>
      <c r="B2277" s="9">
        <v>3</v>
      </c>
      <c r="C2277" s="257" t="s">
        <v>10550</v>
      </c>
      <c r="D2277" s="9">
        <v>499.78978358747116</v>
      </c>
      <c r="E2277" s="9">
        <v>1724459.8235549927</v>
      </c>
      <c r="F2277" s="257" t="s">
        <v>15082</v>
      </c>
      <c r="G2277" s="9"/>
      <c r="H2277" s="257" t="s">
        <v>20389</v>
      </c>
      <c r="I2277" s="9">
        <v>2</v>
      </c>
    </row>
    <row r="2278" spans="1:9">
      <c r="A2278" s="257" t="s">
        <v>3376</v>
      </c>
      <c r="B2278" s="9">
        <v>3</v>
      </c>
      <c r="C2278" s="257" t="s">
        <v>10551</v>
      </c>
      <c r="D2278" s="9">
        <v>0</v>
      </c>
      <c r="E2278" s="9">
        <v>1724459.8235549927</v>
      </c>
      <c r="F2278" s="257" t="s">
        <v>15083</v>
      </c>
      <c r="G2278" s="9"/>
      <c r="H2278" s="257" t="s">
        <v>20390</v>
      </c>
      <c r="I2278" s="9">
        <v>2</v>
      </c>
    </row>
    <row r="2279" spans="1:9">
      <c r="A2279" s="257" t="s">
        <v>3377</v>
      </c>
      <c r="B2279" s="9">
        <v>3</v>
      </c>
      <c r="C2279" s="257" t="s">
        <v>10552</v>
      </c>
      <c r="D2279" s="9">
        <v>0</v>
      </c>
      <c r="E2279" s="9">
        <v>1724459.8235549927</v>
      </c>
      <c r="F2279" s="257" t="s">
        <v>15083</v>
      </c>
      <c r="G2279" s="9"/>
      <c r="H2279" s="257" t="s">
        <v>20391</v>
      </c>
      <c r="I2279" s="9">
        <v>2</v>
      </c>
    </row>
    <row r="2280" spans="1:9">
      <c r="A2280" s="257" t="s">
        <v>3378</v>
      </c>
      <c r="B2280" s="9">
        <v>3</v>
      </c>
      <c r="C2280" s="257" t="s">
        <v>10553</v>
      </c>
      <c r="D2280" s="9">
        <v>0</v>
      </c>
      <c r="E2280" s="9">
        <v>1724459.8235549927</v>
      </c>
      <c r="F2280" s="257" t="s">
        <v>15083</v>
      </c>
      <c r="G2280" s="9"/>
      <c r="H2280" s="257" t="s">
        <v>20392</v>
      </c>
      <c r="I2280" s="9">
        <v>2</v>
      </c>
    </row>
    <row r="2281" spans="1:9">
      <c r="A2281" s="257" t="s">
        <v>3379</v>
      </c>
      <c r="B2281" s="9">
        <v>3</v>
      </c>
      <c r="C2281" s="257" t="s">
        <v>10554</v>
      </c>
      <c r="D2281" s="9">
        <v>0</v>
      </c>
      <c r="E2281" s="9">
        <v>1724459.8235549927</v>
      </c>
      <c r="F2281" s="257" t="s">
        <v>15083</v>
      </c>
      <c r="G2281" s="9"/>
      <c r="H2281" s="257" t="s">
        <v>20393</v>
      </c>
      <c r="I2281" s="9">
        <v>2</v>
      </c>
    </row>
    <row r="2282" spans="1:9">
      <c r="A2282" s="257" t="s">
        <v>3380</v>
      </c>
      <c r="B2282" s="9">
        <v>4</v>
      </c>
      <c r="C2282" s="257" t="s">
        <v>10555</v>
      </c>
      <c r="D2282" s="9">
        <v>620191.47164916992</v>
      </c>
      <c r="E2282" s="9">
        <v>1728561.5107574463</v>
      </c>
      <c r="F2282" s="257" t="s">
        <v>15084</v>
      </c>
      <c r="G2282" s="9"/>
      <c r="H2282" s="257" t="s">
        <v>20394</v>
      </c>
      <c r="I2282" s="9">
        <v>2</v>
      </c>
    </row>
    <row r="2283" spans="1:9">
      <c r="A2283" s="257" t="s">
        <v>3381</v>
      </c>
      <c r="B2283" s="9">
        <v>4</v>
      </c>
      <c r="C2283" s="257" t="s">
        <v>10556</v>
      </c>
      <c r="D2283" s="9">
        <v>1816564010.6574709</v>
      </c>
      <c r="E2283" s="9">
        <v>1728561.5107574463</v>
      </c>
      <c r="F2283" s="257" t="s">
        <v>15084</v>
      </c>
      <c r="G2283" s="9"/>
      <c r="H2283" s="257" t="s">
        <v>20395</v>
      </c>
      <c r="I2283" s="9">
        <v>2</v>
      </c>
    </row>
    <row r="2284" spans="1:9">
      <c r="A2284" s="257" t="s">
        <v>3382</v>
      </c>
      <c r="B2284" s="9">
        <v>4</v>
      </c>
      <c r="C2284" s="257" t="s">
        <v>10557</v>
      </c>
      <c r="D2284" s="9">
        <v>0.35879051326174988</v>
      </c>
      <c r="E2284" s="9">
        <v>1728561.5107574463</v>
      </c>
      <c r="F2284" s="257" t="s">
        <v>15084</v>
      </c>
      <c r="G2284" s="9"/>
      <c r="H2284" s="257" t="s">
        <v>20396</v>
      </c>
      <c r="I2284" s="9">
        <v>2</v>
      </c>
    </row>
    <row r="2285" spans="1:9">
      <c r="A2285" s="257" t="s">
        <v>3383</v>
      </c>
      <c r="B2285" s="9">
        <v>4</v>
      </c>
      <c r="C2285" s="257" t="s">
        <v>10558</v>
      </c>
      <c r="D2285" s="9">
        <v>1050.9108292371166</v>
      </c>
      <c r="E2285" s="9">
        <v>1728561.5107574463</v>
      </c>
      <c r="F2285" s="257" t="s">
        <v>15084</v>
      </c>
      <c r="G2285" s="9"/>
      <c r="H2285" s="257" t="s">
        <v>20397</v>
      </c>
      <c r="I2285" s="9">
        <v>2</v>
      </c>
    </row>
    <row r="2286" spans="1:9">
      <c r="A2286" s="257" t="s">
        <v>3384</v>
      </c>
      <c r="B2286" s="9">
        <v>4</v>
      </c>
      <c r="C2286" s="257" t="s">
        <v>10559</v>
      </c>
      <c r="D2286" s="9">
        <v>0</v>
      </c>
      <c r="E2286" s="9">
        <v>1728561.5107574463</v>
      </c>
      <c r="F2286" s="257" t="s">
        <v>15085</v>
      </c>
      <c r="G2286" s="9"/>
      <c r="H2286" s="257" t="s">
        <v>20398</v>
      </c>
      <c r="I2286" s="9">
        <v>2</v>
      </c>
    </row>
    <row r="2287" spans="1:9">
      <c r="A2287" s="257" t="s">
        <v>3385</v>
      </c>
      <c r="B2287" s="9">
        <v>4</v>
      </c>
      <c r="C2287" s="257" t="s">
        <v>10560</v>
      </c>
      <c r="D2287" s="9">
        <v>0</v>
      </c>
      <c r="E2287" s="9">
        <v>1728561.5107574463</v>
      </c>
      <c r="F2287" s="257" t="s">
        <v>15085</v>
      </c>
      <c r="G2287" s="9"/>
      <c r="H2287" s="257" t="s">
        <v>20399</v>
      </c>
      <c r="I2287" s="9">
        <v>2</v>
      </c>
    </row>
    <row r="2288" spans="1:9">
      <c r="A2288" s="257" t="s">
        <v>3386</v>
      </c>
      <c r="B2288" s="9">
        <v>4</v>
      </c>
      <c r="C2288" s="257" t="s">
        <v>10561</v>
      </c>
      <c r="D2288" s="9">
        <v>0</v>
      </c>
      <c r="E2288" s="9">
        <v>1728561.5107574463</v>
      </c>
      <c r="F2288" s="257" t="s">
        <v>15085</v>
      </c>
      <c r="G2288" s="9"/>
      <c r="H2288" s="257" t="s">
        <v>20400</v>
      </c>
      <c r="I2288" s="9">
        <v>2</v>
      </c>
    </row>
    <row r="2289" spans="1:9">
      <c r="A2289" s="257" t="s">
        <v>3387</v>
      </c>
      <c r="B2289" s="9">
        <v>4</v>
      </c>
      <c r="C2289" s="257" t="s">
        <v>10562</v>
      </c>
      <c r="D2289" s="9">
        <v>0</v>
      </c>
      <c r="E2289" s="9">
        <v>1728561.5107574463</v>
      </c>
      <c r="F2289" s="257" t="s">
        <v>15085</v>
      </c>
      <c r="G2289" s="9"/>
      <c r="H2289" s="257" t="s">
        <v>20401</v>
      </c>
      <c r="I2289" s="9">
        <v>2</v>
      </c>
    </row>
    <row r="2290" spans="1:9">
      <c r="A2290" s="257" t="s">
        <v>3388</v>
      </c>
      <c r="B2290" s="9">
        <v>4</v>
      </c>
      <c r="C2290" s="257" t="s">
        <v>10563</v>
      </c>
      <c r="D2290" s="9">
        <v>827972.07026672363</v>
      </c>
      <c r="E2290" s="9">
        <v>1728561.5107574463</v>
      </c>
      <c r="F2290" s="257" t="s">
        <v>15086</v>
      </c>
      <c r="G2290" s="9"/>
      <c r="H2290" s="257" t="s">
        <v>20402</v>
      </c>
      <c r="I2290" s="9">
        <v>2</v>
      </c>
    </row>
    <row r="2291" spans="1:9">
      <c r="A2291" s="257" t="s">
        <v>3389</v>
      </c>
      <c r="B2291" s="9">
        <v>4</v>
      </c>
      <c r="C2291" s="257" t="s">
        <v>10564</v>
      </c>
      <c r="D2291" s="9">
        <v>184544019.93633687</v>
      </c>
      <c r="E2291" s="9">
        <v>1728561.5107574463</v>
      </c>
      <c r="F2291" s="257" t="s">
        <v>15086</v>
      </c>
      <c r="G2291" s="9"/>
      <c r="H2291" s="257" t="s">
        <v>20403</v>
      </c>
      <c r="I2291" s="9">
        <v>2</v>
      </c>
    </row>
    <row r="2292" spans="1:9">
      <c r="A2292" s="257" t="s">
        <v>3390</v>
      </c>
      <c r="B2292" s="9">
        <v>4</v>
      </c>
      <c r="C2292" s="257" t="s">
        <v>10565</v>
      </c>
      <c r="D2292" s="9">
        <v>0.4789948550363769</v>
      </c>
      <c r="E2292" s="9">
        <v>1728561.5107574463</v>
      </c>
      <c r="F2292" s="257" t="s">
        <v>15086</v>
      </c>
      <c r="G2292" s="9"/>
      <c r="H2292" s="257" t="s">
        <v>20404</v>
      </c>
      <c r="I2292" s="9">
        <v>2</v>
      </c>
    </row>
    <row r="2293" spans="1:9">
      <c r="A2293" s="257" t="s">
        <v>3391</v>
      </c>
      <c r="B2293" s="9">
        <v>4</v>
      </c>
      <c r="C2293" s="257" t="s">
        <v>10566</v>
      </c>
      <c r="D2293" s="9">
        <v>106.76161582208937</v>
      </c>
      <c r="E2293" s="9">
        <v>1728561.5107574463</v>
      </c>
      <c r="F2293" s="257" t="s">
        <v>15086</v>
      </c>
      <c r="G2293" s="9"/>
      <c r="H2293" s="257" t="s">
        <v>20405</v>
      </c>
      <c r="I2293" s="9">
        <v>2</v>
      </c>
    </row>
    <row r="2294" spans="1:9">
      <c r="A2294" s="257" t="s">
        <v>3392</v>
      </c>
      <c r="B2294" s="9">
        <v>4</v>
      </c>
      <c r="C2294" s="257" t="s">
        <v>10567</v>
      </c>
      <c r="D2294" s="9">
        <v>0</v>
      </c>
      <c r="E2294" s="9">
        <v>1728561.5107574463</v>
      </c>
      <c r="F2294" s="257" t="s">
        <v>15087</v>
      </c>
      <c r="G2294" s="9"/>
      <c r="H2294" s="257" t="s">
        <v>20406</v>
      </c>
      <c r="I2294" s="9">
        <v>2</v>
      </c>
    </row>
    <row r="2295" spans="1:9">
      <c r="A2295" s="257" t="s">
        <v>3393</v>
      </c>
      <c r="B2295" s="9">
        <v>4</v>
      </c>
      <c r="C2295" s="257" t="s">
        <v>10568</v>
      </c>
      <c r="D2295" s="9">
        <v>0</v>
      </c>
      <c r="E2295" s="9">
        <v>1728561.5107574463</v>
      </c>
      <c r="F2295" s="257" t="s">
        <v>15087</v>
      </c>
      <c r="G2295" s="9"/>
      <c r="H2295" s="257" t="s">
        <v>20407</v>
      </c>
      <c r="I2295" s="9">
        <v>2</v>
      </c>
    </row>
    <row r="2296" spans="1:9">
      <c r="A2296" s="257" t="s">
        <v>3394</v>
      </c>
      <c r="B2296" s="9">
        <v>4</v>
      </c>
      <c r="C2296" s="257" t="s">
        <v>10569</v>
      </c>
      <c r="D2296" s="9">
        <v>0</v>
      </c>
      <c r="E2296" s="9">
        <v>1728561.5107574463</v>
      </c>
      <c r="F2296" s="257" t="s">
        <v>15087</v>
      </c>
      <c r="G2296" s="9"/>
      <c r="H2296" s="257" t="s">
        <v>20408</v>
      </c>
      <c r="I2296" s="9">
        <v>2</v>
      </c>
    </row>
    <row r="2297" spans="1:9">
      <c r="A2297" s="257" t="s">
        <v>3395</v>
      </c>
      <c r="B2297" s="9">
        <v>4</v>
      </c>
      <c r="C2297" s="257" t="s">
        <v>10570</v>
      </c>
      <c r="D2297" s="9">
        <v>0</v>
      </c>
      <c r="E2297" s="9">
        <v>1728561.5107574463</v>
      </c>
      <c r="F2297" s="257" t="s">
        <v>15087</v>
      </c>
      <c r="G2297" s="9"/>
      <c r="H2297" s="257" t="s">
        <v>20409</v>
      </c>
      <c r="I2297" s="9">
        <v>2</v>
      </c>
    </row>
    <row r="2298" spans="1:9">
      <c r="A2298" s="257" t="s">
        <v>3396</v>
      </c>
      <c r="B2298" s="9">
        <v>4</v>
      </c>
      <c r="C2298" s="257" t="s">
        <v>10571</v>
      </c>
      <c r="D2298" s="9">
        <v>0</v>
      </c>
      <c r="E2298" s="9">
        <v>1728561.5107574463</v>
      </c>
      <c r="F2298" s="257" t="s">
        <v>15088</v>
      </c>
      <c r="G2298" s="9"/>
      <c r="H2298" s="257" t="s">
        <v>20410</v>
      </c>
      <c r="I2298" s="9">
        <v>2</v>
      </c>
    </row>
    <row r="2299" spans="1:9">
      <c r="A2299" s="257" t="s">
        <v>3397</v>
      </c>
      <c r="B2299" s="9">
        <v>4</v>
      </c>
      <c r="C2299" s="257" t="s">
        <v>10572</v>
      </c>
      <c r="D2299" s="9">
        <v>0</v>
      </c>
      <c r="E2299" s="9">
        <v>1728561.5107574463</v>
      </c>
      <c r="F2299" s="257" t="s">
        <v>15088</v>
      </c>
      <c r="G2299" s="9"/>
      <c r="H2299" s="257" t="s">
        <v>20411</v>
      </c>
      <c r="I2299" s="9">
        <v>2</v>
      </c>
    </row>
    <row r="2300" spans="1:9">
      <c r="A2300" s="257" t="s">
        <v>3398</v>
      </c>
      <c r="B2300" s="9">
        <v>4</v>
      </c>
      <c r="C2300" s="257" t="s">
        <v>10573</v>
      </c>
      <c r="D2300" s="9">
        <v>0</v>
      </c>
      <c r="E2300" s="9">
        <v>1728561.5107574463</v>
      </c>
      <c r="F2300" s="257" t="s">
        <v>15088</v>
      </c>
      <c r="G2300" s="9"/>
      <c r="H2300" s="257" t="s">
        <v>20412</v>
      </c>
      <c r="I2300" s="9">
        <v>2</v>
      </c>
    </row>
    <row r="2301" spans="1:9">
      <c r="A2301" s="257" t="s">
        <v>3399</v>
      </c>
      <c r="B2301" s="9">
        <v>4</v>
      </c>
      <c r="C2301" s="257" t="s">
        <v>10574</v>
      </c>
      <c r="D2301" s="9">
        <v>0</v>
      </c>
      <c r="E2301" s="9">
        <v>1728561.5107574463</v>
      </c>
      <c r="F2301" s="257" t="s">
        <v>15088</v>
      </c>
      <c r="G2301" s="9"/>
      <c r="H2301" s="257" t="s">
        <v>20413</v>
      </c>
      <c r="I2301" s="9">
        <v>2</v>
      </c>
    </row>
    <row r="2302" spans="1:9">
      <c r="A2302" s="257" t="s">
        <v>3400</v>
      </c>
      <c r="B2302" s="9">
        <v>4</v>
      </c>
      <c r="C2302" s="257" t="s">
        <v>10575</v>
      </c>
      <c r="D2302" s="9">
        <v>0</v>
      </c>
      <c r="E2302" s="9">
        <v>1728561.5107574463</v>
      </c>
      <c r="F2302" s="257" t="s">
        <v>15089</v>
      </c>
      <c r="G2302" s="9"/>
      <c r="H2302" s="257" t="s">
        <v>20414</v>
      </c>
      <c r="I2302" s="9">
        <v>2</v>
      </c>
    </row>
    <row r="2303" spans="1:9">
      <c r="A2303" s="257" t="s">
        <v>3401</v>
      </c>
      <c r="B2303" s="9">
        <v>4</v>
      </c>
      <c r="C2303" s="257" t="s">
        <v>10576</v>
      </c>
      <c r="D2303" s="9">
        <v>0</v>
      </c>
      <c r="E2303" s="9">
        <v>1728561.5107574463</v>
      </c>
      <c r="F2303" s="257" t="s">
        <v>15089</v>
      </c>
      <c r="G2303" s="9"/>
      <c r="H2303" s="257" t="s">
        <v>20415</v>
      </c>
      <c r="I2303" s="9">
        <v>2</v>
      </c>
    </row>
    <row r="2304" spans="1:9">
      <c r="A2304" s="257" t="s">
        <v>3402</v>
      </c>
      <c r="B2304" s="9">
        <v>4</v>
      </c>
      <c r="C2304" s="257" t="s">
        <v>10577</v>
      </c>
      <c r="D2304" s="9">
        <v>0</v>
      </c>
      <c r="E2304" s="9">
        <v>1728561.5107574463</v>
      </c>
      <c r="F2304" s="257" t="s">
        <v>15089</v>
      </c>
      <c r="G2304" s="9"/>
      <c r="H2304" s="257" t="s">
        <v>20416</v>
      </c>
      <c r="I2304" s="9">
        <v>2</v>
      </c>
    </row>
    <row r="2305" spans="1:9">
      <c r="A2305" s="257" t="s">
        <v>3403</v>
      </c>
      <c r="B2305" s="9">
        <v>4</v>
      </c>
      <c r="C2305" s="257" t="s">
        <v>10578</v>
      </c>
      <c r="D2305" s="9">
        <v>0</v>
      </c>
      <c r="E2305" s="9">
        <v>1728561.5107574463</v>
      </c>
      <c r="F2305" s="257" t="s">
        <v>15089</v>
      </c>
      <c r="G2305" s="9"/>
      <c r="H2305" s="257" t="s">
        <v>20417</v>
      </c>
      <c r="I2305" s="9">
        <v>2</v>
      </c>
    </row>
    <row r="2306" spans="1:9">
      <c r="A2306" s="257" t="s">
        <v>3404</v>
      </c>
      <c r="B2306" s="9">
        <v>4</v>
      </c>
      <c r="C2306" s="257" t="s">
        <v>10579</v>
      </c>
      <c r="D2306" s="9">
        <v>827972.07026672363</v>
      </c>
      <c r="E2306" s="9">
        <v>1728561.5107574463</v>
      </c>
      <c r="F2306" s="257" t="s">
        <v>15090</v>
      </c>
      <c r="G2306" s="9"/>
      <c r="H2306" s="257" t="s">
        <v>20418</v>
      </c>
      <c r="I2306" s="9">
        <v>2</v>
      </c>
    </row>
    <row r="2307" spans="1:9">
      <c r="A2307" s="257" t="s">
        <v>3405</v>
      </c>
      <c r="B2307" s="9">
        <v>4</v>
      </c>
      <c r="C2307" s="257" t="s">
        <v>10580</v>
      </c>
      <c r="D2307" s="9">
        <v>184544019.93633687</v>
      </c>
      <c r="E2307" s="9">
        <v>1728561.5107574463</v>
      </c>
      <c r="F2307" s="257" t="s">
        <v>15090</v>
      </c>
      <c r="G2307" s="9"/>
      <c r="H2307" s="257" t="s">
        <v>20419</v>
      </c>
      <c r="I2307" s="9">
        <v>2</v>
      </c>
    </row>
    <row r="2308" spans="1:9">
      <c r="A2308" s="257" t="s">
        <v>3406</v>
      </c>
      <c r="B2308" s="9">
        <v>4</v>
      </c>
      <c r="C2308" s="257" t="s">
        <v>10581</v>
      </c>
      <c r="D2308" s="9">
        <v>0.4789948550363769</v>
      </c>
      <c r="E2308" s="9">
        <v>1728561.5107574463</v>
      </c>
      <c r="F2308" s="257" t="s">
        <v>15090</v>
      </c>
      <c r="G2308" s="9"/>
      <c r="H2308" s="257" t="s">
        <v>20420</v>
      </c>
      <c r="I2308" s="9">
        <v>2</v>
      </c>
    </row>
    <row r="2309" spans="1:9">
      <c r="A2309" s="257" t="s">
        <v>3407</v>
      </c>
      <c r="B2309" s="9">
        <v>4</v>
      </c>
      <c r="C2309" s="257" t="s">
        <v>10582</v>
      </c>
      <c r="D2309" s="9">
        <v>106.76161582208937</v>
      </c>
      <c r="E2309" s="9">
        <v>1728561.5107574463</v>
      </c>
      <c r="F2309" s="257" t="s">
        <v>15090</v>
      </c>
      <c r="G2309" s="9"/>
      <c r="H2309" s="257" t="s">
        <v>20421</v>
      </c>
      <c r="I2309" s="9">
        <v>2</v>
      </c>
    </row>
    <row r="2310" spans="1:9">
      <c r="A2310" s="257" t="s">
        <v>3408</v>
      </c>
      <c r="B2310" s="9">
        <v>4</v>
      </c>
      <c r="C2310" s="257" t="s">
        <v>10583</v>
      </c>
      <c r="D2310" s="9">
        <v>0</v>
      </c>
      <c r="E2310" s="9">
        <v>1728561.5107574463</v>
      </c>
      <c r="F2310" s="257" t="s">
        <v>15091</v>
      </c>
      <c r="G2310" s="9"/>
      <c r="H2310" s="257" t="s">
        <v>20422</v>
      </c>
      <c r="I2310" s="9">
        <v>2</v>
      </c>
    </row>
    <row r="2311" spans="1:9">
      <c r="A2311" s="257" t="s">
        <v>3409</v>
      </c>
      <c r="B2311" s="9">
        <v>4</v>
      </c>
      <c r="C2311" s="257" t="s">
        <v>10584</v>
      </c>
      <c r="D2311" s="9">
        <v>0</v>
      </c>
      <c r="E2311" s="9">
        <v>1728561.5107574463</v>
      </c>
      <c r="F2311" s="257" t="s">
        <v>15091</v>
      </c>
      <c r="G2311" s="9"/>
      <c r="H2311" s="257" t="s">
        <v>20423</v>
      </c>
      <c r="I2311" s="9">
        <v>2</v>
      </c>
    </row>
    <row r="2312" spans="1:9">
      <c r="A2312" s="257" t="s">
        <v>3410</v>
      </c>
      <c r="B2312" s="9">
        <v>4</v>
      </c>
      <c r="C2312" s="257" t="s">
        <v>10585</v>
      </c>
      <c r="D2312" s="9">
        <v>0</v>
      </c>
      <c r="E2312" s="9">
        <v>1728561.5107574463</v>
      </c>
      <c r="F2312" s="257" t="s">
        <v>15091</v>
      </c>
      <c r="G2312" s="9"/>
      <c r="H2312" s="257" t="s">
        <v>20424</v>
      </c>
      <c r="I2312" s="9">
        <v>2</v>
      </c>
    </row>
    <row r="2313" spans="1:9">
      <c r="A2313" s="257" t="s">
        <v>3411</v>
      </c>
      <c r="B2313" s="9">
        <v>4</v>
      </c>
      <c r="C2313" s="257" t="s">
        <v>10586</v>
      </c>
      <c r="D2313" s="9">
        <v>0</v>
      </c>
      <c r="E2313" s="9">
        <v>1728561.5107574463</v>
      </c>
      <c r="F2313" s="257" t="s">
        <v>15091</v>
      </c>
      <c r="G2313" s="9"/>
      <c r="H2313" s="257" t="s">
        <v>20425</v>
      </c>
      <c r="I2313" s="9">
        <v>2</v>
      </c>
    </row>
    <row r="2314" spans="1:9">
      <c r="A2314" s="257" t="s">
        <v>3412</v>
      </c>
      <c r="B2314" s="9">
        <v>4</v>
      </c>
      <c r="C2314" s="257" t="s">
        <v>10587</v>
      </c>
      <c r="D2314" s="9">
        <v>1728561.5107574463</v>
      </c>
      <c r="E2314" s="9">
        <v>1728561.5107574463</v>
      </c>
      <c r="F2314" s="257" t="s">
        <v>15092</v>
      </c>
      <c r="G2314" s="9"/>
      <c r="H2314" s="257" t="s">
        <v>20426</v>
      </c>
      <c r="I2314" s="9">
        <v>2</v>
      </c>
    </row>
    <row r="2315" spans="1:9">
      <c r="A2315" s="257" t="s">
        <v>3413</v>
      </c>
      <c r="B2315" s="9">
        <v>4</v>
      </c>
      <c r="C2315" s="257" t="s">
        <v>10588</v>
      </c>
      <c r="D2315" s="9">
        <v>5610639205.4201288</v>
      </c>
      <c r="E2315" s="9">
        <v>1728561.5107574463</v>
      </c>
      <c r="F2315" s="257" t="s">
        <v>15092</v>
      </c>
      <c r="G2315" s="9"/>
      <c r="H2315" s="257" t="s">
        <v>20427</v>
      </c>
      <c r="I2315" s="9">
        <v>2</v>
      </c>
    </row>
    <row r="2316" spans="1:9">
      <c r="A2316" s="257" t="s">
        <v>3414</v>
      </c>
      <c r="B2316" s="9">
        <v>4</v>
      </c>
      <c r="C2316" s="257" t="s">
        <v>10589</v>
      </c>
      <c r="D2316" s="9">
        <v>1</v>
      </c>
      <c r="E2316" s="9">
        <v>1728561.5107574463</v>
      </c>
      <c r="F2316" s="257" t="s">
        <v>15092</v>
      </c>
      <c r="G2316" s="9"/>
      <c r="H2316" s="257" t="s">
        <v>20428</v>
      </c>
      <c r="I2316" s="9">
        <v>2</v>
      </c>
    </row>
    <row r="2317" spans="1:9">
      <c r="A2317" s="257" t="s">
        <v>3415</v>
      </c>
      <c r="B2317" s="9">
        <v>4</v>
      </c>
      <c r="C2317" s="257" t="s">
        <v>10590</v>
      </c>
      <c r="D2317" s="9">
        <v>3245.8429569923592</v>
      </c>
      <c r="E2317" s="9">
        <v>1728561.5107574463</v>
      </c>
      <c r="F2317" s="257" t="s">
        <v>15092</v>
      </c>
      <c r="G2317" s="9"/>
      <c r="H2317" s="257" t="s">
        <v>20429</v>
      </c>
      <c r="I2317" s="9">
        <v>2</v>
      </c>
    </row>
    <row r="2318" spans="1:9">
      <c r="A2318" s="257" t="s">
        <v>3416</v>
      </c>
      <c r="B2318" s="9">
        <v>4</v>
      </c>
      <c r="C2318" s="257" t="s">
        <v>10591</v>
      </c>
      <c r="D2318" s="9">
        <v>1728561.5107574463</v>
      </c>
      <c r="E2318" s="9">
        <v>1728561.5107574463</v>
      </c>
      <c r="F2318" s="257" t="s">
        <v>15093</v>
      </c>
      <c r="G2318" s="9"/>
      <c r="H2318" s="257" t="s">
        <v>20430</v>
      </c>
      <c r="I2318" s="9">
        <v>2</v>
      </c>
    </row>
    <row r="2319" spans="1:9">
      <c r="A2319" s="257" t="s">
        <v>3417</v>
      </c>
      <c r="B2319" s="9">
        <v>4</v>
      </c>
      <c r="C2319" s="257" t="s">
        <v>10592</v>
      </c>
      <c r="D2319" s="9">
        <v>5426095185.4837923</v>
      </c>
      <c r="E2319" s="9">
        <v>1728561.5107574463</v>
      </c>
      <c r="F2319" s="257" t="s">
        <v>15093</v>
      </c>
      <c r="G2319" s="9"/>
      <c r="H2319" s="257" t="s">
        <v>20431</v>
      </c>
      <c r="I2319" s="9">
        <v>2</v>
      </c>
    </row>
    <row r="2320" spans="1:9">
      <c r="A2320" s="257" t="s">
        <v>3418</v>
      </c>
      <c r="B2320" s="9">
        <v>4</v>
      </c>
      <c r="C2320" s="257" t="s">
        <v>10593</v>
      </c>
      <c r="D2320" s="9">
        <v>1</v>
      </c>
      <c r="E2320" s="9">
        <v>1728561.5107574463</v>
      </c>
      <c r="F2320" s="257" t="s">
        <v>15093</v>
      </c>
      <c r="G2320" s="9"/>
      <c r="H2320" s="257" t="s">
        <v>20432</v>
      </c>
      <c r="I2320" s="9">
        <v>2</v>
      </c>
    </row>
    <row r="2321" spans="1:9">
      <c r="A2321" s="257" t="s">
        <v>3419</v>
      </c>
      <c r="B2321" s="9">
        <v>4</v>
      </c>
      <c r="C2321" s="257" t="s">
        <v>10594</v>
      </c>
      <c r="D2321" s="9">
        <v>3139.0813411702698</v>
      </c>
      <c r="E2321" s="9">
        <v>1728561.5107574463</v>
      </c>
      <c r="F2321" s="257" t="s">
        <v>15093</v>
      </c>
      <c r="G2321" s="9"/>
      <c r="H2321" s="257" t="s">
        <v>20433</v>
      </c>
      <c r="I2321" s="9">
        <v>2</v>
      </c>
    </row>
    <row r="2322" spans="1:9">
      <c r="A2322" s="257" t="s">
        <v>3420</v>
      </c>
      <c r="B2322" s="9">
        <v>4</v>
      </c>
      <c r="C2322" s="257" t="s">
        <v>10595</v>
      </c>
      <c r="D2322" s="9">
        <v>1728561.5107574463</v>
      </c>
      <c r="E2322" s="9">
        <v>1728561.5107574463</v>
      </c>
      <c r="F2322" s="257" t="s">
        <v>15094</v>
      </c>
      <c r="G2322" s="9"/>
      <c r="H2322" s="257" t="s">
        <v>20434</v>
      </c>
      <c r="I2322" s="9">
        <v>2</v>
      </c>
    </row>
    <row r="2323" spans="1:9">
      <c r="A2323" s="257" t="s">
        <v>3421</v>
      </c>
      <c r="B2323" s="9">
        <v>4</v>
      </c>
      <c r="C2323" s="257" t="s">
        <v>10596</v>
      </c>
      <c r="D2323" s="9">
        <v>5610639205.4201288</v>
      </c>
      <c r="E2323" s="9">
        <v>1728561.5107574463</v>
      </c>
      <c r="F2323" s="257" t="s">
        <v>15094</v>
      </c>
      <c r="G2323" s="9"/>
      <c r="H2323" s="257" t="s">
        <v>20435</v>
      </c>
      <c r="I2323" s="9">
        <v>2</v>
      </c>
    </row>
    <row r="2324" spans="1:9">
      <c r="A2324" s="257" t="s">
        <v>3422</v>
      </c>
      <c r="B2324" s="9">
        <v>4</v>
      </c>
      <c r="C2324" s="257" t="s">
        <v>10597</v>
      </c>
      <c r="D2324" s="9">
        <v>1</v>
      </c>
      <c r="E2324" s="9">
        <v>1728561.5107574463</v>
      </c>
      <c r="F2324" s="257" t="s">
        <v>15094</v>
      </c>
      <c r="G2324" s="9"/>
      <c r="H2324" s="257" t="s">
        <v>20436</v>
      </c>
      <c r="I2324" s="9">
        <v>2</v>
      </c>
    </row>
    <row r="2325" spans="1:9">
      <c r="A2325" s="257" t="s">
        <v>3423</v>
      </c>
      <c r="B2325" s="9">
        <v>4</v>
      </c>
      <c r="C2325" s="257" t="s">
        <v>10598</v>
      </c>
      <c r="D2325" s="9">
        <v>3245.8429569923592</v>
      </c>
      <c r="E2325" s="9">
        <v>1728561.5107574463</v>
      </c>
      <c r="F2325" s="257" t="s">
        <v>15094</v>
      </c>
      <c r="G2325" s="9"/>
      <c r="H2325" s="257" t="s">
        <v>20437</v>
      </c>
      <c r="I2325" s="9">
        <v>2</v>
      </c>
    </row>
    <row r="2326" spans="1:9">
      <c r="A2326" s="257" t="s">
        <v>3424</v>
      </c>
      <c r="B2326" s="9">
        <v>4</v>
      </c>
      <c r="C2326" s="257" t="s">
        <v>10599</v>
      </c>
      <c r="D2326" s="9">
        <v>1728561.5107574463</v>
      </c>
      <c r="E2326" s="9">
        <v>1728561.5107574463</v>
      </c>
      <c r="F2326" s="257" t="s">
        <v>15095</v>
      </c>
      <c r="G2326" s="9"/>
      <c r="H2326" s="257" t="s">
        <v>20438</v>
      </c>
      <c r="I2326" s="9">
        <v>2</v>
      </c>
    </row>
    <row r="2327" spans="1:9">
      <c r="A2327" s="257" t="s">
        <v>3425</v>
      </c>
      <c r="B2327" s="9">
        <v>4</v>
      </c>
      <c r="C2327" s="257" t="s">
        <v>10600</v>
      </c>
      <c r="D2327" s="9">
        <v>1384526490.3834622</v>
      </c>
      <c r="E2327" s="9">
        <v>1728561.5107574463</v>
      </c>
      <c r="F2327" s="257" t="s">
        <v>15095</v>
      </c>
      <c r="G2327" s="9"/>
      <c r="H2327" s="257" t="s">
        <v>20439</v>
      </c>
      <c r="I2327" s="9">
        <v>2</v>
      </c>
    </row>
    <row r="2328" spans="1:9">
      <c r="A2328" s="257" t="s">
        <v>3426</v>
      </c>
      <c r="B2328" s="9">
        <v>4</v>
      </c>
      <c r="C2328" s="257" t="s">
        <v>10601</v>
      </c>
      <c r="D2328" s="9">
        <v>1</v>
      </c>
      <c r="E2328" s="9">
        <v>1728561.5107574463</v>
      </c>
      <c r="F2328" s="257" t="s">
        <v>15095</v>
      </c>
      <c r="G2328" s="9"/>
      <c r="H2328" s="257" t="s">
        <v>20440</v>
      </c>
      <c r="I2328" s="9">
        <v>2</v>
      </c>
    </row>
    <row r="2329" spans="1:9">
      <c r="A2329" s="257" t="s">
        <v>3427</v>
      </c>
      <c r="B2329" s="9">
        <v>4</v>
      </c>
      <c r="C2329" s="257" t="s">
        <v>10602</v>
      </c>
      <c r="D2329" s="9">
        <v>800.97033386840258</v>
      </c>
      <c r="E2329" s="9">
        <v>1728561.5107574463</v>
      </c>
      <c r="F2329" s="257" t="s">
        <v>15095</v>
      </c>
      <c r="G2329" s="9"/>
      <c r="H2329" s="257" t="s">
        <v>20441</v>
      </c>
      <c r="I2329" s="9">
        <v>2</v>
      </c>
    </row>
    <row r="2330" spans="1:9">
      <c r="A2330" s="257" t="s">
        <v>3428</v>
      </c>
      <c r="B2330" s="9">
        <v>4</v>
      </c>
      <c r="C2330" s="257" t="s">
        <v>10603</v>
      </c>
      <c r="D2330" s="9">
        <v>663158.64059448242</v>
      </c>
      <c r="E2330" s="9">
        <v>1728561.5107574463</v>
      </c>
      <c r="F2330" s="257" t="s">
        <v>15096</v>
      </c>
      <c r="G2330" s="9"/>
      <c r="H2330" s="257" t="s">
        <v>20442</v>
      </c>
      <c r="I2330" s="9">
        <v>2</v>
      </c>
    </row>
    <row r="2331" spans="1:9">
      <c r="A2331" s="257" t="s">
        <v>3429</v>
      </c>
      <c r="B2331" s="9">
        <v>4</v>
      </c>
      <c r="C2331" s="257" t="s">
        <v>10604</v>
      </c>
      <c r="D2331" s="9">
        <v>1241488552.7958894</v>
      </c>
      <c r="E2331" s="9">
        <v>1728561.5107574463</v>
      </c>
      <c r="F2331" s="257" t="s">
        <v>15096</v>
      </c>
      <c r="G2331" s="9"/>
      <c r="H2331" s="257" t="s">
        <v>20443</v>
      </c>
      <c r="I2331" s="9">
        <v>2</v>
      </c>
    </row>
    <row r="2332" spans="1:9">
      <c r="A2332" s="257" t="s">
        <v>3430</v>
      </c>
      <c r="B2332" s="9">
        <v>4</v>
      </c>
      <c r="C2332" s="257" t="s">
        <v>10605</v>
      </c>
      <c r="D2332" s="9">
        <v>0.38364769576749969</v>
      </c>
      <c r="E2332" s="9">
        <v>1728561.5107574463</v>
      </c>
      <c r="F2332" s="257" t="s">
        <v>15096</v>
      </c>
      <c r="G2332" s="9"/>
      <c r="H2332" s="257" t="s">
        <v>20444</v>
      </c>
      <c r="I2332" s="9">
        <v>2</v>
      </c>
    </row>
    <row r="2333" spans="1:9">
      <c r="A2333" s="257" t="s">
        <v>3431</v>
      </c>
      <c r="B2333" s="9">
        <v>4</v>
      </c>
      <c r="C2333" s="257" t="s">
        <v>10606</v>
      </c>
      <c r="D2333" s="9">
        <v>718.22063899356169</v>
      </c>
      <c r="E2333" s="9">
        <v>1728561.5107574463</v>
      </c>
      <c r="F2333" s="257" t="s">
        <v>15096</v>
      </c>
      <c r="G2333" s="9"/>
      <c r="H2333" s="257" t="s">
        <v>20445</v>
      </c>
      <c r="I2333" s="9">
        <v>2</v>
      </c>
    </row>
    <row r="2334" spans="1:9">
      <c r="A2334" s="257" t="s">
        <v>3432</v>
      </c>
      <c r="B2334" s="9">
        <v>4</v>
      </c>
      <c r="C2334" s="257" t="s">
        <v>10607</v>
      </c>
      <c r="D2334" s="9">
        <v>1728561.5107574463</v>
      </c>
      <c r="E2334" s="9">
        <v>1728561.5107574463</v>
      </c>
      <c r="F2334" s="257" t="s">
        <v>15097</v>
      </c>
      <c r="G2334" s="9"/>
      <c r="H2334" s="257" t="s">
        <v>20446</v>
      </c>
      <c r="I2334" s="9">
        <v>2</v>
      </c>
    </row>
    <row r="2335" spans="1:9">
      <c r="A2335" s="257" t="s">
        <v>3433</v>
      </c>
      <c r="B2335" s="9">
        <v>4</v>
      </c>
      <c r="C2335" s="257" t="s">
        <v>10608</v>
      </c>
      <c r="D2335" s="9">
        <v>6667583738.2796812</v>
      </c>
      <c r="E2335" s="9">
        <v>1728561.5107574463</v>
      </c>
      <c r="F2335" s="257" t="s">
        <v>15097</v>
      </c>
      <c r="G2335" s="9"/>
      <c r="H2335" s="257" t="s">
        <v>20447</v>
      </c>
      <c r="I2335" s="9">
        <v>2</v>
      </c>
    </row>
    <row r="2336" spans="1:9">
      <c r="A2336" s="257" t="s">
        <v>3434</v>
      </c>
      <c r="B2336" s="9">
        <v>4</v>
      </c>
      <c r="C2336" s="257" t="s">
        <v>10609</v>
      </c>
      <c r="D2336" s="9">
        <v>1</v>
      </c>
      <c r="E2336" s="9">
        <v>1728561.5107574463</v>
      </c>
      <c r="F2336" s="257" t="s">
        <v>15097</v>
      </c>
      <c r="G2336" s="9"/>
      <c r="H2336" s="257" t="s">
        <v>20448</v>
      </c>
      <c r="I2336" s="9">
        <v>2</v>
      </c>
    </row>
    <row r="2337" spans="1:9">
      <c r="A2337" s="257" t="s">
        <v>3435</v>
      </c>
      <c r="B2337" s="9">
        <v>4</v>
      </c>
      <c r="C2337" s="257" t="s">
        <v>10610</v>
      </c>
      <c r="D2337" s="9">
        <v>3857.3019801638311</v>
      </c>
      <c r="E2337" s="9">
        <v>1728561.5107574463</v>
      </c>
      <c r="F2337" s="257" t="s">
        <v>15097</v>
      </c>
      <c r="G2337" s="9"/>
      <c r="H2337" s="257" t="s">
        <v>20449</v>
      </c>
      <c r="I2337" s="9">
        <v>2</v>
      </c>
    </row>
    <row r="2338" spans="1:9">
      <c r="A2338" s="257" t="s">
        <v>3436</v>
      </c>
      <c r="B2338" s="9">
        <v>4</v>
      </c>
      <c r="C2338" s="257" t="s">
        <v>10611</v>
      </c>
      <c r="D2338" s="9">
        <v>1728561.5107574463</v>
      </c>
      <c r="E2338" s="9">
        <v>1728561.5107574463</v>
      </c>
      <c r="F2338" s="257" t="s">
        <v>15098</v>
      </c>
      <c r="G2338" s="9"/>
      <c r="H2338" s="257" t="s">
        <v>20450</v>
      </c>
      <c r="I2338" s="9">
        <v>2</v>
      </c>
    </row>
    <row r="2339" spans="1:9">
      <c r="A2339" s="257" t="s">
        <v>3437</v>
      </c>
      <c r="B2339" s="9">
        <v>4</v>
      </c>
      <c r="C2339" s="257" t="s">
        <v>10612</v>
      </c>
      <c r="D2339" s="9">
        <v>6852127758.2160187</v>
      </c>
      <c r="E2339" s="9">
        <v>1728561.5107574463</v>
      </c>
      <c r="F2339" s="257" t="s">
        <v>15098</v>
      </c>
      <c r="G2339" s="9"/>
      <c r="H2339" s="257" t="s">
        <v>20451</v>
      </c>
      <c r="I2339" s="9">
        <v>2</v>
      </c>
    </row>
    <row r="2340" spans="1:9">
      <c r="A2340" s="257" t="s">
        <v>3438</v>
      </c>
      <c r="B2340" s="9">
        <v>4</v>
      </c>
      <c r="C2340" s="257" t="s">
        <v>10613</v>
      </c>
      <c r="D2340" s="9">
        <v>1</v>
      </c>
      <c r="E2340" s="9">
        <v>1728561.5107574463</v>
      </c>
      <c r="F2340" s="257" t="s">
        <v>15098</v>
      </c>
      <c r="G2340" s="9"/>
      <c r="H2340" s="257" t="s">
        <v>20452</v>
      </c>
      <c r="I2340" s="9">
        <v>2</v>
      </c>
    </row>
    <row r="2341" spans="1:9">
      <c r="A2341" s="257" t="s">
        <v>3439</v>
      </c>
      <c r="B2341" s="9">
        <v>4</v>
      </c>
      <c r="C2341" s="257" t="s">
        <v>10614</v>
      </c>
      <c r="D2341" s="9">
        <v>3964.063595985921</v>
      </c>
      <c r="E2341" s="9">
        <v>1728561.5107574463</v>
      </c>
      <c r="F2341" s="257" t="s">
        <v>15098</v>
      </c>
      <c r="G2341" s="9"/>
      <c r="H2341" s="257" t="s">
        <v>20453</v>
      </c>
      <c r="I2341" s="9">
        <v>2</v>
      </c>
    </row>
    <row r="2342" spans="1:9">
      <c r="A2342" s="257" t="s">
        <v>3440</v>
      </c>
      <c r="B2342" s="9">
        <v>4</v>
      </c>
      <c r="C2342" s="257" t="s">
        <v>10615</v>
      </c>
      <c r="D2342" s="9">
        <v>829027.22212219238</v>
      </c>
      <c r="E2342" s="9">
        <v>1728561.5107574463</v>
      </c>
      <c r="F2342" s="257" t="s">
        <v>15099</v>
      </c>
      <c r="G2342" s="9"/>
      <c r="H2342" s="257" t="s">
        <v>20454</v>
      </c>
      <c r="I2342" s="9">
        <v>2</v>
      </c>
    </row>
    <row r="2343" spans="1:9">
      <c r="A2343" s="257" t="s">
        <v>3441</v>
      </c>
      <c r="B2343" s="9">
        <v>4</v>
      </c>
      <c r="C2343" s="257" t="s">
        <v>10616</v>
      </c>
      <c r="D2343" s="9">
        <v>3374777789.3431945</v>
      </c>
      <c r="E2343" s="9">
        <v>1728561.5107574463</v>
      </c>
      <c r="F2343" s="257" t="s">
        <v>15099</v>
      </c>
      <c r="G2343" s="9"/>
      <c r="H2343" s="257" t="s">
        <v>20455</v>
      </c>
      <c r="I2343" s="9">
        <v>2</v>
      </c>
    </row>
    <row r="2344" spans="1:9">
      <c r="A2344" s="257" t="s">
        <v>3442</v>
      </c>
      <c r="B2344" s="9">
        <v>4</v>
      </c>
      <c r="C2344" s="257" t="s">
        <v>10617</v>
      </c>
      <c r="D2344" s="9">
        <v>0.4796052769675041</v>
      </c>
      <c r="E2344" s="9">
        <v>1728561.5107574463</v>
      </c>
      <c r="F2344" s="257" t="s">
        <v>15099</v>
      </c>
      <c r="G2344" s="9"/>
      <c r="H2344" s="257" t="s">
        <v>20456</v>
      </c>
      <c r="I2344" s="9">
        <v>2</v>
      </c>
    </row>
    <row r="2345" spans="1:9">
      <c r="A2345" s="257" t="s">
        <v>3443</v>
      </c>
      <c r="B2345" s="9">
        <v>4</v>
      </c>
      <c r="C2345" s="257" t="s">
        <v>10618</v>
      </c>
      <c r="D2345" s="9">
        <v>1952.3619890531897</v>
      </c>
      <c r="E2345" s="9">
        <v>1728561.5107574463</v>
      </c>
      <c r="F2345" s="257" t="s">
        <v>15099</v>
      </c>
      <c r="G2345" s="9"/>
      <c r="H2345" s="257" t="s">
        <v>20457</v>
      </c>
      <c r="I2345" s="9">
        <v>2</v>
      </c>
    </row>
    <row r="2346" spans="1:9">
      <c r="A2346" s="257" t="s">
        <v>3444</v>
      </c>
      <c r="B2346" s="9">
        <v>4</v>
      </c>
      <c r="C2346" s="257" t="s">
        <v>10619</v>
      </c>
      <c r="D2346" s="9">
        <v>829027.22212219238</v>
      </c>
      <c r="E2346" s="9">
        <v>1728561.5107574463</v>
      </c>
      <c r="F2346" s="257" t="s">
        <v>15100</v>
      </c>
      <c r="G2346" s="9"/>
      <c r="H2346" s="257" t="s">
        <v>20458</v>
      </c>
      <c r="I2346" s="9">
        <v>2</v>
      </c>
    </row>
    <row r="2347" spans="1:9">
      <c r="A2347" s="257" t="s">
        <v>3445</v>
      </c>
      <c r="B2347" s="9">
        <v>4</v>
      </c>
      <c r="C2347" s="257" t="s">
        <v>10620</v>
      </c>
      <c r="D2347" s="9">
        <v>3559321809.279531</v>
      </c>
      <c r="E2347" s="9">
        <v>1728561.5107574463</v>
      </c>
      <c r="F2347" s="257" t="s">
        <v>15100</v>
      </c>
      <c r="G2347" s="9"/>
      <c r="H2347" s="257" t="s">
        <v>20459</v>
      </c>
      <c r="I2347" s="9">
        <v>2</v>
      </c>
    </row>
    <row r="2348" spans="1:9">
      <c r="A2348" s="257" t="s">
        <v>3446</v>
      </c>
      <c r="B2348" s="9">
        <v>4</v>
      </c>
      <c r="C2348" s="257" t="s">
        <v>10621</v>
      </c>
      <c r="D2348" s="9">
        <v>0.4796052769675041</v>
      </c>
      <c r="E2348" s="9">
        <v>1728561.5107574463</v>
      </c>
      <c r="F2348" s="257" t="s">
        <v>15100</v>
      </c>
      <c r="G2348" s="9"/>
      <c r="H2348" s="257" t="s">
        <v>20460</v>
      </c>
      <c r="I2348" s="9">
        <v>2</v>
      </c>
    </row>
    <row r="2349" spans="1:9">
      <c r="A2349" s="257" t="s">
        <v>3447</v>
      </c>
      <c r="B2349" s="9">
        <v>4</v>
      </c>
      <c r="C2349" s="257" t="s">
        <v>10622</v>
      </c>
      <c r="D2349" s="9">
        <v>2059.1236048752789</v>
      </c>
      <c r="E2349" s="9">
        <v>1728561.5107574463</v>
      </c>
      <c r="F2349" s="257" t="s">
        <v>15100</v>
      </c>
      <c r="G2349" s="9"/>
      <c r="H2349" s="257" t="s">
        <v>20461</v>
      </c>
      <c r="I2349" s="9">
        <v>2</v>
      </c>
    </row>
    <row r="2350" spans="1:9">
      <c r="A2350" s="257" t="s">
        <v>3448</v>
      </c>
      <c r="B2350" s="9">
        <v>4</v>
      </c>
      <c r="C2350" s="257" t="s">
        <v>10623</v>
      </c>
      <c r="D2350" s="9">
        <v>1728561.5107574463</v>
      </c>
      <c r="E2350" s="9">
        <v>1728561.5107574463</v>
      </c>
      <c r="F2350" s="257" t="s">
        <v>15101</v>
      </c>
      <c r="G2350" s="9"/>
      <c r="H2350" s="257" t="s">
        <v>20462</v>
      </c>
      <c r="I2350" s="9">
        <v>2</v>
      </c>
    </row>
    <row r="2351" spans="1:9">
      <c r="A2351" s="257" t="s">
        <v>3449</v>
      </c>
      <c r="B2351" s="9">
        <v>4</v>
      </c>
      <c r="C2351" s="257" t="s">
        <v>10624</v>
      </c>
      <c r="D2351" s="9">
        <v>2051317396.1405978</v>
      </c>
      <c r="E2351" s="9">
        <v>1728561.5107574463</v>
      </c>
      <c r="F2351" s="257" t="s">
        <v>15101</v>
      </c>
      <c r="G2351" s="9"/>
      <c r="H2351" s="257" t="s">
        <v>20463</v>
      </c>
      <c r="I2351" s="9">
        <v>2</v>
      </c>
    </row>
    <row r="2352" spans="1:9">
      <c r="A2352" s="257" t="s">
        <v>3450</v>
      </c>
      <c r="B2352" s="9">
        <v>4</v>
      </c>
      <c r="C2352" s="257" t="s">
        <v>10625</v>
      </c>
      <c r="D2352" s="9">
        <v>1</v>
      </c>
      <c r="E2352" s="9">
        <v>1728561.5107574463</v>
      </c>
      <c r="F2352" s="257" t="s">
        <v>15101</v>
      </c>
      <c r="G2352" s="9"/>
      <c r="H2352" s="257" t="s">
        <v>20464</v>
      </c>
      <c r="I2352" s="9">
        <v>2</v>
      </c>
    </row>
    <row r="2353" spans="1:9">
      <c r="A2353" s="257" t="s">
        <v>3451</v>
      </c>
      <c r="B2353" s="9">
        <v>4</v>
      </c>
      <c r="C2353" s="257" t="s">
        <v>10626</v>
      </c>
      <c r="D2353" s="9">
        <v>1186.71935211708</v>
      </c>
      <c r="E2353" s="9">
        <v>1728561.5107574463</v>
      </c>
      <c r="F2353" s="257" t="s">
        <v>15101</v>
      </c>
      <c r="G2353" s="9"/>
      <c r="H2353" s="257" t="s">
        <v>20465</v>
      </c>
      <c r="I2353" s="9">
        <v>2</v>
      </c>
    </row>
    <row r="2354" spans="1:9">
      <c r="A2354" s="257" t="s">
        <v>3452</v>
      </c>
      <c r="B2354" s="9">
        <v>4</v>
      </c>
      <c r="C2354" s="257" t="s">
        <v>10627</v>
      </c>
      <c r="D2354" s="9">
        <v>1728561.5107574463</v>
      </c>
      <c r="E2354" s="9">
        <v>1728561.5107574463</v>
      </c>
      <c r="F2354" s="257" t="s">
        <v>15102</v>
      </c>
      <c r="G2354" s="9"/>
      <c r="H2354" s="257" t="s">
        <v>20466</v>
      </c>
      <c r="I2354" s="9">
        <v>2</v>
      </c>
    </row>
    <row r="2355" spans="1:9">
      <c r="A2355" s="257" t="s">
        <v>3453</v>
      </c>
      <c r="B2355" s="9">
        <v>4</v>
      </c>
      <c r="C2355" s="257" t="s">
        <v>10628</v>
      </c>
      <c r="D2355" s="9">
        <v>3201090501.0409331</v>
      </c>
      <c r="E2355" s="9">
        <v>1728561.5107574463</v>
      </c>
      <c r="F2355" s="257" t="s">
        <v>15102</v>
      </c>
      <c r="G2355" s="9"/>
      <c r="H2355" s="257" t="s">
        <v>20467</v>
      </c>
      <c r="I2355" s="9">
        <v>2</v>
      </c>
    </row>
    <row r="2356" spans="1:9">
      <c r="A2356" s="257" t="s">
        <v>3454</v>
      </c>
      <c r="B2356" s="9">
        <v>4</v>
      </c>
      <c r="C2356" s="257" t="s">
        <v>10629</v>
      </c>
      <c r="D2356" s="9">
        <v>1</v>
      </c>
      <c r="E2356" s="9">
        <v>1728561.5107574463</v>
      </c>
      <c r="F2356" s="257" t="s">
        <v>15102</v>
      </c>
      <c r="G2356" s="9"/>
      <c r="H2356" s="257" t="s">
        <v>20468</v>
      </c>
      <c r="I2356" s="9">
        <v>2</v>
      </c>
    </row>
    <row r="2357" spans="1:9">
      <c r="A2357" s="257" t="s">
        <v>3455</v>
      </c>
      <c r="B2357" s="9">
        <v>4</v>
      </c>
      <c r="C2357" s="257" t="s">
        <v>10630</v>
      </c>
      <c r="D2357" s="9">
        <v>1851.8811631055191</v>
      </c>
      <c r="E2357" s="9">
        <v>1728561.5107574463</v>
      </c>
      <c r="F2357" s="257" t="s">
        <v>15102</v>
      </c>
      <c r="G2357" s="9"/>
      <c r="H2357" s="257" t="s">
        <v>20469</v>
      </c>
      <c r="I2357" s="9">
        <v>2</v>
      </c>
    </row>
    <row r="2358" spans="1:9">
      <c r="A2358" s="257" t="s">
        <v>3456</v>
      </c>
      <c r="B2358" s="9">
        <v>4</v>
      </c>
      <c r="C2358" s="257" t="s">
        <v>10631</v>
      </c>
      <c r="D2358" s="9">
        <v>829027.22212219238</v>
      </c>
      <c r="E2358" s="9">
        <v>1728561.5107574463</v>
      </c>
      <c r="F2358" s="257" t="s">
        <v>15103</v>
      </c>
      <c r="G2358" s="9"/>
      <c r="H2358" s="257" t="s">
        <v>20470</v>
      </c>
      <c r="I2358" s="9">
        <v>2</v>
      </c>
    </row>
    <row r="2359" spans="1:9">
      <c r="A2359" s="257" t="s">
        <v>3457</v>
      </c>
      <c r="B2359" s="9">
        <v>4</v>
      </c>
      <c r="C2359" s="257" t="s">
        <v>10632</v>
      </c>
      <c r="D2359" s="9">
        <v>4221264567.0922284</v>
      </c>
      <c r="E2359" s="9">
        <v>1728561.5107574463</v>
      </c>
      <c r="F2359" s="257" t="s">
        <v>15103</v>
      </c>
      <c r="G2359" s="9"/>
      <c r="H2359" s="257" t="s">
        <v>20471</v>
      </c>
      <c r="I2359" s="9">
        <v>2</v>
      </c>
    </row>
    <row r="2360" spans="1:9">
      <c r="A2360" s="257" t="s">
        <v>3458</v>
      </c>
      <c r="B2360" s="9">
        <v>4</v>
      </c>
      <c r="C2360" s="257" t="s">
        <v>10633</v>
      </c>
      <c r="D2360" s="9">
        <v>0.4796052769675041</v>
      </c>
      <c r="E2360" s="9">
        <v>1728561.5107574463</v>
      </c>
      <c r="F2360" s="257" t="s">
        <v>15103</v>
      </c>
      <c r="G2360" s="9"/>
      <c r="H2360" s="257" t="s">
        <v>20472</v>
      </c>
      <c r="I2360" s="9">
        <v>2</v>
      </c>
    </row>
    <row r="2361" spans="1:9">
      <c r="A2361" s="257" t="s">
        <v>3459</v>
      </c>
      <c r="B2361" s="9">
        <v>4</v>
      </c>
      <c r="C2361" s="257" t="s">
        <v>10634</v>
      </c>
      <c r="D2361" s="9">
        <v>2442.0678933447343</v>
      </c>
      <c r="E2361" s="9">
        <v>1728561.5107574463</v>
      </c>
      <c r="F2361" s="257" t="s">
        <v>15103</v>
      </c>
      <c r="G2361" s="9"/>
      <c r="H2361" s="257" t="s">
        <v>20473</v>
      </c>
      <c r="I2361" s="9">
        <v>2</v>
      </c>
    </row>
    <row r="2362" spans="1:9">
      <c r="A2362" s="257" t="s">
        <v>3460</v>
      </c>
      <c r="B2362" s="9">
        <v>4</v>
      </c>
      <c r="C2362" s="257" t="s">
        <v>10635</v>
      </c>
      <c r="D2362" s="9">
        <v>0</v>
      </c>
      <c r="E2362" s="9">
        <v>1728561.5107574463</v>
      </c>
      <c r="F2362" s="257" t="s">
        <v>15104</v>
      </c>
      <c r="G2362" s="9"/>
      <c r="H2362" s="257" t="s">
        <v>20474</v>
      </c>
      <c r="I2362" s="9">
        <v>2</v>
      </c>
    </row>
    <row r="2363" spans="1:9">
      <c r="A2363" s="257" t="s">
        <v>3461</v>
      </c>
      <c r="B2363" s="9">
        <v>4</v>
      </c>
      <c r="C2363" s="257" t="s">
        <v>10636</v>
      </c>
      <c r="D2363" s="9">
        <v>-570227309.91714287</v>
      </c>
      <c r="E2363" s="9">
        <v>1728561.5107574463</v>
      </c>
      <c r="F2363" s="257" t="s">
        <v>15104</v>
      </c>
      <c r="G2363" s="9"/>
      <c r="H2363" s="257" t="s">
        <v>20475</v>
      </c>
      <c r="I2363" s="9">
        <v>2</v>
      </c>
    </row>
    <row r="2364" spans="1:9">
      <c r="A2364" s="257" t="s">
        <v>3462</v>
      </c>
      <c r="B2364" s="9">
        <v>4</v>
      </c>
      <c r="C2364" s="257" t="s">
        <v>10637</v>
      </c>
      <c r="D2364" s="9">
        <v>0</v>
      </c>
      <c r="E2364" s="9">
        <v>1728561.5107574463</v>
      </c>
      <c r="F2364" s="257" t="s">
        <v>15104</v>
      </c>
      <c r="G2364" s="9"/>
      <c r="H2364" s="257" t="s">
        <v>20476</v>
      </c>
      <c r="I2364" s="9">
        <v>2</v>
      </c>
    </row>
    <row r="2365" spans="1:9">
      <c r="A2365" s="257" t="s">
        <v>3463</v>
      </c>
      <c r="B2365" s="9">
        <v>4</v>
      </c>
      <c r="C2365" s="257" t="s">
        <v>10638</v>
      </c>
      <c r="D2365" s="9">
        <v>-329.88546046433277</v>
      </c>
      <c r="E2365" s="9">
        <v>1728561.5107574463</v>
      </c>
      <c r="F2365" s="257" t="s">
        <v>15104</v>
      </c>
      <c r="G2365" s="9"/>
      <c r="H2365" s="257" t="s">
        <v>20477</v>
      </c>
      <c r="I2365" s="9">
        <v>2</v>
      </c>
    </row>
    <row r="2366" spans="1:9">
      <c r="A2366" s="257" t="s">
        <v>3464</v>
      </c>
      <c r="B2366" s="9">
        <v>4</v>
      </c>
      <c r="C2366" s="257" t="s">
        <v>10639</v>
      </c>
      <c r="D2366" s="9">
        <v>829027.22212219238</v>
      </c>
      <c r="E2366" s="9">
        <v>1728561.5107574463</v>
      </c>
      <c r="F2366" s="257" t="s">
        <v>15105</v>
      </c>
      <c r="G2366" s="9"/>
      <c r="H2366" s="257" t="s">
        <v>20478</v>
      </c>
      <c r="I2366" s="9">
        <v>2</v>
      </c>
    </row>
    <row r="2367" spans="1:9">
      <c r="A2367" s="257" t="s">
        <v>3465</v>
      </c>
      <c r="B2367" s="9">
        <v>4</v>
      </c>
      <c r="C2367" s="257" t="s">
        <v>10640</v>
      </c>
      <c r="D2367" s="9">
        <v>3651037257.1750855</v>
      </c>
      <c r="E2367" s="9">
        <v>1728561.5107574463</v>
      </c>
      <c r="F2367" s="257" t="s">
        <v>15105</v>
      </c>
      <c r="G2367" s="9"/>
      <c r="H2367" s="257" t="s">
        <v>20479</v>
      </c>
      <c r="I2367" s="9">
        <v>2</v>
      </c>
    </row>
    <row r="2368" spans="1:9">
      <c r="A2368" s="257" t="s">
        <v>3466</v>
      </c>
      <c r="B2368" s="9">
        <v>4</v>
      </c>
      <c r="C2368" s="257" t="s">
        <v>10641</v>
      </c>
      <c r="D2368" s="9">
        <v>0.4796052769675041</v>
      </c>
      <c r="E2368" s="9">
        <v>1728561.5107574463</v>
      </c>
      <c r="F2368" s="257" t="s">
        <v>15105</v>
      </c>
      <c r="G2368" s="9"/>
      <c r="H2368" s="257" t="s">
        <v>20480</v>
      </c>
      <c r="I2368" s="9">
        <v>2</v>
      </c>
    </row>
    <row r="2369" spans="1:9">
      <c r="A2369" s="257" t="s">
        <v>3467</v>
      </c>
      <c r="B2369" s="9">
        <v>4</v>
      </c>
      <c r="C2369" s="257" t="s">
        <v>10642</v>
      </c>
      <c r="D2369" s="9">
        <v>2112.1824328804018</v>
      </c>
      <c r="E2369" s="9">
        <v>1728561.5107574463</v>
      </c>
      <c r="F2369" s="257" t="s">
        <v>15105</v>
      </c>
      <c r="G2369" s="9"/>
      <c r="H2369" s="257" t="s">
        <v>20481</v>
      </c>
      <c r="I2369" s="9">
        <v>2</v>
      </c>
    </row>
    <row r="2370" spans="1:9">
      <c r="A2370" s="257" t="s">
        <v>3468</v>
      </c>
      <c r="B2370" s="9">
        <v>4</v>
      </c>
      <c r="C2370" s="257" t="s">
        <v>10643</v>
      </c>
      <c r="D2370" s="9">
        <v>127410.67199707031</v>
      </c>
      <c r="E2370" s="9">
        <v>1728561.5107574463</v>
      </c>
      <c r="F2370" s="257" t="s">
        <v>15106</v>
      </c>
      <c r="G2370" s="9"/>
      <c r="H2370" s="257" t="s">
        <v>20482</v>
      </c>
      <c r="I2370" s="9">
        <v>2</v>
      </c>
    </row>
    <row r="2371" spans="1:9">
      <c r="A2371" s="257" t="s">
        <v>3469</v>
      </c>
      <c r="B2371" s="9">
        <v>4</v>
      </c>
      <c r="C2371" s="257" t="s">
        <v>10644</v>
      </c>
      <c r="D2371" s="9">
        <v>91715447.895554394</v>
      </c>
      <c r="E2371" s="9">
        <v>1728561.5107574463</v>
      </c>
      <c r="F2371" s="257" t="s">
        <v>15106</v>
      </c>
      <c r="G2371" s="9"/>
      <c r="H2371" s="257" t="s">
        <v>20483</v>
      </c>
      <c r="I2371" s="9">
        <v>2</v>
      </c>
    </row>
    <row r="2372" spans="1:9">
      <c r="A2372" s="257" t="s">
        <v>3470</v>
      </c>
      <c r="B2372" s="9">
        <v>4</v>
      </c>
      <c r="C2372" s="257" t="s">
        <v>10645</v>
      </c>
      <c r="D2372" s="9">
        <v>7.3709076133044088E-2</v>
      </c>
      <c r="E2372" s="9">
        <v>1728561.5107574463</v>
      </c>
      <c r="F2372" s="257" t="s">
        <v>15106</v>
      </c>
      <c r="G2372" s="9"/>
      <c r="H2372" s="257" t="s">
        <v>20484</v>
      </c>
      <c r="I2372" s="9">
        <v>2</v>
      </c>
    </row>
    <row r="2373" spans="1:9">
      <c r="A2373" s="257" t="s">
        <v>3471</v>
      </c>
      <c r="B2373" s="9">
        <v>4</v>
      </c>
      <c r="C2373" s="257" t="s">
        <v>10646</v>
      </c>
      <c r="D2373" s="9">
        <v>53.058828005122699</v>
      </c>
      <c r="E2373" s="9">
        <v>1728561.5107574463</v>
      </c>
      <c r="F2373" s="257" t="s">
        <v>15106</v>
      </c>
      <c r="G2373" s="9"/>
      <c r="H2373" s="257" t="s">
        <v>20485</v>
      </c>
      <c r="I2373" s="9">
        <v>2</v>
      </c>
    </row>
    <row r="2374" spans="1:9">
      <c r="A2374" s="257" t="s">
        <v>3472</v>
      </c>
      <c r="B2374" s="9">
        <v>4</v>
      </c>
      <c r="C2374" s="257" t="s">
        <v>10647</v>
      </c>
      <c r="D2374" s="9">
        <v>620191.47164916992</v>
      </c>
      <c r="E2374" s="9">
        <v>1728561.5107574463</v>
      </c>
      <c r="F2374" s="257" t="s">
        <v>15107</v>
      </c>
      <c r="G2374" s="9"/>
      <c r="H2374" s="257" t="s">
        <v>20486</v>
      </c>
      <c r="I2374" s="9">
        <v>2</v>
      </c>
    </row>
    <row r="2375" spans="1:9">
      <c r="A2375" s="257" t="s">
        <v>3473</v>
      </c>
      <c r="B2375" s="9">
        <v>4</v>
      </c>
      <c r="C2375" s="257" t="s">
        <v>10648</v>
      </c>
      <c r="D2375" s="9">
        <v>1149773104.9003351</v>
      </c>
      <c r="E2375" s="9">
        <v>1728561.5107574463</v>
      </c>
      <c r="F2375" s="257" t="s">
        <v>15107</v>
      </c>
      <c r="G2375" s="9"/>
      <c r="H2375" s="257" t="s">
        <v>20487</v>
      </c>
      <c r="I2375" s="9">
        <v>2</v>
      </c>
    </row>
    <row r="2376" spans="1:9">
      <c r="A2376" s="257" t="s">
        <v>3474</v>
      </c>
      <c r="B2376" s="9">
        <v>4</v>
      </c>
      <c r="C2376" s="257" t="s">
        <v>10649</v>
      </c>
      <c r="D2376" s="9">
        <v>0.35879051326174988</v>
      </c>
      <c r="E2376" s="9">
        <v>1728561.5107574463</v>
      </c>
      <c r="F2376" s="257" t="s">
        <v>15107</v>
      </c>
      <c r="G2376" s="9"/>
      <c r="H2376" s="257" t="s">
        <v>20488</v>
      </c>
      <c r="I2376" s="9">
        <v>2</v>
      </c>
    </row>
    <row r="2377" spans="1:9">
      <c r="A2377" s="257" t="s">
        <v>3475</v>
      </c>
      <c r="B2377" s="9">
        <v>4</v>
      </c>
      <c r="C2377" s="257" t="s">
        <v>10650</v>
      </c>
      <c r="D2377" s="9">
        <v>665.16181098843902</v>
      </c>
      <c r="E2377" s="9">
        <v>1728561.5107574463</v>
      </c>
      <c r="F2377" s="257" t="s">
        <v>15107</v>
      </c>
      <c r="G2377" s="9"/>
      <c r="H2377" s="257" t="s">
        <v>20489</v>
      </c>
      <c r="I2377" s="9">
        <v>2</v>
      </c>
    </row>
    <row r="2378" spans="1:9">
      <c r="A2378" s="257" t="s">
        <v>3476</v>
      </c>
      <c r="B2378" s="9">
        <v>4</v>
      </c>
      <c r="C2378" s="257" t="s">
        <v>10651</v>
      </c>
      <c r="D2378" s="9">
        <v>0</v>
      </c>
      <c r="E2378" s="9">
        <v>1728561.5107574463</v>
      </c>
      <c r="F2378" s="257" t="s">
        <v>15108</v>
      </c>
      <c r="G2378" s="9"/>
      <c r="H2378" s="257" t="s">
        <v>20490</v>
      </c>
      <c r="I2378" s="9">
        <v>2</v>
      </c>
    </row>
    <row r="2379" spans="1:9">
      <c r="A2379" s="257" t="s">
        <v>3477</v>
      </c>
      <c r="B2379" s="9">
        <v>4</v>
      </c>
      <c r="C2379" s="257" t="s">
        <v>10652</v>
      </c>
      <c r="D2379" s="9">
        <v>0</v>
      </c>
      <c r="E2379" s="9">
        <v>1728561.5107574463</v>
      </c>
      <c r="F2379" s="257" t="s">
        <v>15108</v>
      </c>
      <c r="G2379" s="9"/>
      <c r="H2379" s="257" t="s">
        <v>20491</v>
      </c>
      <c r="I2379" s="9">
        <v>2</v>
      </c>
    </row>
    <row r="2380" spans="1:9">
      <c r="A2380" s="257" t="s">
        <v>3478</v>
      </c>
      <c r="B2380" s="9">
        <v>4</v>
      </c>
      <c r="C2380" s="257" t="s">
        <v>10653</v>
      </c>
      <c r="D2380" s="9">
        <v>0</v>
      </c>
      <c r="E2380" s="9">
        <v>1728561.5107574463</v>
      </c>
      <c r="F2380" s="257" t="s">
        <v>15108</v>
      </c>
      <c r="G2380" s="9"/>
      <c r="H2380" s="257" t="s">
        <v>20492</v>
      </c>
      <c r="I2380" s="9">
        <v>2</v>
      </c>
    </row>
    <row r="2381" spans="1:9">
      <c r="A2381" s="257" t="s">
        <v>3479</v>
      </c>
      <c r="B2381" s="9">
        <v>4</v>
      </c>
      <c r="C2381" s="257" t="s">
        <v>10654</v>
      </c>
      <c r="D2381" s="9">
        <v>0</v>
      </c>
      <c r="E2381" s="9">
        <v>1728561.5107574463</v>
      </c>
      <c r="F2381" s="257" t="s">
        <v>15108</v>
      </c>
      <c r="G2381" s="9"/>
      <c r="H2381" s="257" t="s">
        <v>20493</v>
      </c>
      <c r="I2381" s="9">
        <v>2</v>
      </c>
    </row>
    <row r="2382" spans="1:9">
      <c r="A2382" s="257" t="s">
        <v>3480</v>
      </c>
      <c r="B2382" s="9">
        <v>5</v>
      </c>
      <c r="C2382" s="257" t="s">
        <v>10655</v>
      </c>
      <c r="D2382" s="9">
        <v>860979.083984375</v>
      </c>
      <c r="E2382" s="9">
        <v>1724465.2324523926</v>
      </c>
      <c r="F2382" s="257" t="s">
        <v>15109</v>
      </c>
      <c r="G2382" s="9"/>
      <c r="H2382" s="257" t="s">
        <v>20494</v>
      </c>
      <c r="I2382" s="9">
        <v>2</v>
      </c>
    </row>
    <row r="2383" spans="1:9">
      <c r="A2383" s="257" t="s">
        <v>3481</v>
      </c>
      <c r="B2383" s="9">
        <v>5</v>
      </c>
      <c r="C2383" s="257" t="s">
        <v>10656</v>
      </c>
      <c r="D2383" s="9">
        <v>2637713088.4167142</v>
      </c>
      <c r="E2383" s="9">
        <v>1724465.2324523926</v>
      </c>
      <c r="F2383" s="257" t="s">
        <v>15109</v>
      </c>
      <c r="G2383" s="9"/>
      <c r="H2383" s="257" t="s">
        <v>20495</v>
      </c>
      <c r="I2383" s="9">
        <v>2</v>
      </c>
    </row>
    <row r="2384" spans="1:9">
      <c r="A2384" s="257" t="s">
        <v>3482</v>
      </c>
      <c r="B2384" s="9">
        <v>5</v>
      </c>
      <c r="C2384" s="257" t="s">
        <v>10657</v>
      </c>
      <c r="D2384" s="9">
        <v>0.49927308929270864</v>
      </c>
      <c r="E2384" s="9">
        <v>1724465.2324523926</v>
      </c>
      <c r="F2384" s="257" t="s">
        <v>15109</v>
      </c>
      <c r="G2384" s="9"/>
      <c r="H2384" s="257" t="s">
        <v>20496</v>
      </c>
      <c r="I2384" s="9">
        <v>2</v>
      </c>
    </row>
    <row r="2385" spans="1:9">
      <c r="A2385" s="257" t="s">
        <v>3483</v>
      </c>
      <c r="B2385" s="9">
        <v>5</v>
      </c>
      <c r="C2385" s="257" t="s">
        <v>10658</v>
      </c>
      <c r="D2385" s="9">
        <v>1529.5832231222057</v>
      </c>
      <c r="E2385" s="9">
        <v>1724465.2324523926</v>
      </c>
      <c r="F2385" s="257" t="s">
        <v>15109</v>
      </c>
      <c r="G2385" s="9"/>
      <c r="H2385" s="257" t="s">
        <v>20497</v>
      </c>
      <c r="I2385" s="9">
        <v>2</v>
      </c>
    </row>
    <row r="2386" spans="1:9">
      <c r="A2386" s="257" t="s">
        <v>3484</v>
      </c>
      <c r="B2386" s="9">
        <v>5</v>
      </c>
      <c r="C2386" s="257" t="s">
        <v>10659</v>
      </c>
      <c r="D2386" s="9">
        <v>0</v>
      </c>
      <c r="E2386" s="9">
        <v>1724465.2324523926</v>
      </c>
      <c r="F2386" s="257" t="s">
        <v>15110</v>
      </c>
      <c r="G2386" s="9"/>
      <c r="H2386" s="257" t="s">
        <v>20498</v>
      </c>
      <c r="I2386" s="9">
        <v>2</v>
      </c>
    </row>
    <row r="2387" spans="1:9">
      <c r="A2387" s="257" t="s">
        <v>3485</v>
      </c>
      <c r="B2387" s="9">
        <v>5</v>
      </c>
      <c r="C2387" s="257" t="s">
        <v>10660</v>
      </c>
      <c r="D2387" s="9">
        <v>0</v>
      </c>
      <c r="E2387" s="9">
        <v>1724465.2324523926</v>
      </c>
      <c r="F2387" s="257" t="s">
        <v>15110</v>
      </c>
      <c r="G2387" s="9"/>
      <c r="H2387" s="257" t="s">
        <v>20499</v>
      </c>
      <c r="I2387" s="9">
        <v>2</v>
      </c>
    </row>
    <row r="2388" spans="1:9">
      <c r="A2388" s="257" t="s">
        <v>3486</v>
      </c>
      <c r="B2388" s="9">
        <v>5</v>
      </c>
      <c r="C2388" s="257" t="s">
        <v>10661</v>
      </c>
      <c r="D2388" s="9">
        <v>0</v>
      </c>
      <c r="E2388" s="9">
        <v>1724465.2324523926</v>
      </c>
      <c r="F2388" s="257" t="s">
        <v>15110</v>
      </c>
      <c r="G2388" s="9"/>
      <c r="H2388" s="257" t="s">
        <v>20500</v>
      </c>
      <c r="I2388" s="9">
        <v>2</v>
      </c>
    </row>
    <row r="2389" spans="1:9">
      <c r="A2389" s="257" t="s">
        <v>3487</v>
      </c>
      <c r="B2389" s="9">
        <v>5</v>
      </c>
      <c r="C2389" s="257" t="s">
        <v>10662</v>
      </c>
      <c r="D2389" s="9">
        <v>0</v>
      </c>
      <c r="E2389" s="9">
        <v>1724465.2324523926</v>
      </c>
      <c r="F2389" s="257" t="s">
        <v>15110</v>
      </c>
      <c r="G2389" s="9"/>
      <c r="H2389" s="257" t="s">
        <v>20501</v>
      </c>
      <c r="I2389" s="9">
        <v>2</v>
      </c>
    </row>
    <row r="2390" spans="1:9">
      <c r="A2390" s="257" t="s">
        <v>3488</v>
      </c>
      <c r="B2390" s="9">
        <v>5</v>
      </c>
      <c r="C2390" s="257" t="s">
        <v>10663</v>
      </c>
      <c r="D2390" s="9">
        <v>940800.89094543457</v>
      </c>
      <c r="E2390" s="9">
        <v>1724465.2324523926</v>
      </c>
      <c r="F2390" s="257" t="s">
        <v>15111</v>
      </c>
      <c r="G2390" s="9"/>
      <c r="H2390" s="257" t="s">
        <v>20502</v>
      </c>
      <c r="I2390" s="9">
        <v>2</v>
      </c>
    </row>
    <row r="2391" spans="1:9">
      <c r="A2391" s="257" t="s">
        <v>3489</v>
      </c>
      <c r="B2391" s="9">
        <v>5</v>
      </c>
      <c r="C2391" s="257" t="s">
        <v>10664</v>
      </c>
      <c r="D2391" s="9">
        <v>234485000.3683303</v>
      </c>
      <c r="E2391" s="9">
        <v>1724465.2324523926</v>
      </c>
      <c r="F2391" s="257" t="s">
        <v>15111</v>
      </c>
      <c r="G2391" s="9"/>
      <c r="H2391" s="257" t="s">
        <v>20503</v>
      </c>
      <c r="I2391" s="9">
        <v>2</v>
      </c>
    </row>
    <row r="2392" spans="1:9">
      <c r="A2392" s="257" t="s">
        <v>3490</v>
      </c>
      <c r="B2392" s="9">
        <v>5</v>
      </c>
      <c r="C2392" s="257" t="s">
        <v>10665</v>
      </c>
      <c r="D2392" s="9">
        <v>0.5455609502822536</v>
      </c>
      <c r="E2392" s="9">
        <v>1724465.2324523926</v>
      </c>
      <c r="F2392" s="257" t="s">
        <v>15111</v>
      </c>
      <c r="G2392" s="9"/>
      <c r="H2392" s="257" t="s">
        <v>20504</v>
      </c>
      <c r="I2392" s="9">
        <v>2</v>
      </c>
    </row>
    <row r="2393" spans="1:9">
      <c r="A2393" s="257" t="s">
        <v>3491</v>
      </c>
      <c r="B2393" s="9">
        <v>5</v>
      </c>
      <c r="C2393" s="257" t="s">
        <v>10666</v>
      </c>
      <c r="D2393" s="9">
        <v>135.97548733114499</v>
      </c>
      <c r="E2393" s="9">
        <v>1724465.2324523926</v>
      </c>
      <c r="F2393" s="257" t="s">
        <v>15111</v>
      </c>
      <c r="G2393" s="9"/>
      <c r="H2393" s="257" t="s">
        <v>20505</v>
      </c>
      <c r="I2393" s="9">
        <v>2</v>
      </c>
    </row>
    <row r="2394" spans="1:9">
      <c r="A2394" s="257" t="s">
        <v>3492</v>
      </c>
      <c r="B2394" s="9">
        <v>5</v>
      </c>
      <c r="C2394" s="257" t="s">
        <v>10667</v>
      </c>
      <c r="D2394" s="9">
        <v>0</v>
      </c>
      <c r="E2394" s="9">
        <v>1724465.2324523926</v>
      </c>
      <c r="F2394" s="257" t="s">
        <v>15112</v>
      </c>
      <c r="G2394" s="9"/>
      <c r="H2394" s="257" t="s">
        <v>20506</v>
      </c>
      <c r="I2394" s="9">
        <v>2</v>
      </c>
    </row>
    <row r="2395" spans="1:9">
      <c r="A2395" s="257" t="s">
        <v>3493</v>
      </c>
      <c r="B2395" s="9">
        <v>5</v>
      </c>
      <c r="C2395" s="257" t="s">
        <v>10668</v>
      </c>
      <c r="D2395" s="9">
        <v>0</v>
      </c>
      <c r="E2395" s="9">
        <v>1724465.2324523926</v>
      </c>
      <c r="F2395" s="257" t="s">
        <v>15112</v>
      </c>
      <c r="G2395" s="9"/>
      <c r="H2395" s="257" t="s">
        <v>20507</v>
      </c>
      <c r="I2395" s="9">
        <v>2</v>
      </c>
    </row>
    <row r="2396" spans="1:9">
      <c r="A2396" s="257" t="s">
        <v>3494</v>
      </c>
      <c r="B2396" s="9">
        <v>5</v>
      </c>
      <c r="C2396" s="257" t="s">
        <v>10669</v>
      </c>
      <c r="D2396" s="9">
        <v>0</v>
      </c>
      <c r="E2396" s="9">
        <v>1724465.2324523926</v>
      </c>
      <c r="F2396" s="257" t="s">
        <v>15112</v>
      </c>
      <c r="G2396" s="9"/>
      <c r="H2396" s="257" t="s">
        <v>20508</v>
      </c>
      <c r="I2396" s="9">
        <v>2</v>
      </c>
    </row>
    <row r="2397" spans="1:9">
      <c r="A2397" s="257" t="s">
        <v>3495</v>
      </c>
      <c r="B2397" s="9">
        <v>5</v>
      </c>
      <c r="C2397" s="257" t="s">
        <v>10670</v>
      </c>
      <c r="D2397" s="9">
        <v>0</v>
      </c>
      <c r="E2397" s="9">
        <v>1724465.2324523926</v>
      </c>
      <c r="F2397" s="257" t="s">
        <v>15112</v>
      </c>
      <c r="G2397" s="9"/>
      <c r="H2397" s="257" t="s">
        <v>20509</v>
      </c>
      <c r="I2397" s="9">
        <v>2</v>
      </c>
    </row>
    <row r="2398" spans="1:9">
      <c r="A2398" s="257" t="s">
        <v>3496</v>
      </c>
      <c r="B2398" s="9">
        <v>5</v>
      </c>
      <c r="C2398" s="257" t="s">
        <v>10671</v>
      </c>
      <c r="D2398" s="9">
        <v>0</v>
      </c>
      <c r="E2398" s="9">
        <v>1724465.2324523926</v>
      </c>
      <c r="F2398" s="257" t="s">
        <v>15113</v>
      </c>
      <c r="G2398" s="9"/>
      <c r="H2398" s="257" t="s">
        <v>20510</v>
      </c>
      <c r="I2398" s="9">
        <v>2</v>
      </c>
    </row>
    <row r="2399" spans="1:9">
      <c r="A2399" s="257" t="s">
        <v>3497</v>
      </c>
      <c r="B2399" s="9">
        <v>5</v>
      </c>
      <c r="C2399" s="257" t="s">
        <v>10672</v>
      </c>
      <c r="D2399" s="9">
        <v>0</v>
      </c>
      <c r="E2399" s="9">
        <v>1724465.2324523926</v>
      </c>
      <c r="F2399" s="257" t="s">
        <v>15113</v>
      </c>
      <c r="G2399" s="9"/>
      <c r="H2399" s="257" t="s">
        <v>20511</v>
      </c>
      <c r="I2399" s="9">
        <v>2</v>
      </c>
    </row>
    <row r="2400" spans="1:9">
      <c r="A2400" s="257" t="s">
        <v>3498</v>
      </c>
      <c r="B2400" s="9">
        <v>5</v>
      </c>
      <c r="C2400" s="257" t="s">
        <v>10673</v>
      </c>
      <c r="D2400" s="9">
        <v>0</v>
      </c>
      <c r="E2400" s="9">
        <v>1724465.2324523926</v>
      </c>
      <c r="F2400" s="257" t="s">
        <v>15113</v>
      </c>
      <c r="G2400" s="9"/>
      <c r="H2400" s="257" t="s">
        <v>20512</v>
      </c>
      <c r="I2400" s="9">
        <v>2</v>
      </c>
    </row>
    <row r="2401" spans="1:9">
      <c r="A2401" s="257" t="s">
        <v>3499</v>
      </c>
      <c r="B2401" s="9">
        <v>5</v>
      </c>
      <c r="C2401" s="257" t="s">
        <v>10674</v>
      </c>
      <c r="D2401" s="9">
        <v>0</v>
      </c>
      <c r="E2401" s="9">
        <v>1724465.2324523926</v>
      </c>
      <c r="F2401" s="257" t="s">
        <v>15113</v>
      </c>
      <c r="G2401" s="9"/>
      <c r="H2401" s="257" t="s">
        <v>20513</v>
      </c>
      <c r="I2401" s="9">
        <v>2</v>
      </c>
    </row>
    <row r="2402" spans="1:9">
      <c r="A2402" s="257" t="s">
        <v>3500</v>
      </c>
      <c r="B2402" s="9">
        <v>5</v>
      </c>
      <c r="C2402" s="257" t="s">
        <v>10675</v>
      </c>
      <c r="D2402" s="9">
        <v>0</v>
      </c>
      <c r="E2402" s="9">
        <v>1724465.2324523926</v>
      </c>
      <c r="F2402" s="257" t="s">
        <v>15114</v>
      </c>
      <c r="G2402" s="9"/>
      <c r="H2402" s="257" t="s">
        <v>20514</v>
      </c>
      <c r="I2402" s="9">
        <v>2</v>
      </c>
    </row>
    <row r="2403" spans="1:9">
      <c r="A2403" s="257" t="s">
        <v>3501</v>
      </c>
      <c r="B2403" s="9">
        <v>5</v>
      </c>
      <c r="C2403" s="257" t="s">
        <v>10676</v>
      </c>
      <c r="D2403" s="9">
        <v>0</v>
      </c>
      <c r="E2403" s="9">
        <v>1724465.2324523926</v>
      </c>
      <c r="F2403" s="257" t="s">
        <v>15114</v>
      </c>
      <c r="G2403" s="9"/>
      <c r="H2403" s="257" t="s">
        <v>20515</v>
      </c>
      <c r="I2403" s="9">
        <v>2</v>
      </c>
    </row>
    <row r="2404" spans="1:9">
      <c r="A2404" s="257" t="s">
        <v>3502</v>
      </c>
      <c r="B2404" s="9">
        <v>5</v>
      </c>
      <c r="C2404" s="257" t="s">
        <v>10677</v>
      </c>
      <c r="D2404" s="9">
        <v>0</v>
      </c>
      <c r="E2404" s="9">
        <v>1724465.2324523926</v>
      </c>
      <c r="F2404" s="257" t="s">
        <v>15114</v>
      </c>
      <c r="G2404" s="9"/>
      <c r="H2404" s="257" t="s">
        <v>20516</v>
      </c>
      <c r="I2404" s="9">
        <v>2</v>
      </c>
    </row>
    <row r="2405" spans="1:9">
      <c r="A2405" s="257" t="s">
        <v>3503</v>
      </c>
      <c r="B2405" s="9">
        <v>5</v>
      </c>
      <c r="C2405" s="257" t="s">
        <v>10678</v>
      </c>
      <c r="D2405" s="9">
        <v>0</v>
      </c>
      <c r="E2405" s="9">
        <v>1724465.2324523926</v>
      </c>
      <c r="F2405" s="257" t="s">
        <v>15114</v>
      </c>
      <c r="G2405" s="9"/>
      <c r="H2405" s="257" t="s">
        <v>20517</v>
      </c>
      <c r="I2405" s="9">
        <v>2</v>
      </c>
    </row>
    <row r="2406" spans="1:9">
      <c r="A2406" s="257" t="s">
        <v>3504</v>
      </c>
      <c r="B2406" s="9">
        <v>5</v>
      </c>
      <c r="C2406" s="257" t="s">
        <v>10679</v>
      </c>
      <c r="D2406" s="9">
        <v>940800.89094543457</v>
      </c>
      <c r="E2406" s="9">
        <v>1724465.2324523926</v>
      </c>
      <c r="F2406" s="257" t="s">
        <v>15115</v>
      </c>
      <c r="G2406" s="9"/>
      <c r="H2406" s="257" t="s">
        <v>20518</v>
      </c>
      <c r="I2406" s="9">
        <v>2</v>
      </c>
    </row>
    <row r="2407" spans="1:9">
      <c r="A2407" s="257" t="s">
        <v>3505</v>
      </c>
      <c r="B2407" s="9">
        <v>5</v>
      </c>
      <c r="C2407" s="257" t="s">
        <v>10680</v>
      </c>
      <c r="D2407" s="9">
        <v>234485000.3683303</v>
      </c>
      <c r="E2407" s="9">
        <v>1724465.2324523926</v>
      </c>
      <c r="F2407" s="257" t="s">
        <v>15115</v>
      </c>
      <c r="G2407" s="9"/>
      <c r="H2407" s="257" t="s">
        <v>20519</v>
      </c>
      <c r="I2407" s="9">
        <v>2</v>
      </c>
    </row>
    <row r="2408" spans="1:9">
      <c r="A2408" s="257" t="s">
        <v>3506</v>
      </c>
      <c r="B2408" s="9">
        <v>5</v>
      </c>
      <c r="C2408" s="257" t="s">
        <v>10681</v>
      </c>
      <c r="D2408" s="9">
        <v>0.5455609502822536</v>
      </c>
      <c r="E2408" s="9">
        <v>1724465.2324523926</v>
      </c>
      <c r="F2408" s="257" t="s">
        <v>15115</v>
      </c>
      <c r="G2408" s="9"/>
      <c r="H2408" s="257" t="s">
        <v>20520</v>
      </c>
      <c r="I2408" s="9">
        <v>2</v>
      </c>
    </row>
    <row r="2409" spans="1:9">
      <c r="A2409" s="257" t="s">
        <v>3507</v>
      </c>
      <c r="B2409" s="9">
        <v>5</v>
      </c>
      <c r="C2409" s="257" t="s">
        <v>10682</v>
      </c>
      <c r="D2409" s="9">
        <v>135.97548733114499</v>
      </c>
      <c r="E2409" s="9">
        <v>1724465.2324523926</v>
      </c>
      <c r="F2409" s="257" t="s">
        <v>15115</v>
      </c>
      <c r="G2409" s="9"/>
      <c r="H2409" s="257" t="s">
        <v>20521</v>
      </c>
      <c r="I2409" s="9">
        <v>2</v>
      </c>
    </row>
    <row r="2410" spans="1:9">
      <c r="A2410" s="257" t="s">
        <v>3508</v>
      </c>
      <c r="B2410" s="9">
        <v>5</v>
      </c>
      <c r="C2410" s="257" t="s">
        <v>10683</v>
      </c>
      <c r="D2410" s="9">
        <v>0</v>
      </c>
      <c r="E2410" s="9">
        <v>1724465.2324523926</v>
      </c>
      <c r="F2410" s="257" t="s">
        <v>15116</v>
      </c>
      <c r="G2410" s="9"/>
      <c r="H2410" s="257" t="s">
        <v>20522</v>
      </c>
      <c r="I2410" s="9">
        <v>2</v>
      </c>
    </row>
    <row r="2411" spans="1:9">
      <c r="A2411" s="257" t="s">
        <v>3509</v>
      </c>
      <c r="B2411" s="9">
        <v>5</v>
      </c>
      <c r="C2411" s="257" t="s">
        <v>10684</v>
      </c>
      <c r="D2411" s="9">
        <v>0</v>
      </c>
      <c r="E2411" s="9">
        <v>1724465.2324523926</v>
      </c>
      <c r="F2411" s="257" t="s">
        <v>15116</v>
      </c>
      <c r="G2411" s="9"/>
      <c r="H2411" s="257" t="s">
        <v>20523</v>
      </c>
      <c r="I2411" s="9">
        <v>2</v>
      </c>
    </row>
    <row r="2412" spans="1:9">
      <c r="A2412" s="257" t="s">
        <v>3510</v>
      </c>
      <c r="B2412" s="9">
        <v>5</v>
      </c>
      <c r="C2412" s="257" t="s">
        <v>10685</v>
      </c>
      <c r="D2412" s="9">
        <v>0</v>
      </c>
      <c r="E2412" s="9">
        <v>1724465.2324523926</v>
      </c>
      <c r="F2412" s="257" t="s">
        <v>15116</v>
      </c>
      <c r="G2412" s="9"/>
      <c r="H2412" s="257" t="s">
        <v>20524</v>
      </c>
      <c r="I2412" s="9">
        <v>2</v>
      </c>
    </row>
    <row r="2413" spans="1:9">
      <c r="A2413" s="257" t="s">
        <v>3511</v>
      </c>
      <c r="B2413" s="9">
        <v>5</v>
      </c>
      <c r="C2413" s="257" t="s">
        <v>10686</v>
      </c>
      <c r="D2413" s="9">
        <v>0</v>
      </c>
      <c r="E2413" s="9">
        <v>1724465.2324523926</v>
      </c>
      <c r="F2413" s="257" t="s">
        <v>15116</v>
      </c>
      <c r="G2413" s="9"/>
      <c r="H2413" s="257" t="s">
        <v>20525</v>
      </c>
      <c r="I2413" s="9">
        <v>2</v>
      </c>
    </row>
    <row r="2414" spans="1:9">
      <c r="A2414" s="257" t="s">
        <v>3512</v>
      </c>
      <c r="B2414" s="9">
        <v>5</v>
      </c>
      <c r="C2414" s="257" t="s">
        <v>10687</v>
      </c>
      <c r="D2414" s="9">
        <v>1724465.2324523926</v>
      </c>
      <c r="E2414" s="9">
        <v>1724465.2324523926</v>
      </c>
      <c r="F2414" s="257" t="s">
        <v>15117</v>
      </c>
      <c r="G2414" s="9"/>
      <c r="H2414" s="257" t="s">
        <v>20526</v>
      </c>
      <c r="I2414" s="9">
        <v>2</v>
      </c>
    </row>
    <row r="2415" spans="1:9">
      <c r="A2415" s="257" t="s">
        <v>3513</v>
      </c>
      <c r="B2415" s="9">
        <v>5</v>
      </c>
      <c r="C2415" s="257" t="s">
        <v>10688</v>
      </c>
      <c r="D2415" s="9">
        <v>7145494436.6416607</v>
      </c>
      <c r="E2415" s="9">
        <v>1724465.2324523926</v>
      </c>
      <c r="F2415" s="257" t="s">
        <v>15117</v>
      </c>
      <c r="G2415" s="9"/>
      <c r="H2415" s="257" t="s">
        <v>20527</v>
      </c>
      <c r="I2415" s="9">
        <v>2</v>
      </c>
    </row>
    <row r="2416" spans="1:9">
      <c r="A2416" s="257" t="s">
        <v>3514</v>
      </c>
      <c r="B2416" s="9">
        <v>5</v>
      </c>
      <c r="C2416" s="257" t="s">
        <v>10689</v>
      </c>
      <c r="D2416" s="9">
        <v>1</v>
      </c>
      <c r="E2416" s="9">
        <v>1724465.2324523926</v>
      </c>
      <c r="F2416" s="257" t="s">
        <v>15117</v>
      </c>
      <c r="G2416" s="9"/>
      <c r="H2416" s="257" t="s">
        <v>20528</v>
      </c>
      <c r="I2416" s="9">
        <v>2</v>
      </c>
    </row>
    <row r="2417" spans="1:9">
      <c r="A2417" s="257" t="s">
        <v>3515</v>
      </c>
      <c r="B2417" s="9">
        <v>5</v>
      </c>
      <c r="C2417" s="257" t="s">
        <v>10690</v>
      </c>
      <c r="D2417" s="9">
        <v>4143.6001736491526</v>
      </c>
      <c r="E2417" s="9">
        <v>1724465.2324523926</v>
      </c>
      <c r="F2417" s="257" t="s">
        <v>15117</v>
      </c>
      <c r="G2417" s="9"/>
      <c r="H2417" s="257" t="s">
        <v>20529</v>
      </c>
      <c r="I2417" s="9">
        <v>2</v>
      </c>
    </row>
    <row r="2418" spans="1:9">
      <c r="A2418" s="257" t="s">
        <v>3516</v>
      </c>
      <c r="B2418" s="9">
        <v>5</v>
      </c>
      <c r="C2418" s="257" t="s">
        <v>10691</v>
      </c>
      <c r="D2418" s="9">
        <v>1724465.2324523926</v>
      </c>
      <c r="E2418" s="9">
        <v>1724465.2324523926</v>
      </c>
      <c r="F2418" s="257" t="s">
        <v>15118</v>
      </c>
      <c r="G2418" s="9"/>
      <c r="H2418" s="257" t="s">
        <v>20530</v>
      </c>
      <c r="I2418" s="9">
        <v>2</v>
      </c>
    </row>
    <row r="2419" spans="1:9">
      <c r="A2419" s="257" t="s">
        <v>3517</v>
      </c>
      <c r="B2419" s="9">
        <v>5</v>
      </c>
      <c r="C2419" s="257" t="s">
        <v>10692</v>
      </c>
      <c r="D2419" s="9">
        <v>6911009436.2733307</v>
      </c>
      <c r="E2419" s="9">
        <v>1724465.2324523926</v>
      </c>
      <c r="F2419" s="257" t="s">
        <v>15118</v>
      </c>
      <c r="G2419" s="9"/>
      <c r="H2419" s="257" t="s">
        <v>20531</v>
      </c>
      <c r="I2419" s="9">
        <v>2</v>
      </c>
    </row>
    <row r="2420" spans="1:9">
      <c r="A2420" s="257" t="s">
        <v>3518</v>
      </c>
      <c r="B2420" s="9">
        <v>5</v>
      </c>
      <c r="C2420" s="257" t="s">
        <v>10693</v>
      </c>
      <c r="D2420" s="9">
        <v>1</v>
      </c>
      <c r="E2420" s="9">
        <v>1724465.2324523926</v>
      </c>
      <c r="F2420" s="257" t="s">
        <v>15118</v>
      </c>
      <c r="G2420" s="9"/>
      <c r="H2420" s="257" t="s">
        <v>20532</v>
      </c>
      <c r="I2420" s="9">
        <v>2</v>
      </c>
    </row>
    <row r="2421" spans="1:9">
      <c r="A2421" s="257" t="s">
        <v>3519</v>
      </c>
      <c r="B2421" s="9">
        <v>5</v>
      </c>
      <c r="C2421" s="257" t="s">
        <v>10694</v>
      </c>
      <c r="D2421" s="9">
        <v>4007.6246863180081</v>
      </c>
      <c r="E2421" s="9">
        <v>1724465.2324523926</v>
      </c>
      <c r="F2421" s="257" t="s">
        <v>15118</v>
      </c>
      <c r="G2421" s="9"/>
      <c r="H2421" s="257" t="s">
        <v>20533</v>
      </c>
      <c r="I2421" s="9">
        <v>2</v>
      </c>
    </row>
    <row r="2422" spans="1:9">
      <c r="A2422" s="257" t="s">
        <v>3520</v>
      </c>
      <c r="B2422" s="9">
        <v>5</v>
      </c>
      <c r="C2422" s="257" t="s">
        <v>10695</v>
      </c>
      <c r="D2422" s="9">
        <v>1724465.2324523926</v>
      </c>
      <c r="E2422" s="9">
        <v>1724465.2324523926</v>
      </c>
      <c r="F2422" s="257" t="s">
        <v>15119</v>
      </c>
      <c r="G2422" s="9"/>
      <c r="H2422" s="257" t="s">
        <v>20534</v>
      </c>
      <c r="I2422" s="9">
        <v>2</v>
      </c>
    </row>
    <row r="2423" spans="1:9">
      <c r="A2423" s="257" t="s">
        <v>3521</v>
      </c>
      <c r="B2423" s="9">
        <v>5</v>
      </c>
      <c r="C2423" s="257" t="s">
        <v>10696</v>
      </c>
      <c r="D2423" s="9">
        <v>7145494436.6416607</v>
      </c>
      <c r="E2423" s="9">
        <v>1724465.2324523926</v>
      </c>
      <c r="F2423" s="257" t="s">
        <v>15119</v>
      </c>
      <c r="G2423" s="9"/>
      <c r="H2423" s="257" t="s">
        <v>20535</v>
      </c>
      <c r="I2423" s="9">
        <v>2</v>
      </c>
    </row>
    <row r="2424" spans="1:9">
      <c r="A2424" s="257" t="s">
        <v>3522</v>
      </c>
      <c r="B2424" s="9">
        <v>5</v>
      </c>
      <c r="C2424" s="257" t="s">
        <v>10697</v>
      </c>
      <c r="D2424" s="9">
        <v>1</v>
      </c>
      <c r="E2424" s="9">
        <v>1724465.2324523926</v>
      </c>
      <c r="F2424" s="257" t="s">
        <v>15119</v>
      </c>
      <c r="G2424" s="9"/>
      <c r="H2424" s="257" t="s">
        <v>20536</v>
      </c>
      <c r="I2424" s="9">
        <v>2</v>
      </c>
    </row>
    <row r="2425" spans="1:9">
      <c r="A2425" s="257" t="s">
        <v>3523</v>
      </c>
      <c r="B2425" s="9">
        <v>5</v>
      </c>
      <c r="C2425" s="257" t="s">
        <v>10698</v>
      </c>
      <c r="D2425" s="9">
        <v>4143.6001736491526</v>
      </c>
      <c r="E2425" s="9">
        <v>1724465.2324523926</v>
      </c>
      <c r="F2425" s="257" t="s">
        <v>15119</v>
      </c>
      <c r="G2425" s="9"/>
      <c r="H2425" s="257" t="s">
        <v>20537</v>
      </c>
      <c r="I2425" s="9">
        <v>2</v>
      </c>
    </row>
    <row r="2426" spans="1:9">
      <c r="A2426" s="257" t="s">
        <v>3524</v>
      </c>
      <c r="B2426" s="9">
        <v>5</v>
      </c>
      <c r="C2426" s="257" t="s">
        <v>10699</v>
      </c>
      <c r="D2426" s="9">
        <v>1724465.2324523926</v>
      </c>
      <c r="E2426" s="9">
        <v>1724465.2324523926</v>
      </c>
      <c r="F2426" s="257" t="s">
        <v>15120</v>
      </c>
      <c r="G2426" s="9"/>
      <c r="H2426" s="257" t="s">
        <v>20538</v>
      </c>
      <c r="I2426" s="9">
        <v>2</v>
      </c>
    </row>
    <row r="2427" spans="1:9">
      <c r="A2427" s="257" t="s">
        <v>3525</v>
      </c>
      <c r="B2427" s="9">
        <v>5</v>
      </c>
      <c r="C2427" s="257" t="s">
        <v>10700</v>
      </c>
      <c r="D2427" s="9">
        <v>1643337268.2246625</v>
      </c>
      <c r="E2427" s="9">
        <v>1724465.2324523926</v>
      </c>
      <c r="F2427" s="257" t="s">
        <v>15120</v>
      </c>
      <c r="G2427" s="9"/>
      <c r="H2427" s="257" t="s">
        <v>20539</v>
      </c>
      <c r="I2427" s="9">
        <v>2</v>
      </c>
    </row>
    <row r="2428" spans="1:9">
      <c r="A2428" s="257" t="s">
        <v>3526</v>
      </c>
      <c r="B2428" s="9">
        <v>5</v>
      </c>
      <c r="C2428" s="257" t="s">
        <v>10701</v>
      </c>
      <c r="D2428" s="9">
        <v>1</v>
      </c>
      <c r="E2428" s="9">
        <v>1724465.2324523926</v>
      </c>
      <c r="F2428" s="257" t="s">
        <v>15120</v>
      </c>
      <c r="G2428" s="9"/>
      <c r="H2428" s="257" t="s">
        <v>20540</v>
      </c>
      <c r="I2428" s="9">
        <v>2</v>
      </c>
    </row>
    <row r="2429" spans="1:9">
      <c r="A2429" s="257" t="s">
        <v>3527</v>
      </c>
      <c r="B2429" s="9">
        <v>5</v>
      </c>
      <c r="C2429" s="257" t="s">
        <v>10702</v>
      </c>
      <c r="D2429" s="9">
        <v>952.95471158188764</v>
      </c>
      <c r="E2429" s="9">
        <v>1724465.2324523926</v>
      </c>
      <c r="F2429" s="257" t="s">
        <v>15120</v>
      </c>
      <c r="G2429" s="9"/>
      <c r="H2429" s="257" t="s">
        <v>20541</v>
      </c>
      <c r="I2429" s="9">
        <v>2</v>
      </c>
    </row>
    <row r="2430" spans="1:9">
      <c r="A2430" s="257" t="s">
        <v>3528</v>
      </c>
      <c r="B2430" s="9">
        <v>5</v>
      </c>
      <c r="C2430" s="257" t="s">
        <v>10703</v>
      </c>
      <c r="D2430" s="9">
        <v>901129.99133300781</v>
      </c>
      <c r="E2430" s="9">
        <v>1724465.2324523926</v>
      </c>
      <c r="F2430" s="257" t="s">
        <v>15121</v>
      </c>
      <c r="G2430" s="9"/>
      <c r="H2430" s="257" t="s">
        <v>20542</v>
      </c>
      <c r="I2430" s="9">
        <v>2</v>
      </c>
    </row>
    <row r="2431" spans="1:9">
      <c r="A2431" s="257" t="s">
        <v>3529</v>
      </c>
      <c r="B2431" s="9">
        <v>5</v>
      </c>
      <c r="C2431" s="257" t="s">
        <v>10704</v>
      </c>
      <c r="D2431" s="9">
        <v>1733862407.9105406</v>
      </c>
      <c r="E2431" s="9">
        <v>1724465.2324523926</v>
      </c>
      <c r="F2431" s="257" t="s">
        <v>15121</v>
      </c>
      <c r="G2431" s="9"/>
      <c r="H2431" s="257" t="s">
        <v>20543</v>
      </c>
      <c r="I2431" s="9">
        <v>2</v>
      </c>
    </row>
    <row r="2432" spans="1:9">
      <c r="A2432" s="257" t="s">
        <v>3530</v>
      </c>
      <c r="B2432" s="9">
        <v>5</v>
      </c>
      <c r="C2432" s="257" t="s">
        <v>10705</v>
      </c>
      <c r="D2432" s="9">
        <v>0.52255619561056321</v>
      </c>
      <c r="E2432" s="9">
        <v>1724465.2324523926</v>
      </c>
      <c r="F2432" s="257" t="s">
        <v>15121</v>
      </c>
      <c r="G2432" s="9"/>
      <c r="H2432" s="257" t="s">
        <v>20544</v>
      </c>
      <c r="I2432" s="9">
        <v>2</v>
      </c>
    </row>
    <row r="2433" spans="1:9">
      <c r="A2433" s="257" t="s">
        <v>3531</v>
      </c>
      <c r="B2433" s="9">
        <v>5</v>
      </c>
      <c r="C2433" s="257" t="s">
        <v>10706</v>
      </c>
      <c r="D2433" s="9">
        <v>1005.4493272936469</v>
      </c>
      <c r="E2433" s="9">
        <v>1724465.2324523926</v>
      </c>
      <c r="F2433" s="257" t="s">
        <v>15121</v>
      </c>
      <c r="G2433" s="9"/>
      <c r="H2433" s="257" t="s">
        <v>20545</v>
      </c>
      <c r="I2433" s="9">
        <v>2</v>
      </c>
    </row>
    <row r="2434" spans="1:9">
      <c r="A2434" s="257" t="s">
        <v>3532</v>
      </c>
      <c r="B2434" s="9">
        <v>5</v>
      </c>
      <c r="C2434" s="257" t="s">
        <v>10707</v>
      </c>
      <c r="D2434" s="9">
        <v>1724465.2324523926</v>
      </c>
      <c r="E2434" s="9">
        <v>1724465.2324523926</v>
      </c>
      <c r="F2434" s="257" t="s">
        <v>15122</v>
      </c>
      <c r="G2434" s="9"/>
      <c r="H2434" s="257" t="s">
        <v>20546</v>
      </c>
      <c r="I2434" s="9">
        <v>2</v>
      </c>
    </row>
    <row r="2435" spans="1:9">
      <c r="A2435" s="257" t="s">
        <v>3533</v>
      </c>
      <c r="B2435" s="9">
        <v>5</v>
      </c>
      <c r="C2435" s="257" t="s">
        <v>10708</v>
      </c>
      <c r="D2435" s="9">
        <v>8644871844.1838703</v>
      </c>
      <c r="E2435" s="9">
        <v>1724465.2324523926</v>
      </c>
      <c r="F2435" s="257" t="s">
        <v>15122</v>
      </c>
      <c r="G2435" s="9"/>
      <c r="H2435" s="257" t="s">
        <v>20547</v>
      </c>
      <c r="I2435" s="9">
        <v>2</v>
      </c>
    </row>
    <row r="2436" spans="1:9">
      <c r="A2436" s="257" t="s">
        <v>3534</v>
      </c>
      <c r="B2436" s="9">
        <v>5</v>
      </c>
      <c r="C2436" s="257" t="s">
        <v>10709</v>
      </c>
      <c r="D2436" s="9">
        <v>1</v>
      </c>
      <c r="E2436" s="9">
        <v>1724465.2324523926</v>
      </c>
      <c r="F2436" s="257" t="s">
        <v>15122</v>
      </c>
      <c r="G2436" s="9"/>
      <c r="H2436" s="257" t="s">
        <v>20548</v>
      </c>
      <c r="I2436" s="9">
        <v>2</v>
      </c>
    </row>
    <row r="2437" spans="1:9">
      <c r="A2437" s="257" t="s">
        <v>3535</v>
      </c>
      <c r="B2437" s="9">
        <v>5</v>
      </c>
      <c r="C2437" s="257" t="s">
        <v>10710</v>
      </c>
      <c r="D2437" s="9">
        <v>5013.0740136116547</v>
      </c>
      <c r="E2437" s="9">
        <v>1724465.2324523926</v>
      </c>
      <c r="F2437" s="257" t="s">
        <v>15122</v>
      </c>
      <c r="G2437" s="9"/>
      <c r="H2437" s="257" t="s">
        <v>20549</v>
      </c>
      <c r="I2437" s="9">
        <v>2</v>
      </c>
    </row>
    <row r="2438" spans="1:9">
      <c r="A2438" s="257" t="s">
        <v>3536</v>
      </c>
      <c r="B2438" s="9">
        <v>5</v>
      </c>
      <c r="C2438" s="257" t="s">
        <v>10711</v>
      </c>
      <c r="D2438" s="9">
        <v>1724465.2324523926</v>
      </c>
      <c r="E2438" s="9">
        <v>1724465.2324523926</v>
      </c>
      <c r="F2438" s="257" t="s">
        <v>15123</v>
      </c>
      <c r="G2438" s="9"/>
      <c r="H2438" s="257" t="s">
        <v>20550</v>
      </c>
      <c r="I2438" s="9">
        <v>2</v>
      </c>
    </row>
    <row r="2439" spans="1:9">
      <c r="A2439" s="257" t="s">
        <v>3537</v>
      </c>
      <c r="B2439" s="9">
        <v>5</v>
      </c>
      <c r="C2439" s="257" t="s">
        <v>10712</v>
      </c>
      <c r="D2439" s="9">
        <v>8879356844.5522022</v>
      </c>
      <c r="E2439" s="9">
        <v>1724465.2324523926</v>
      </c>
      <c r="F2439" s="257" t="s">
        <v>15123</v>
      </c>
      <c r="G2439" s="9"/>
      <c r="H2439" s="257" t="s">
        <v>20551</v>
      </c>
      <c r="I2439" s="9">
        <v>2</v>
      </c>
    </row>
    <row r="2440" spans="1:9">
      <c r="A2440" s="257" t="s">
        <v>3538</v>
      </c>
      <c r="B2440" s="9">
        <v>5</v>
      </c>
      <c r="C2440" s="257" t="s">
        <v>10713</v>
      </c>
      <c r="D2440" s="9">
        <v>1</v>
      </c>
      <c r="E2440" s="9">
        <v>1724465.2324523926</v>
      </c>
      <c r="F2440" s="257" t="s">
        <v>15123</v>
      </c>
      <c r="G2440" s="9"/>
      <c r="H2440" s="257" t="s">
        <v>20552</v>
      </c>
      <c r="I2440" s="9">
        <v>2</v>
      </c>
    </row>
    <row r="2441" spans="1:9">
      <c r="A2441" s="257" t="s">
        <v>3539</v>
      </c>
      <c r="B2441" s="9">
        <v>5</v>
      </c>
      <c r="C2441" s="257" t="s">
        <v>10714</v>
      </c>
      <c r="D2441" s="9">
        <v>5149.0495009428005</v>
      </c>
      <c r="E2441" s="9">
        <v>1724465.2324523926</v>
      </c>
      <c r="F2441" s="257" t="s">
        <v>15123</v>
      </c>
      <c r="G2441" s="9"/>
      <c r="H2441" s="257" t="s">
        <v>20553</v>
      </c>
      <c r="I2441" s="9">
        <v>2</v>
      </c>
    </row>
    <row r="2442" spans="1:9">
      <c r="A2442" s="257" t="s">
        <v>3540</v>
      </c>
      <c r="B2442" s="9">
        <v>5</v>
      </c>
      <c r="C2442" s="257" t="s">
        <v>10715</v>
      </c>
      <c r="D2442" s="9">
        <v>941296.03388977051</v>
      </c>
      <c r="E2442" s="9">
        <v>1724465.2324523926</v>
      </c>
      <c r="F2442" s="257" t="s">
        <v>15124</v>
      </c>
      <c r="G2442" s="9"/>
      <c r="H2442" s="257" t="s">
        <v>20554</v>
      </c>
      <c r="I2442" s="9">
        <v>2</v>
      </c>
    </row>
    <row r="2443" spans="1:9">
      <c r="A2443" s="257" t="s">
        <v>3541</v>
      </c>
      <c r="B2443" s="9">
        <v>5</v>
      </c>
      <c r="C2443" s="257" t="s">
        <v>10716</v>
      </c>
      <c r="D2443" s="9">
        <v>4286768252.2130075</v>
      </c>
      <c r="E2443" s="9">
        <v>1724465.2324523926</v>
      </c>
      <c r="F2443" s="257" t="s">
        <v>15124</v>
      </c>
      <c r="G2443" s="9"/>
      <c r="H2443" s="257" t="s">
        <v>20555</v>
      </c>
      <c r="I2443" s="9">
        <v>2</v>
      </c>
    </row>
    <row r="2444" spans="1:9">
      <c r="A2444" s="257" t="s">
        <v>3542</v>
      </c>
      <c r="B2444" s="9">
        <v>5</v>
      </c>
      <c r="C2444" s="257" t="s">
        <v>10717</v>
      </c>
      <c r="D2444" s="9">
        <v>0.54584807868299945</v>
      </c>
      <c r="E2444" s="9">
        <v>1724465.2324523926</v>
      </c>
      <c r="F2444" s="257" t="s">
        <v>15124</v>
      </c>
      <c r="G2444" s="9"/>
      <c r="H2444" s="257" t="s">
        <v>20556</v>
      </c>
      <c r="I2444" s="9">
        <v>2</v>
      </c>
    </row>
    <row r="2445" spans="1:9">
      <c r="A2445" s="257" t="s">
        <v>3543</v>
      </c>
      <c r="B2445" s="9">
        <v>5</v>
      </c>
      <c r="C2445" s="257" t="s">
        <v>10718</v>
      </c>
      <c r="D2445" s="9">
        <v>2485.8536846908291</v>
      </c>
      <c r="E2445" s="9">
        <v>1724465.2324523926</v>
      </c>
      <c r="F2445" s="257" t="s">
        <v>15124</v>
      </c>
      <c r="G2445" s="9"/>
      <c r="H2445" s="257" t="s">
        <v>20557</v>
      </c>
      <c r="I2445" s="9">
        <v>2</v>
      </c>
    </row>
    <row r="2446" spans="1:9">
      <c r="A2446" s="257" t="s">
        <v>3544</v>
      </c>
      <c r="B2446" s="9">
        <v>5</v>
      </c>
      <c r="C2446" s="257" t="s">
        <v>10719</v>
      </c>
      <c r="D2446" s="9">
        <v>941296.03388977051</v>
      </c>
      <c r="E2446" s="9">
        <v>1724465.2324523926</v>
      </c>
      <c r="F2446" s="257" t="s">
        <v>15125</v>
      </c>
      <c r="G2446" s="9"/>
      <c r="H2446" s="257" t="s">
        <v>20558</v>
      </c>
      <c r="I2446" s="9">
        <v>2</v>
      </c>
    </row>
    <row r="2447" spans="1:9">
      <c r="A2447" s="257" t="s">
        <v>3545</v>
      </c>
      <c r="B2447" s="9">
        <v>5</v>
      </c>
      <c r="C2447" s="257" t="s">
        <v>10720</v>
      </c>
      <c r="D2447" s="9">
        <v>4521253252.5813379</v>
      </c>
      <c r="E2447" s="9">
        <v>1724465.2324523926</v>
      </c>
      <c r="F2447" s="257" t="s">
        <v>15125</v>
      </c>
      <c r="G2447" s="9"/>
      <c r="H2447" s="257" t="s">
        <v>20559</v>
      </c>
      <c r="I2447" s="9">
        <v>2</v>
      </c>
    </row>
    <row r="2448" spans="1:9">
      <c r="A2448" s="257" t="s">
        <v>3546</v>
      </c>
      <c r="B2448" s="9">
        <v>5</v>
      </c>
      <c r="C2448" s="257" t="s">
        <v>10721</v>
      </c>
      <c r="D2448" s="9">
        <v>0.54584807868299945</v>
      </c>
      <c r="E2448" s="9">
        <v>1724465.2324523926</v>
      </c>
      <c r="F2448" s="257" t="s">
        <v>15125</v>
      </c>
      <c r="G2448" s="9"/>
      <c r="H2448" s="257" t="s">
        <v>20560</v>
      </c>
      <c r="I2448" s="9">
        <v>2</v>
      </c>
    </row>
    <row r="2449" spans="1:9">
      <c r="A2449" s="257" t="s">
        <v>3547</v>
      </c>
      <c r="B2449" s="9">
        <v>5</v>
      </c>
      <c r="C2449" s="257" t="s">
        <v>10722</v>
      </c>
      <c r="D2449" s="9">
        <v>2621.8291720219745</v>
      </c>
      <c r="E2449" s="9">
        <v>1724465.2324523926</v>
      </c>
      <c r="F2449" s="257" t="s">
        <v>15125</v>
      </c>
      <c r="G2449" s="9"/>
      <c r="H2449" s="257" t="s">
        <v>20561</v>
      </c>
      <c r="I2449" s="9">
        <v>2</v>
      </c>
    </row>
    <row r="2450" spans="1:9">
      <c r="A2450" s="257" t="s">
        <v>3548</v>
      </c>
      <c r="B2450" s="9">
        <v>5</v>
      </c>
      <c r="C2450" s="257" t="s">
        <v>10723</v>
      </c>
      <c r="D2450" s="9">
        <v>1724465.2324523926</v>
      </c>
      <c r="E2450" s="9">
        <v>1724465.2324523926</v>
      </c>
      <c r="F2450" s="257" t="s">
        <v>15126</v>
      </c>
      <c r="G2450" s="9"/>
      <c r="H2450" s="257" t="s">
        <v>20562</v>
      </c>
      <c r="I2450" s="9">
        <v>2</v>
      </c>
    </row>
    <row r="2451" spans="1:9">
      <c r="A2451" s="257" t="s">
        <v>3549</v>
      </c>
      <c r="B2451" s="9">
        <v>5</v>
      </c>
      <c r="C2451" s="257" t="s">
        <v>10724</v>
      </c>
      <c r="D2451" s="9">
        <v>2624241184.0603232</v>
      </c>
      <c r="E2451" s="9">
        <v>1724465.2324523926</v>
      </c>
      <c r="F2451" s="257" t="s">
        <v>15126</v>
      </c>
      <c r="G2451" s="9"/>
      <c r="H2451" s="257" t="s">
        <v>20563</v>
      </c>
      <c r="I2451" s="9">
        <v>2</v>
      </c>
    </row>
    <row r="2452" spans="1:9">
      <c r="A2452" s="257" t="s">
        <v>3550</v>
      </c>
      <c r="B2452" s="9">
        <v>5</v>
      </c>
      <c r="C2452" s="257" t="s">
        <v>10725</v>
      </c>
      <c r="D2452" s="9">
        <v>1</v>
      </c>
      <c r="E2452" s="9">
        <v>1724465.2324523926</v>
      </c>
      <c r="F2452" s="257" t="s">
        <v>15126</v>
      </c>
      <c r="G2452" s="9"/>
      <c r="H2452" s="257" t="s">
        <v>20564</v>
      </c>
      <c r="I2452" s="9">
        <v>2</v>
      </c>
    </row>
    <row r="2453" spans="1:9">
      <c r="A2453" s="257" t="s">
        <v>3551</v>
      </c>
      <c r="B2453" s="9">
        <v>5</v>
      </c>
      <c r="C2453" s="257" t="s">
        <v>10726</v>
      </c>
      <c r="D2453" s="9">
        <v>1521.7710016271787</v>
      </c>
      <c r="E2453" s="9">
        <v>1724465.2324523926</v>
      </c>
      <c r="F2453" s="257" t="s">
        <v>15126</v>
      </c>
      <c r="G2453" s="9"/>
      <c r="H2453" s="257" t="s">
        <v>20565</v>
      </c>
      <c r="I2453" s="9">
        <v>2</v>
      </c>
    </row>
    <row r="2454" spans="1:9">
      <c r="A2454" s="257" t="s">
        <v>3552</v>
      </c>
      <c r="B2454" s="9">
        <v>5</v>
      </c>
      <c r="C2454" s="257" t="s">
        <v>10727</v>
      </c>
      <c r="D2454" s="9">
        <v>1724465.2324523926</v>
      </c>
      <c r="E2454" s="9">
        <v>1724465.2324523926</v>
      </c>
      <c r="F2454" s="257" t="s">
        <v>15127</v>
      </c>
      <c r="G2454" s="9"/>
      <c r="H2454" s="257" t="s">
        <v>20566</v>
      </c>
      <c r="I2454" s="9">
        <v>2</v>
      </c>
    </row>
    <row r="2455" spans="1:9">
      <c r="A2455" s="257" t="s">
        <v>3553</v>
      </c>
      <c r="B2455" s="9">
        <v>5</v>
      </c>
      <c r="C2455" s="257" t="s">
        <v>10728</v>
      </c>
      <c r="D2455" s="9">
        <v>4281050356.6413765</v>
      </c>
      <c r="E2455" s="9">
        <v>1724465.2324523926</v>
      </c>
      <c r="F2455" s="257" t="s">
        <v>15127</v>
      </c>
      <c r="G2455" s="9"/>
      <c r="H2455" s="257" t="s">
        <v>20567</v>
      </c>
      <c r="I2455" s="9">
        <v>2</v>
      </c>
    </row>
    <row r="2456" spans="1:9">
      <c r="A2456" s="257" t="s">
        <v>3554</v>
      </c>
      <c r="B2456" s="9">
        <v>5</v>
      </c>
      <c r="C2456" s="257" t="s">
        <v>10729</v>
      </c>
      <c r="D2456" s="9">
        <v>1</v>
      </c>
      <c r="E2456" s="9">
        <v>1724465.2324523926</v>
      </c>
      <c r="F2456" s="257" t="s">
        <v>15127</v>
      </c>
      <c r="G2456" s="9"/>
      <c r="H2456" s="257" t="s">
        <v>20568</v>
      </c>
      <c r="I2456" s="9">
        <v>2</v>
      </c>
    </row>
    <row r="2457" spans="1:9">
      <c r="A2457" s="257" t="s">
        <v>3555</v>
      </c>
      <c r="B2457" s="9">
        <v>5</v>
      </c>
      <c r="C2457" s="257" t="s">
        <v>10730</v>
      </c>
      <c r="D2457" s="9">
        <v>2482.537934704093</v>
      </c>
      <c r="E2457" s="9">
        <v>1724465.2324523926</v>
      </c>
      <c r="F2457" s="257" t="s">
        <v>15127</v>
      </c>
      <c r="G2457" s="9"/>
      <c r="H2457" s="257" t="s">
        <v>20569</v>
      </c>
      <c r="I2457" s="9">
        <v>2</v>
      </c>
    </row>
    <row r="2458" spans="1:9">
      <c r="A2458" s="257" t="s">
        <v>3556</v>
      </c>
      <c r="B2458" s="9">
        <v>5</v>
      </c>
      <c r="C2458" s="257" t="s">
        <v>10731</v>
      </c>
      <c r="D2458" s="9">
        <v>943306.87666320801</v>
      </c>
      <c r="E2458" s="9">
        <v>1724465.2324523926</v>
      </c>
      <c r="F2458" s="257" t="s">
        <v>15128</v>
      </c>
      <c r="G2458" s="9"/>
      <c r="H2458" s="257" t="s">
        <v>20570</v>
      </c>
      <c r="I2458" s="9">
        <v>2</v>
      </c>
    </row>
    <row r="2459" spans="1:9">
      <c r="A2459" s="257" t="s">
        <v>3557</v>
      </c>
      <c r="B2459" s="9">
        <v>5</v>
      </c>
      <c r="C2459" s="257" t="s">
        <v>10732</v>
      </c>
      <c r="D2459" s="9">
        <v>5294211817.3570862</v>
      </c>
      <c r="E2459" s="9">
        <v>1724465.2324523926</v>
      </c>
      <c r="F2459" s="257" t="s">
        <v>15128</v>
      </c>
      <c r="G2459" s="9"/>
      <c r="H2459" s="257" t="s">
        <v>20571</v>
      </c>
      <c r="I2459" s="9">
        <v>2</v>
      </c>
    </row>
    <row r="2460" spans="1:9">
      <c r="A2460" s="257" t="s">
        <v>3558</v>
      </c>
      <c r="B2460" s="9">
        <v>5</v>
      </c>
      <c r="C2460" s="257" t="s">
        <v>10733</v>
      </c>
      <c r="D2460" s="9">
        <v>0.54701414613138621</v>
      </c>
      <c r="E2460" s="9">
        <v>1724465.2324523926</v>
      </c>
      <c r="F2460" s="257" t="s">
        <v>15128</v>
      </c>
      <c r="G2460" s="9"/>
      <c r="H2460" s="257" t="s">
        <v>20572</v>
      </c>
      <c r="I2460" s="9">
        <v>2</v>
      </c>
    </row>
    <row r="2461" spans="1:9">
      <c r="A2461" s="257" t="s">
        <v>3559</v>
      </c>
      <c r="B2461" s="9">
        <v>5</v>
      </c>
      <c r="C2461" s="257" t="s">
        <v>10734</v>
      </c>
      <c r="D2461" s="9">
        <v>3070.0600497628438</v>
      </c>
      <c r="E2461" s="9">
        <v>1724465.2324523926</v>
      </c>
      <c r="F2461" s="257" t="s">
        <v>15128</v>
      </c>
      <c r="G2461" s="9"/>
      <c r="H2461" s="257" t="s">
        <v>20573</v>
      </c>
      <c r="I2461" s="9">
        <v>2</v>
      </c>
    </row>
    <row r="2462" spans="1:9">
      <c r="A2462" s="257" t="s">
        <v>3560</v>
      </c>
      <c r="B2462" s="9">
        <v>5</v>
      </c>
      <c r="C2462" s="257" t="s">
        <v>10735</v>
      </c>
      <c r="D2462" s="9">
        <v>0</v>
      </c>
      <c r="E2462" s="9">
        <v>1724465.2324523926</v>
      </c>
      <c r="F2462" s="257" t="s">
        <v>15129</v>
      </c>
      <c r="G2462" s="9"/>
      <c r="H2462" s="257" t="s">
        <v>20574</v>
      </c>
      <c r="I2462" s="9">
        <v>2</v>
      </c>
    </row>
    <row r="2463" spans="1:9">
      <c r="A2463" s="257" t="s">
        <v>3561</v>
      </c>
      <c r="B2463" s="9">
        <v>5</v>
      </c>
      <c r="C2463" s="257" t="s">
        <v>10736</v>
      </c>
      <c r="D2463" s="9">
        <v>-695905329.44626164</v>
      </c>
      <c r="E2463" s="9">
        <v>1724465.2324523926</v>
      </c>
      <c r="F2463" s="257" t="s">
        <v>15129</v>
      </c>
      <c r="G2463" s="9"/>
      <c r="H2463" s="257" t="s">
        <v>20575</v>
      </c>
      <c r="I2463" s="9">
        <v>2</v>
      </c>
    </row>
    <row r="2464" spans="1:9">
      <c r="A2464" s="257" t="s">
        <v>3562</v>
      </c>
      <c r="B2464" s="9">
        <v>5</v>
      </c>
      <c r="C2464" s="257" t="s">
        <v>10737</v>
      </c>
      <c r="D2464" s="9">
        <v>0</v>
      </c>
      <c r="E2464" s="9">
        <v>1724465.2324523926</v>
      </c>
      <c r="F2464" s="257" t="s">
        <v>15129</v>
      </c>
      <c r="G2464" s="9"/>
      <c r="H2464" s="257" t="s">
        <v>20576</v>
      </c>
      <c r="I2464" s="9">
        <v>2</v>
      </c>
    </row>
    <row r="2465" spans="1:9">
      <c r="A2465" s="257" t="s">
        <v>3563</v>
      </c>
      <c r="B2465" s="9">
        <v>5</v>
      </c>
      <c r="C2465" s="257" t="s">
        <v>10738</v>
      </c>
      <c r="D2465" s="9">
        <v>-403.54848352413711</v>
      </c>
      <c r="E2465" s="9">
        <v>1724465.2324523926</v>
      </c>
      <c r="F2465" s="257" t="s">
        <v>15129</v>
      </c>
      <c r="G2465" s="9"/>
      <c r="H2465" s="257" t="s">
        <v>20577</v>
      </c>
      <c r="I2465" s="9">
        <v>2</v>
      </c>
    </row>
    <row r="2466" spans="1:9">
      <c r="A2466" s="257" t="s">
        <v>3564</v>
      </c>
      <c r="B2466" s="9">
        <v>5</v>
      </c>
      <c r="C2466" s="257" t="s">
        <v>10739</v>
      </c>
      <c r="D2466" s="9">
        <v>941296.03388977051</v>
      </c>
      <c r="E2466" s="9">
        <v>1724465.2324523926</v>
      </c>
      <c r="F2466" s="257" t="s">
        <v>15130</v>
      </c>
      <c r="G2466" s="9"/>
      <c r="H2466" s="257" t="s">
        <v>20578</v>
      </c>
      <c r="I2466" s="9">
        <v>2</v>
      </c>
    </row>
    <row r="2467" spans="1:9">
      <c r="A2467" s="257" t="s">
        <v>3565</v>
      </c>
      <c r="B2467" s="9">
        <v>5</v>
      </c>
      <c r="C2467" s="257" t="s">
        <v>10740</v>
      </c>
      <c r="D2467" s="9">
        <v>4598306487.9108248</v>
      </c>
      <c r="E2467" s="9">
        <v>1724465.2324523926</v>
      </c>
      <c r="F2467" s="257" t="s">
        <v>15130</v>
      </c>
      <c r="G2467" s="9"/>
      <c r="H2467" s="257" t="s">
        <v>20579</v>
      </c>
      <c r="I2467" s="9">
        <v>2</v>
      </c>
    </row>
    <row r="2468" spans="1:9">
      <c r="A2468" s="257" t="s">
        <v>3566</v>
      </c>
      <c r="B2468" s="9">
        <v>5</v>
      </c>
      <c r="C2468" s="257" t="s">
        <v>10741</v>
      </c>
      <c r="D2468" s="9">
        <v>0.54584807868299945</v>
      </c>
      <c r="E2468" s="9">
        <v>1724465.2324523926</v>
      </c>
      <c r="F2468" s="257" t="s">
        <v>15130</v>
      </c>
      <c r="G2468" s="9"/>
      <c r="H2468" s="257" t="s">
        <v>20580</v>
      </c>
      <c r="I2468" s="9">
        <v>2</v>
      </c>
    </row>
    <row r="2469" spans="1:9">
      <c r="A2469" s="257" t="s">
        <v>3567</v>
      </c>
      <c r="B2469" s="9">
        <v>5</v>
      </c>
      <c r="C2469" s="257" t="s">
        <v>10742</v>
      </c>
      <c r="D2469" s="9">
        <v>2666.5115662387066</v>
      </c>
      <c r="E2469" s="9">
        <v>1724465.2324523926</v>
      </c>
      <c r="F2469" s="257" t="s">
        <v>15130</v>
      </c>
      <c r="G2469" s="9"/>
      <c r="H2469" s="257" t="s">
        <v>20581</v>
      </c>
      <c r="I2469" s="9">
        <v>2</v>
      </c>
    </row>
    <row r="2470" spans="1:9">
      <c r="A2470" s="257" t="s">
        <v>3568</v>
      </c>
      <c r="B2470" s="9">
        <v>5</v>
      </c>
      <c r="C2470" s="257" t="s">
        <v>10743</v>
      </c>
      <c r="D2470" s="9">
        <v>103478.39990234375</v>
      </c>
      <c r="E2470" s="9">
        <v>1724465.2324523926</v>
      </c>
      <c r="F2470" s="257" t="s">
        <v>15131</v>
      </c>
      <c r="G2470" s="9"/>
      <c r="H2470" s="257" t="s">
        <v>20582</v>
      </c>
      <c r="I2470" s="9">
        <v>2</v>
      </c>
    </row>
    <row r="2471" spans="1:9">
      <c r="A2471" s="257" t="s">
        <v>3569</v>
      </c>
      <c r="B2471" s="9">
        <v>5</v>
      </c>
      <c r="C2471" s="257" t="s">
        <v>10744</v>
      </c>
      <c r="D2471" s="9">
        <v>77053235.32948719</v>
      </c>
      <c r="E2471" s="9">
        <v>1724465.2324523926</v>
      </c>
      <c r="F2471" s="257" t="s">
        <v>15131</v>
      </c>
      <c r="G2471" s="9"/>
      <c r="H2471" s="257" t="s">
        <v>20583</v>
      </c>
      <c r="I2471" s="9">
        <v>2</v>
      </c>
    </row>
    <row r="2472" spans="1:9">
      <c r="A2472" s="257" t="s">
        <v>3570</v>
      </c>
      <c r="B2472" s="9">
        <v>5</v>
      </c>
      <c r="C2472" s="257" t="s">
        <v>10745</v>
      </c>
      <c r="D2472" s="9">
        <v>6.0006080699687568E-2</v>
      </c>
      <c r="E2472" s="9">
        <v>1724465.2324523926</v>
      </c>
      <c r="F2472" s="257" t="s">
        <v>15131</v>
      </c>
      <c r="G2472" s="9"/>
      <c r="H2472" s="257" t="s">
        <v>20584</v>
      </c>
      <c r="I2472" s="9">
        <v>2</v>
      </c>
    </row>
    <row r="2473" spans="1:9">
      <c r="A2473" s="257" t="s">
        <v>3571</v>
      </c>
      <c r="B2473" s="9">
        <v>5</v>
      </c>
      <c r="C2473" s="257" t="s">
        <v>10746</v>
      </c>
      <c r="D2473" s="9">
        <v>44.682394216732582</v>
      </c>
      <c r="E2473" s="9">
        <v>1724465.2324523926</v>
      </c>
      <c r="F2473" s="257" t="s">
        <v>15131</v>
      </c>
      <c r="G2473" s="9"/>
      <c r="H2473" s="257" t="s">
        <v>20585</v>
      </c>
      <c r="I2473" s="9">
        <v>2</v>
      </c>
    </row>
    <row r="2474" spans="1:9">
      <c r="A2474" s="257" t="s">
        <v>3572</v>
      </c>
      <c r="B2474" s="9">
        <v>5</v>
      </c>
      <c r="C2474" s="257" t="s">
        <v>10747</v>
      </c>
      <c r="D2474" s="9">
        <v>860979.083984375</v>
      </c>
      <c r="E2474" s="9">
        <v>1724465.2324523926</v>
      </c>
      <c r="F2474" s="257" t="s">
        <v>15132</v>
      </c>
      <c r="G2474" s="9"/>
      <c r="H2474" s="257" t="s">
        <v>20586</v>
      </c>
      <c r="I2474" s="9">
        <v>2</v>
      </c>
    </row>
    <row r="2475" spans="1:9">
      <c r="A2475" s="257" t="s">
        <v>3573</v>
      </c>
      <c r="B2475" s="9">
        <v>5</v>
      </c>
      <c r="C2475" s="257" t="s">
        <v>10748</v>
      </c>
      <c r="D2475" s="9">
        <v>1656809172.5810533</v>
      </c>
      <c r="E2475" s="9">
        <v>1724465.2324523926</v>
      </c>
      <c r="F2475" s="257" t="s">
        <v>15132</v>
      </c>
      <c r="G2475" s="9"/>
      <c r="H2475" s="257" t="s">
        <v>20587</v>
      </c>
      <c r="I2475" s="9">
        <v>2</v>
      </c>
    </row>
    <row r="2476" spans="1:9">
      <c r="A2476" s="257" t="s">
        <v>3574</v>
      </c>
      <c r="B2476" s="9">
        <v>5</v>
      </c>
      <c r="C2476" s="257" t="s">
        <v>10749</v>
      </c>
      <c r="D2476" s="9">
        <v>0.49927308929270864</v>
      </c>
      <c r="E2476" s="9">
        <v>1724465.2324523926</v>
      </c>
      <c r="F2476" s="257" t="s">
        <v>15132</v>
      </c>
      <c r="G2476" s="9"/>
      <c r="H2476" s="257" t="s">
        <v>20588</v>
      </c>
      <c r="I2476" s="9">
        <v>2</v>
      </c>
    </row>
    <row r="2477" spans="1:9">
      <c r="A2477" s="257" t="s">
        <v>3575</v>
      </c>
      <c r="B2477" s="9">
        <v>5</v>
      </c>
      <c r="C2477" s="257" t="s">
        <v>10750</v>
      </c>
      <c r="D2477" s="9">
        <v>960.76693307691426</v>
      </c>
      <c r="E2477" s="9">
        <v>1724465.2324523926</v>
      </c>
      <c r="F2477" s="257" t="s">
        <v>15132</v>
      </c>
      <c r="G2477" s="9"/>
      <c r="H2477" s="257" t="s">
        <v>20589</v>
      </c>
      <c r="I2477" s="9">
        <v>2</v>
      </c>
    </row>
    <row r="2478" spans="1:9">
      <c r="A2478" s="257" t="s">
        <v>3576</v>
      </c>
      <c r="B2478" s="9">
        <v>5</v>
      </c>
      <c r="C2478" s="257" t="s">
        <v>10751</v>
      </c>
      <c r="D2478" s="9">
        <v>0</v>
      </c>
      <c r="E2478" s="9">
        <v>1724465.2324523926</v>
      </c>
      <c r="F2478" s="257" t="s">
        <v>15133</v>
      </c>
      <c r="G2478" s="9"/>
      <c r="H2478" s="257" t="s">
        <v>20590</v>
      </c>
      <c r="I2478" s="9">
        <v>2</v>
      </c>
    </row>
    <row r="2479" spans="1:9">
      <c r="A2479" s="257" t="s">
        <v>3577</v>
      </c>
      <c r="B2479" s="9">
        <v>5</v>
      </c>
      <c r="C2479" s="257" t="s">
        <v>10752</v>
      </c>
      <c r="D2479" s="9">
        <v>0</v>
      </c>
      <c r="E2479" s="9">
        <v>1724465.2324523926</v>
      </c>
      <c r="F2479" s="257" t="s">
        <v>15133</v>
      </c>
      <c r="G2479" s="9"/>
      <c r="H2479" s="257" t="s">
        <v>20591</v>
      </c>
      <c r="I2479" s="9">
        <v>2</v>
      </c>
    </row>
    <row r="2480" spans="1:9">
      <c r="A2480" s="257" t="s">
        <v>3578</v>
      </c>
      <c r="B2480" s="9">
        <v>5</v>
      </c>
      <c r="C2480" s="257" t="s">
        <v>10753</v>
      </c>
      <c r="D2480" s="9">
        <v>0</v>
      </c>
      <c r="E2480" s="9">
        <v>1724465.2324523926</v>
      </c>
      <c r="F2480" s="257" t="s">
        <v>15133</v>
      </c>
      <c r="G2480" s="9"/>
      <c r="H2480" s="257" t="s">
        <v>20592</v>
      </c>
      <c r="I2480" s="9">
        <v>2</v>
      </c>
    </row>
    <row r="2481" spans="1:9">
      <c r="A2481" s="257" t="s">
        <v>3579</v>
      </c>
      <c r="B2481" s="9">
        <v>5</v>
      </c>
      <c r="C2481" s="257" t="s">
        <v>10754</v>
      </c>
      <c r="D2481" s="9">
        <v>0</v>
      </c>
      <c r="E2481" s="9">
        <v>1724465.2324523926</v>
      </c>
      <c r="F2481" s="257" t="s">
        <v>15133</v>
      </c>
      <c r="G2481" s="9"/>
      <c r="H2481" s="257" t="s">
        <v>20593</v>
      </c>
      <c r="I2481" s="9">
        <v>2</v>
      </c>
    </row>
    <row r="2482" spans="1:9">
      <c r="A2482" s="257" t="s">
        <v>3580</v>
      </c>
      <c r="B2482" s="9">
        <v>6</v>
      </c>
      <c r="C2482" s="257" t="s">
        <v>10755</v>
      </c>
      <c r="D2482" s="9">
        <v>1075620.3254089355</v>
      </c>
      <c r="E2482" s="9">
        <v>1727309.5965805054</v>
      </c>
      <c r="F2482" s="257" t="s">
        <v>15134</v>
      </c>
      <c r="G2482" s="9"/>
      <c r="H2482" s="257" t="s">
        <v>20594</v>
      </c>
      <c r="I2482" s="9">
        <v>2</v>
      </c>
    </row>
    <row r="2483" spans="1:9">
      <c r="A2483" s="257" t="s">
        <v>3581</v>
      </c>
      <c r="B2483" s="9">
        <v>6</v>
      </c>
      <c r="C2483" s="257" t="s">
        <v>10756</v>
      </c>
      <c r="D2483" s="9">
        <v>3656699744.6330066</v>
      </c>
      <c r="E2483" s="9">
        <v>1727309.5965805054</v>
      </c>
      <c r="F2483" s="257" t="s">
        <v>15134</v>
      </c>
      <c r="G2483" s="9"/>
      <c r="H2483" s="257" t="s">
        <v>20595</v>
      </c>
      <c r="I2483" s="9">
        <v>2</v>
      </c>
    </row>
    <row r="2484" spans="1:9">
      <c r="A2484" s="257" t="s">
        <v>3582</v>
      </c>
      <c r="B2484" s="9">
        <v>6</v>
      </c>
      <c r="C2484" s="257" t="s">
        <v>10757</v>
      </c>
      <c r="D2484" s="9">
        <v>0.62271426473766123</v>
      </c>
      <c r="E2484" s="9">
        <v>1727309.5965805054</v>
      </c>
      <c r="F2484" s="257" t="s">
        <v>15134</v>
      </c>
      <c r="G2484" s="9"/>
      <c r="H2484" s="257" t="s">
        <v>20596</v>
      </c>
      <c r="I2484" s="9">
        <v>2</v>
      </c>
    </row>
    <row r="2485" spans="1:9">
      <c r="A2485" s="257" t="s">
        <v>3583</v>
      </c>
      <c r="B2485" s="9">
        <v>6</v>
      </c>
      <c r="C2485" s="257" t="s">
        <v>10758</v>
      </c>
      <c r="D2485" s="9">
        <v>2116.9915062546097</v>
      </c>
      <c r="E2485" s="9">
        <v>1727309.5965805054</v>
      </c>
      <c r="F2485" s="257" t="s">
        <v>15134</v>
      </c>
      <c r="G2485" s="9"/>
      <c r="H2485" s="257" t="s">
        <v>20597</v>
      </c>
      <c r="I2485" s="9">
        <v>2</v>
      </c>
    </row>
    <row r="2486" spans="1:9">
      <c r="A2486" s="257" t="s">
        <v>3584</v>
      </c>
      <c r="B2486" s="9">
        <v>6</v>
      </c>
      <c r="C2486" s="257" t="s">
        <v>10759</v>
      </c>
      <c r="D2486" s="9">
        <v>0</v>
      </c>
      <c r="E2486" s="9">
        <v>1727309.5965805054</v>
      </c>
      <c r="F2486" s="257" t="s">
        <v>15135</v>
      </c>
      <c r="G2486" s="9"/>
      <c r="H2486" s="257" t="s">
        <v>20598</v>
      </c>
      <c r="I2486" s="9">
        <v>2</v>
      </c>
    </row>
    <row r="2487" spans="1:9">
      <c r="A2487" s="257" t="s">
        <v>3585</v>
      </c>
      <c r="B2487" s="9">
        <v>6</v>
      </c>
      <c r="C2487" s="257" t="s">
        <v>10760</v>
      </c>
      <c r="D2487" s="9">
        <v>0</v>
      </c>
      <c r="E2487" s="9">
        <v>1727309.5965805054</v>
      </c>
      <c r="F2487" s="257" t="s">
        <v>15135</v>
      </c>
      <c r="G2487" s="9"/>
      <c r="H2487" s="257" t="s">
        <v>20599</v>
      </c>
      <c r="I2487" s="9">
        <v>2</v>
      </c>
    </row>
    <row r="2488" spans="1:9">
      <c r="A2488" s="257" t="s">
        <v>3586</v>
      </c>
      <c r="B2488" s="9">
        <v>6</v>
      </c>
      <c r="C2488" s="257" t="s">
        <v>10761</v>
      </c>
      <c r="D2488" s="9">
        <v>0</v>
      </c>
      <c r="E2488" s="9">
        <v>1727309.5965805054</v>
      </c>
      <c r="F2488" s="257" t="s">
        <v>15135</v>
      </c>
      <c r="G2488" s="9"/>
      <c r="H2488" s="257" t="s">
        <v>20600</v>
      </c>
      <c r="I2488" s="9">
        <v>2</v>
      </c>
    </row>
    <row r="2489" spans="1:9">
      <c r="A2489" s="257" t="s">
        <v>3587</v>
      </c>
      <c r="B2489" s="9">
        <v>6</v>
      </c>
      <c r="C2489" s="257" t="s">
        <v>10762</v>
      </c>
      <c r="D2489" s="9">
        <v>0</v>
      </c>
      <c r="E2489" s="9">
        <v>1727309.5965805054</v>
      </c>
      <c r="F2489" s="257" t="s">
        <v>15135</v>
      </c>
      <c r="G2489" s="9"/>
      <c r="H2489" s="257" t="s">
        <v>20601</v>
      </c>
      <c r="I2489" s="9">
        <v>2</v>
      </c>
    </row>
    <row r="2490" spans="1:9">
      <c r="A2490" s="257" t="s">
        <v>3588</v>
      </c>
      <c r="B2490" s="9">
        <v>6</v>
      </c>
      <c r="C2490" s="257" t="s">
        <v>10763</v>
      </c>
      <c r="D2490" s="9">
        <v>1126215.7252044678</v>
      </c>
      <c r="E2490" s="9">
        <v>1727309.5965805054</v>
      </c>
      <c r="F2490" s="257" t="s">
        <v>15136</v>
      </c>
      <c r="G2490" s="9"/>
      <c r="H2490" s="257" t="s">
        <v>20602</v>
      </c>
      <c r="I2490" s="9">
        <v>2</v>
      </c>
    </row>
    <row r="2491" spans="1:9">
      <c r="A2491" s="257" t="s">
        <v>3589</v>
      </c>
      <c r="B2491" s="9">
        <v>6</v>
      </c>
      <c r="C2491" s="257" t="s">
        <v>10764</v>
      </c>
      <c r="D2491" s="9">
        <v>325655174.33821023</v>
      </c>
      <c r="E2491" s="9">
        <v>1727309.5965805054</v>
      </c>
      <c r="F2491" s="257" t="s">
        <v>15136</v>
      </c>
      <c r="G2491" s="9"/>
      <c r="H2491" s="257" t="s">
        <v>20603</v>
      </c>
      <c r="I2491" s="9">
        <v>2</v>
      </c>
    </row>
    <row r="2492" spans="1:9">
      <c r="A2492" s="257" t="s">
        <v>3590</v>
      </c>
      <c r="B2492" s="9">
        <v>6</v>
      </c>
      <c r="C2492" s="257" t="s">
        <v>10765</v>
      </c>
      <c r="D2492" s="9">
        <v>0.65200571306614508</v>
      </c>
      <c r="E2492" s="9">
        <v>1727309.5965805054</v>
      </c>
      <c r="F2492" s="257" t="s">
        <v>15136</v>
      </c>
      <c r="G2492" s="9"/>
      <c r="H2492" s="257" t="s">
        <v>20604</v>
      </c>
      <c r="I2492" s="9">
        <v>2</v>
      </c>
    </row>
    <row r="2493" spans="1:9">
      <c r="A2493" s="257" t="s">
        <v>3591</v>
      </c>
      <c r="B2493" s="9">
        <v>6</v>
      </c>
      <c r="C2493" s="257" t="s">
        <v>10766</v>
      </c>
      <c r="D2493" s="9">
        <v>188.53318188175322</v>
      </c>
      <c r="E2493" s="9">
        <v>1727309.5965805054</v>
      </c>
      <c r="F2493" s="257" t="s">
        <v>15136</v>
      </c>
      <c r="G2493" s="9"/>
      <c r="H2493" s="257" t="s">
        <v>20605</v>
      </c>
      <c r="I2493" s="9">
        <v>2</v>
      </c>
    </row>
    <row r="2494" spans="1:9">
      <c r="A2494" s="257" t="s">
        <v>3592</v>
      </c>
      <c r="B2494" s="9">
        <v>6</v>
      </c>
      <c r="C2494" s="257" t="s">
        <v>10767</v>
      </c>
      <c r="D2494" s="9">
        <v>0</v>
      </c>
      <c r="E2494" s="9">
        <v>1727309.5965805054</v>
      </c>
      <c r="F2494" s="257" t="s">
        <v>15137</v>
      </c>
      <c r="G2494" s="9"/>
      <c r="H2494" s="257" t="s">
        <v>20606</v>
      </c>
      <c r="I2494" s="9">
        <v>2</v>
      </c>
    </row>
    <row r="2495" spans="1:9">
      <c r="A2495" s="257" t="s">
        <v>3593</v>
      </c>
      <c r="B2495" s="9">
        <v>6</v>
      </c>
      <c r="C2495" s="257" t="s">
        <v>10768</v>
      </c>
      <c r="D2495" s="9">
        <v>0</v>
      </c>
      <c r="E2495" s="9">
        <v>1727309.5965805054</v>
      </c>
      <c r="F2495" s="257" t="s">
        <v>15137</v>
      </c>
      <c r="G2495" s="9"/>
      <c r="H2495" s="257" t="s">
        <v>20607</v>
      </c>
      <c r="I2495" s="9">
        <v>2</v>
      </c>
    </row>
    <row r="2496" spans="1:9">
      <c r="A2496" s="257" t="s">
        <v>3594</v>
      </c>
      <c r="B2496" s="9">
        <v>6</v>
      </c>
      <c r="C2496" s="257" t="s">
        <v>10769</v>
      </c>
      <c r="D2496" s="9">
        <v>0</v>
      </c>
      <c r="E2496" s="9">
        <v>1727309.5965805054</v>
      </c>
      <c r="F2496" s="257" t="s">
        <v>15137</v>
      </c>
      <c r="G2496" s="9"/>
      <c r="H2496" s="257" t="s">
        <v>20608</v>
      </c>
      <c r="I2496" s="9">
        <v>2</v>
      </c>
    </row>
    <row r="2497" spans="1:9">
      <c r="A2497" s="257" t="s">
        <v>3595</v>
      </c>
      <c r="B2497" s="9">
        <v>6</v>
      </c>
      <c r="C2497" s="257" t="s">
        <v>10770</v>
      </c>
      <c r="D2497" s="9">
        <v>0</v>
      </c>
      <c r="E2497" s="9">
        <v>1727309.5965805054</v>
      </c>
      <c r="F2497" s="257" t="s">
        <v>15137</v>
      </c>
      <c r="G2497" s="9"/>
      <c r="H2497" s="257" t="s">
        <v>20609</v>
      </c>
      <c r="I2497" s="9">
        <v>2</v>
      </c>
    </row>
    <row r="2498" spans="1:9">
      <c r="A2498" s="257" t="s">
        <v>3596</v>
      </c>
      <c r="B2498" s="9">
        <v>6</v>
      </c>
      <c r="C2498" s="257" t="s">
        <v>10771</v>
      </c>
      <c r="D2498" s="9">
        <v>0</v>
      </c>
      <c r="E2498" s="9">
        <v>1727309.5965805054</v>
      </c>
      <c r="F2498" s="257" t="s">
        <v>15138</v>
      </c>
      <c r="G2498" s="9"/>
      <c r="H2498" s="257" t="s">
        <v>20610</v>
      </c>
      <c r="I2498" s="9">
        <v>2</v>
      </c>
    </row>
    <row r="2499" spans="1:9">
      <c r="A2499" s="257" t="s">
        <v>3597</v>
      </c>
      <c r="B2499" s="9">
        <v>6</v>
      </c>
      <c r="C2499" s="257" t="s">
        <v>10772</v>
      </c>
      <c r="D2499" s="9">
        <v>0</v>
      </c>
      <c r="E2499" s="9">
        <v>1727309.5965805054</v>
      </c>
      <c r="F2499" s="257" t="s">
        <v>15138</v>
      </c>
      <c r="G2499" s="9"/>
      <c r="H2499" s="257" t="s">
        <v>20611</v>
      </c>
      <c r="I2499" s="9">
        <v>2</v>
      </c>
    </row>
    <row r="2500" spans="1:9">
      <c r="A2500" s="257" t="s">
        <v>3598</v>
      </c>
      <c r="B2500" s="9">
        <v>6</v>
      </c>
      <c r="C2500" s="257" t="s">
        <v>10773</v>
      </c>
      <c r="D2500" s="9">
        <v>0</v>
      </c>
      <c r="E2500" s="9">
        <v>1727309.5965805054</v>
      </c>
      <c r="F2500" s="257" t="s">
        <v>15138</v>
      </c>
      <c r="G2500" s="9"/>
      <c r="H2500" s="257" t="s">
        <v>20612</v>
      </c>
      <c r="I2500" s="9">
        <v>2</v>
      </c>
    </row>
    <row r="2501" spans="1:9">
      <c r="A2501" s="257" t="s">
        <v>3599</v>
      </c>
      <c r="B2501" s="9">
        <v>6</v>
      </c>
      <c r="C2501" s="257" t="s">
        <v>10774</v>
      </c>
      <c r="D2501" s="9">
        <v>0</v>
      </c>
      <c r="E2501" s="9">
        <v>1727309.5965805054</v>
      </c>
      <c r="F2501" s="257" t="s">
        <v>15138</v>
      </c>
      <c r="G2501" s="9"/>
      <c r="H2501" s="257" t="s">
        <v>20613</v>
      </c>
      <c r="I2501" s="9">
        <v>2</v>
      </c>
    </row>
    <row r="2502" spans="1:9">
      <c r="A2502" s="257" t="s">
        <v>3600</v>
      </c>
      <c r="B2502" s="9">
        <v>6</v>
      </c>
      <c r="C2502" s="257" t="s">
        <v>10775</v>
      </c>
      <c r="D2502" s="9">
        <v>0</v>
      </c>
      <c r="E2502" s="9">
        <v>1727309.5965805054</v>
      </c>
      <c r="F2502" s="257" t="s">
        <v>15139</v>
      </c>
      <c r="G2502" s="9"/>
      <c r="H2502" s="257" t="s">
        <v>20614</v>
      </c>
      <c r="I2502" s="9">
        <v>2</v>
      </c>
    </row>
    <row r="2503" spans="1:9">
      <c r="A2503" s="257" t="s">
        <v>3601</v>
      </c>
      <c r="B2503" s="9">
        <v>6</v>
      </c>
      <c r="C2503" s="257" t="s">
        <v>10776</v>
      </c>
      <c r="D2503" s="9">
        <v>0</v>
      </c>
      <c r="E2503" s="9">
        <v>1727309.5965805054</v>
      </c>
      <c r="F2503" s="257" t="s">
        <v>15139</v>
      </c>
      <c r="G2503" s="9"/>
      <c r="H2503" s="257" t="s">
        <v>20615</v>
      </c>
      <c r="I2503" s="9">
        <v>2</v>
      </c>
    </row>
    <row r="2504" spans="1:9">
      <c r="A2504" s="257" t="s">
        <v>3602</v>
      </c>
      <c r="B2504" s="9">
        <v>6</v>
      </c>
      <c r="C2504" s="257" t="s">
        <v>10777</v>
      </c>
      <c r="D2504" s="9">
        <v>0</v>
      </c>
      <c r="E2504" s="9">
        <v>1727309.5965805054</v>
      </c>
      <c r="F2504" s="257" t="s">
        <v>15139</v>
      </c>
      <c r="G2504" s="9"/>
      <c r="H2504" s="257" t="s">
        <v>20616</v>
      </c>
      <c r="I2504" s="9">
        <v>2</v>
      </c>
    </row>
    <row r="2505" spans="1:9">
      <c r="A2505" s="257" t="s">
        <v>3603</v>
      </c>
      <c r="B2505" s="9">
        <v>6</v>
      </c>
      <c r="C2505" s="257" t="s">
        <v>10778</v>
      </c>
      <c r="D2505" s="9">
        <v>0</v>
      </c>
      <c r="E2505" s="9">
        <v>1727309.5965805054</v>
      </c>
      <c r="F2505" s="257" t="s">
        <v>15139</v>
      </c>
      <c r="G2505" s="9"/>
      <c r="H2505" s="257" t="s">
        <v>20617</v>
      </c>
      <c r="I2505" s="9">
        <v>2</v>
      </c>
    </row>
    <row r="2506" spans="1:9">
      <c r="A2506" s="257" t="s">
        <v>3604</v>
      </c>
      <c r="B2506" s="9">
        <v>6</v>
      </c>
      <c r="C2506" s="257" t="s">
        <v>10779</v>
      </c>
      <c r="D2506" s="9">
        <v>1126215.7252044678</v>
      </c>
      <c r="E2506" s="9">
        <v>1727309.5965805054</v>
      </c>
      <c r="F2506" s="257" t="s">
        <v>15140</v>
      </c>
      <c r="G2506" s="9"/>
      <c r="H2506" s="257" t="s">
        <v>20618</v>
      </c>
      <c r="I2506" s="9">
        <v>2</v>
      </c>
    </row>
    <row r="2507" spans="1:9">
      <c r="A2507" s="257" t="s">
        <v>3605</v>
      </c>
      <c r="B2507" s="9">
        <v>6</v>
      </c>
      <c r="C2507" s="257" t="s">
        <v>10780</v>
      </c>
      <c r="D2507" s="9">
        <v>325655174.33821023</v>
      </c>
      <c r="E2507" s="9">
        <v>1727309.5965805054</v>
      </c>
      <c r="F2507" s="257" t="s">
        <v>15140</v>
      </c>
      <c r="G2507" s="9"/>
      <c r="H2507" s="257" t="s">
        <v>20619</v>
      </c>
      <c r="I2507" s="9">
        <v>2</v>
      </c>
    </row>
    <row r="2508" spans="1:9">
      <c r="A2508" s="257" t="s">
        <v>3606</v>
      </c>
      <c r="B2508" s="9">
        <v>6</v>
      </c>
      <c r="C2508" s="257" t="s">
        <v>10781</v>
      </c>
      <c r="D2508" s="9">
        <v>0.65200571306614508</v>
      </c>
      <c r="E2508" s="9">
        <v>1727309.5965805054</v>
      </c>
      <c r="F2508" s="257" t="s">
        <v>15140</v>
      </c>
      <c r="G2508" s="9"/>
      <c r="H2508" s="257" t="s">
        <v>20620</v>
      </c>
      <c r="I2508" s="9">
        <v>2</v>
      </c>
    </row>
    <row r="2509" spans="1:9">
      <c r="A2509" s="257" t="s">
        <v>3607</v>
      </c>
      <c r="B2509" s="9">
        <v>6</v>
      </c>
      <c r="C2509" s="257" t="s">
        <v>10782</v>
      </c>
      <c r="D2509" s="9">
        <v>188.53318188175322</v>
      </c>
      <c r="E2509" s="9">
        <v>1727309.5965805054</v>
      </c>
      <c r="F2509" s="257" t="s">
        <v>15140</v>
      </c>
      <c r="G2509" s="9"/>
      <c r="H2509" s="257" t="s">
        <v>20621</v>
      </c>
      <c r="I2509" s="9">
        <v>2</v>
      </c>
    </row>
    <row r="2510" spans="1:9">
      <c r="A2510" s="257" t="s">
        <v>3608</v>
      </c>
      <c r="B2510" s="9">
        <v>6</v>
      </c>
      <c r="C2510" s="257" t="s">
        <v>10783</v>
      </c>
      <c r="D2510" s="9">
        <v>0</v>
      </c>
      <c r="E2510" s="9">
        <v>1727309.5965805054</v>
      </c>
      <c r="F2510" s="257" t="s">
        <v>15141</v>
      </c>
      <c r="G2510" s="9"/>
      <c r="H2510" s="257" t="s">
        <v>20622</v>
      </c>
      <c r="I2510" s="9">
        <v>2</v>
      </c>
    </row>
    <row r="2511" spans="1:9">
      <c r="A2511" s="257" t="s">
        <v>3609</v>
      </c>
      <c r="B2511" s="9">
        <v>6</v>
      </c>
      <c r="C2511" s="257" t="s">
        <v>10784</v>
      </c>
      <c r="D2511" s="9">
        <v>0</v>
      </c>
      <c r="E2511" s="9">
        <v>1727309.5965805054</v>
      </c>
      <c r="F2511" s="257" t="s">
        <v>15141</v>
      </c>
      <c r="G2511" s="9"/>
      <c r="H2511" s="257" t="s">
        <v>20623</v>
      </c>
      <c r="I2511" s="9">
        <v>2</v>
      </c>
    </row>
    <row r="2512" spans="1:9">
      <c r="A2512" s="257" t="s">
        <v>3610</v>
      </c>
      <c r="B2512" s="9">
        <v>6</v>
      </c>
      <c r="C2512" s="257" t="s">
        <v>10785</v>
      </c>
      <c r="D2512" s="9">
        <v>0</v>
      </c>
      <c r="E2512" s="9">
        <v>1727309.5965805054</v>
      </c>
      <c r="F2512" s="257" t="s">
        <v>15141</v>
      </c>
      <c r="G2512" s="9"/>
      <c r="H2512" s="257" t="s">
        <v>20624</v>
      </c>
      <c r="I2512" s="9">
        <v>2</v>
      </c>
    </row>
    <row r="2513" spans="1:9">
      <c r="A2513" s="257" t="s">
        <v>3611</v>
      </c>
      <c r="B2513" s="9">
        <v>6</v>
      </c>
      <c r="C2513" s="257" t="s">
        <v>10786</v>
      </c>
      <c r="D2513" s="9">
        <v>0</v>
      </c>
      <c r="E2513" s="9">
        <v>1727309.5965805054</v>
      </c>
      <c r="F2513" s="257" t="s">
        <v>15141</v>
      </c>
      <c r="G2513" s="9"/>
      <c r="H2513" s="257" t="s">
        <v>20625</v>
      </c>
      <c r="I2513" s="9">
        <v>2</v>
      </c>
    </row>
    <row r="2514" spans="1:9">
      <c r="A2514" s="257" t="s">
        <v>3612</v>
      </c>
      <c r="B2514" s="9">
        <v>6</v>
      </c>
      <c r="C2514" s="257" t="s">
        <v>10787</v>
      </c>
      <c r="D2514" s="9">
        <v>1727309.5965805054</v>
      </c>
      <c r="E2514" s="9">
        <v>1727309.5965805054</v>
      </c>
      <c r="F2514" s="257" t="s">
        <v>15142</v>
      </c>
      <c r="G2514" s="9"/>
      <c r="H2514" s="257" t="s">
        <v>20626</v>
      </c>
      <c r="I2514" s="9">
        <v>2</v>
      </c>
    </row>
    <row r="2515" spans="1:9">
      <c r="A2515" s="257" t="s">
        <v>3613</v>
      </c>
      <c r="B2515" s="9">
        <v>6</v>
      </c>
      <c r="C2515" s="257" t="s">
        <v>10788</v>
      </c>
      <c r="D2515" s="9">
        <v>9789068474.2928715</v>
      </c>
      <c r="E2515" s="9">
        <v>1727309.5965805054</v>
      </c>
      <c r="F2515" s="257" t="s">
        <v>15142</v>
      </c>
      <c r="G2515" s="9"/>
      <c r="H2515" s="257" t="s">
        <v>20627</v>
      </c>
      <c r="I2515" s="9">
        <v>2</v>
      </c>
    </row>
    <row r="2516" spans="1:9">
      <c r="A2516" s="257" t="s">
        <v>3614</v>
      </c>
      <c r="B2516" s="9">
        <v>6</v>
      </c>
      <c r="C2516" s="257" t="s">
        <v>10789</v>
      </c>
      <c r="D2516" s="9">
        <v>1</v>
      </c>
      <c r="E2516" s="9">
        <v>1727309.5965805054</v>
      </c>
      <c r="F2516" s="257" t="s">
        <v>15142</v>
      </c>
      <c r="G2516" s="9"/>
      <c r="H2516" s="257" t="s">
        <v>20628</v>
      </c>
      <c r="I2516" s="9">
        <v>2</v>
      </c>
    </row>
    <row r="2517" spans="1:9">
      <c r="A2517" s="257" t="s">
        <v>3615</v>
      </c>
      <c r="B2517" s="9">
        <v>6</v>
      </c>
      <c r="C2517" s="257" t="s">
        <v>10790</v>
      </c>
      <c r="D2517" s="9">
        <v>5667.2344631627993</v>
      </c>
      <c r="E2517" s="9">
        <v>1727309.5965805054</v>
      </c>
      <c r="F2517" s="257" t="s">
        <v>15142</v>
      </c>
      <c r="G2517" s="9"/>
      <c r="H2517" s="257" t="s">
        <v>20629</v>
      </c>
      <c r="I2517" s="9">
        <v>2</v>
      </c>
    </row>
    <row r="2518" spans="1:9">
      <c r="A2518" s="257" t="s">
        <v>3616</v>
      </c>
      <c r="B2518" s="9">
        <v>6</v>
      </c>
      <c r="C2518" s="257" t="s">
        <v>10791</v>
      </c>
      <c r="D2518" s="9">
        <v>1727309.5965805054</v>
      </c>
      <c r="E2518" s="9">
        <v>1727309.5965805054</v>
      </c>
      <c r="F2518" s="257" t="s">
        <v>15143</v>
      </c>
      <c r="G2518" s="9"/>
      <c r="H2518" s="257" t="s">
        <v>20630</v>
      </c>
      <c r="I2518" s="9">
        <v>2</v>
      </c>
    </row>
    <row r="2519" spans="1:9">
      <c r="A2519" s="257" t="s">
        <v>3617</v>
      </c>
      <c r="B2519" s="9">
        <v>6</v>
      </c>
      <c r="C2519" s="257" t="s">
        <v>10792</v>
      </c>
      <c r="D2519" s="9">
        <v>9463413299.9546604</v>
      </c>
      <c r="E2519" s="9">
        <v>1727309.5965805054</v>
      </c>
      <c r="F2519" s="257" t="s">
        <v>15143</v>
      </c>
      <c r="G2519" s="9"/>
      <c r="H2519" s="257" t="s">
        <v>20631</v>
      </c>
      <c r="I2519" s="9">
        <v>2</v>
      </c>
    </row>
    <row r="2520" spans="1:9">
      <c r="A2520" s="257" t="s">
        <v>3618</v>
      </c>
      <c r="B2520" s="9">
        <v>6</v>
      </c>
      <c r="C2520" s="257" t="s">
        <v>10793</v>
      </c>
      <c r="D2520" s="9">
        <v>1</v>
      </c>
      <c r="E2520" s="9">
        <v>1727309.5965805054</v>
      </c>
      <c r="F2520" s="257" t="s">
        <v>15143</v>
      </c>
      <c r="G2520" s="9"/>
      <c r="H2520" s="257" t="s">
        <v>20632</v>
      </c>
      <c r="I2520" s="9">
        <v>2</v>
      </c>
    </row>
    <row r="2521" spans="1:9">
      <c r="A2521" s="257" t="s">
        <v>3619</v>
      </c>
      <c r="B2521" s="9">
        <v>6</v>
      </c>
      <c r="C2521" s="257" t="s">
        <v>10794</v>
      </c>
      <c r="D2521" s="9">
        <v>5478.7012812810453</v>
      </c>
      <c r="E2521" s="9">
        <v>1727309.5965805054</v>
      </c>
      <c r="F2521" s="257" t="s">
        <v>15143</v>
      </c>
      <c r="G2521" s="9"/>
      <c r="H2521" s="257" t="s">
        <v>20633</v>
      </c>
      <c r="I2521" s="9">
        <v>2</v>
      </c>
    </row>
    <row r="2522" spans="1:9">
      <c r="A2522" s="257" t="s">
        <v>3620</v>
      </c>
      <c r="B2522" s="9">
        <v>6</v>
      </c>
      <c r="C2522" s="257" t="s">
        <v>10795</v>
      </c>
      <c r="D2522" s="9">
        <v>1727309.5965805054</v>
      </c>
      <c r="E2522" s="9">
        <v>1727309.5965805054</v>
      </c>
      <c r="F2522" s="257" t="s">
        <v>15144</v>
      </c>
      <c r="G2522" s="9"/>
      <c r="H2522" s="257" t="s">
        <v>20634</v>
      </c>
      <c r="I2522" s="9">
        <v>2</v>
      </c>
    </row>
    <row r="2523" spans="1:9">
      <c r="A2523" s="257" t="s">
        <v>3621</v>
      </c>
      <c r="B2523" s="9">
        <v>6</v>
      </c>
      <c r="C2523" s="257" t="s">
        <v>10796</v>
      </c>
      <c r="D2523" s="9">
        <v>9789068474.2928715</v>
      </c>
      <c r="E2523" s="9">
        <v>1727309.5965805054</v>
      </c>
      <c r="F2523" s="257" t="s">
        <v>15144</v>
      </c>
      <c r="G2523" s="9"/>
      <c r="H2523" s="257" t="s">
        <v>20635</v>
      </c>
      <c r="I2523" s="9">
        <v>2</v>
      </c>
    </row>
    <row r="2524" spans="1:9">
      <c r="A2524" s="257" t="s">
        <v>3622</v>
      </c>
      <c r="B2524" s="9">
        <v>6</v>
      </c>
      <c r="C2524" s="257" t="s">
        <v>10797</v>
      </c>
      <c r="D2524" s="9">
        <v>1</v>
      </c>
      <c r="E2524" s="9">
        <v>1727309.5965805054</v>
      </c>
      <c r="F2524" s="257" t="s">
        <v>15144</v>
      </c>
      <c r="G2524" s="9"/>
      <c r="H2524" s="257" t="s">
        <v>20636</v>
      </c>
      <c r="I2524" s="9">
        <v>2</v>
      </c>
    </row>
    <row r="2525" spans="1:9">
      <c r="A2525" s="257" t="s">
        <v>3623</v>
      </c>
      <c r="B2525" s="9">
        <v>6</v>
      </c>
      <c r="C2525" s="257" t="s">
        <v>10798</v>
      </c>
      <c r="D2525" s="9">
        <v>5667.2344631627993</v>
      </c>
      <c r="E2525" s="9">
        <v>1727309.5965805054</v>
      </c>
      <c r="F2525" s="257" t="s">
        <v>15144</v>
      </c>
      <c r="G2525" s="9"/>
      <c r="H2525" s="257" t="s">
        <v>20637</v>
      </c>
      <c r="I2525" s="9">
        <v>2</v>
      </c>
    </row>
    <row r="2526" spans="1:9">
      <c r="A2526" s="257" t="s">
        <v>3624</v>
      </c>
      <c r="B2526" s="9">
        <v>6</v>
      </c>
      <c r="C2526" s="257" t="s">
        <v>10799</v>
      </c>
      <c r="D2526" s="9">
        <v>1727309.5965805054</v>
      </c>
      <c r="E2526" s="9">
        <v>1727309.5965805054</v>
      </c>
      <c r="F2526" s="257" t="s">
        <v>15145</v>
      </c>
      <c r="G2526" s="9"/>
      <c r="H2526" s="257" t="s">
        <v>20638</v>
      </c>
      <c r="I2526" s="9">
        <v>2</v>
      </c>
    </row>
    <row r="2527" spans="1:9">
      <c r="A2527" s="257" t="s">
        <v>3625</v>
      </c>
      <c r="B2527" s="9">
        <v>6</v>
      </c>
      <c r="C2527" s="257" t="s">
        <v>10800</v>
      </c>
      <c r="D2527" s="9">
        <v>1930189043.9493206</v>
      </c>
      <c r="E2527" s="9">
        <v>1727309.5965805054</v>
      </c>
      <c r="F2527" s="257" t="s">
        <v>15145</v>
      </c>
      <c r="G2527" s="9"/>
      <c r="H2527" s="257" t="s">
        <v>20639</v>
      </c>
      <c r="I2527" s="9">
        <v>2</v>
      </c>
    </row>
    <row r="2528" spans="1:9">
      <c r="A2528" s="257" t="s">
        <v>3626</v>
      </c>
      <c r="B2528" s="9">
        <v>6</v>
      </c>
      <c r="C2528" s="257" t="s">
        <v>10801</v>
      </c>
      <c r="D2528" s="9">
        <v>1</v>
      </c>
      <c r="E2528" s="9">
        <v>1727309.5965805054</v>
      </c>
      <c r="F2528" s="257" t="s">
        <v>15145</v>
      </c>
      <c r="G2528" s="9"/>
      <c r="H2528" s="257" t="s">
        <v>20640</v>
      </c>
      <c r="I2528" s="9">
        <v>2</v>
      </c>
    </row>
    <row r="2529" spans="1:9">
      <c r="A2529" s="257" t="s">
        <v>3627</v>
      </c>
      <c r="B2529" s="9">
        <v>6</v>
      </c>
      <c r="C2529" s="257" t="s">
        <v>10802</v>
      </c>
      <c r="D2529" s="9">
        <v>1117.4540150592857</v>
      </c>
      <c r="E2529" s="9">
        <v>1727309.5965805054</v>
      </c>
      <c r="F2529" s="257" t="s">
        <v>15145</v>
      </c>
      <c r="G2529" s="9"/>
      <c r="H2529" s="257" t="s">
        <v>20641</v>
      </c>
      <c r="I2529" s="9">
        <v>2</v>
      </c>
    </row>
    <row r="2530" spans="1:9">
      <c r="A2530" s="257" t="s">
        <v>3628</v>
      </c>
      <c r="B2530" s="9">
        <v>6</v>
      </c>
      <c r="C2530" s="257" t="s">
        <v>10803</v>
      </c>
      <c r="D2530" s="9">
        <v>1105652.1534729004</v>
      </c>
      <c r="E2530" s="9">
        <v>1727309.5965805054</v>
      </c>
      <c r="F2530" s="257" t="s">
        <v>15146</v>
      </c>
      <c r="G2530" s="9"/>
      <c r="H2530" s="257" t="s">
        <v>20642</v>
      </c>
      <c r="I2530" s="9">
        <v>2</v>
      </c>
    </row>
    <row r="2531" spans="1:9">
      <c r="A2531" s="257" t="s">
        <v>3629</v>
      </c>
      <c r="B2531" s="9">
        <v>6</v>
      </c>
      <c r="C2531" s="257" t="s">
        <v>10804</v>
      </c>
      <c r="D2531" s="9">
        <v>2567458384.9194865</v>
      </c>
      <c r="E2531" s="9">
        <v>1727309.5965805054</v>
      </c>
      <c r="F2531" s="257" t="s">
        <v>15146</v>
      </c>
      <c r="G2531" s="9"/>
      <c r="H2531" s="257" t="s">
        <v>20643</v>
      </c>
      <c r="I2531" s="9">
        <v>2</v>
      </c>
    </row>
    <row r="2532" spans="1:9">
      <c r="A2532" s="257" t="s">
        <v>3630</v>
      </c>
      <c r="B2532" s="9">
        <v>6</v>
      </c>
      <c r="C2532" s="257" t="s">
        <v>10805</v>
      </c>
      <c r="D2532" s="9">
        <v>0.6401007414430635</v>
      </c>
      <c r="E2532" s="9">
        <v>1727309.5965805054</v>
      </c>
      <c r="F2532" s="257" t="s">
        <v>15146</v>
      </c>
      <c r="G2532" s="9"/>
      <c r="H2532" s="257" t="s">
        <v>20644</v>
      </c>
      <c r="I2532" s="9">
        <v>2</v>
      </c>
    </row>
    <row r="2533" spans="1:9">
      <c r="A2533" s="257" t="s">
        <v>3631</v>
      </c>
      <c r="B2533" s="9">
        <v>6</v>
      </c>
      <c r="C2533" s="257" t="s">
        <v>10806</v>
      </c>
      <c r="D2533" s="9">
        <v>1486.3915478743327</v>
      </c>
      <c r="E2533" s="9">
        <v>1727309.5965805054</v>
      </c>
      <c r="F2533" s="257" t="s">
        <v>15146</v>
      </c>
      <c r="G2533" s="9"/>
      <c r="H2533" s="257" t="s">
        <v>20645</v>
      </c>
      <c r="I2533" s="9">
        <v>2</v>
      </c>
    </row>
    <row r="2534" spans="1:9">
      <c r="A2534" s="257" t="s">
        <v>3632</v>
      </c>
      <c r="B2534" s="9">
        <v>6</v>
      </c>
      <c r="C2534" s="257" t="s">
        <v>10807</v>
      </c>
      <c r="D2534" s="9">
        <v>1727309.5965805054</v>
      </c>
      <c r="E2534" s="9">
        <v>1727309.5965805054</v>
      </c>
      <c r="F2534" s="257" t="s">
        <v>15147</v>
      </c>
      <c r="G2534" s="9"/>
      <c r="H2534" s="257" t="s">
        <v>20646</v>
      </c>
      <c r="I2534" s="9">
        <v>2</v>
      </c>
    </row>
    <row r="2535" spans="1:9">
      <c r="A2535" s="257" t="s">
        <v>3633</v>
      </c>
      <c r="B2535" s="9">
        <v>6</v>
      </c>
      <c r="C2535" s="257" t="s">
        <v>10808</v>
      </c>
      <c r="D2535" s="9">
        <v>12030871684.874147</v>
      </c>
      <c r="E2535" s="9">
        <v>1727309.5965805054</v>
      </c>
      <c r="F2535" s="257" t="s">
        <v>15147</v>
      </c>
      <c r="G2535" s="9"/>
      <c r="H2535" s="257" t="s">
        <v>20647</v>
      </c>
      <c r="I2535" s="9">
        <v>2</v>
      </c>
    </row>
    <row r="2536" spans="1:9">
      <c r="A2536" s="257" t="s">
        <v>3634</v>
      </c>
      <c r="B2536" s="9">
        <v>6</v>
      </c>
      <c r="C2536" s="257" t="s">
        <v>10809</v>
      </c>
      <c r="D2536" s="9">
        <v>1</v>
      </c>
      <c r="E2536" s="9">
        <v>1727309.5965805054</v>
      </c>
      <c r="F2536" s="257" t="s">
        <v>15147</v>
      </c>
      <c r="G2536" s="9"/>
      <c r="H2536" s="257" t="s">
        <v>20648</v>
      </c>
      <c r="I2536" s="9">
        <v>2</v>
      </c>
    </row>
    <row r="2537" spans="1:9">
      <c r="A2537" s="257" t="s">
        <v>3635</v>
      </c>
      <c r="B2537" s="9">
        <v>6</v>
      </c>
      <c r="C2537" s="257" t="s">
        <v>10810</v>
      </c>
      <c r="D2537" s="9">
        <v>6965.0928291553782</v>
      </c>
      <c r="E2537" s="9">
        <v>1727309.5965805054</v>
      </c>
      <c r="F2537" s="257" t="s">
        <v>15147</v>
      </c>
      <c r="G2537" s="9"/>
      <c r="H2537" s="257" t="s">
        <v>20649</v>
      </c>
      <c r="I2537" s="9">
        <v>2</v>
      </c>
    </row>
    <row r="2538" spans="1:9">
      <c r="A2538" s="257" t="s">
        <v>3636</v>
      </c>
      <c r="B2538" s="9">
        <v>6</v>
      </c>
      <c r="C2538" s="257" t="s">
        <v>10811</v>
      </c>
      <c r="D2538" s="9">
        <v>1727309.5965805054</v>
      </c>
      <c r="E2538" s="9">
        <v>1727309.5965805054</v>
      </c>
      <c r="F2538" s="257" t="s">
        <v>15148</v>
      </c>
      <c r="G2538" s="9"/>
      <c r="H2538" s="257" t="s">
        <v>20650</v>
      </c>
      <c r="I2538" s="9">
        <v>2</v>
      </c>
    </row>
    <row r="2539" spans="1:9">
      <c r="A2539" s="257" t="s">
        <v>3637</v>
      </c>
      <c r="B2539" s="9">
        <v>6</v>
      </c>
      <c r="C2539" s="257" t="s">
        <v>10812</v>
      </c>
      <c r="D2539" s="9">
        <v>12356526859.212358</v>
      </c>
      <c r="E2539" s="9">
        <v>1727309.5965805054</v>
      </c>
      <c r="F2539" s="257" t="s">
        <v>15148</v>
      </c>
      <c r="G2539" s="9"/>
      <c r="H2539" s="257" t="s">
        <v>20651</v>
      </c>
      <c r="I2539" s="9">
        <v>2</v>
      </c>
    </row>
    <row r="2540" spans="1:9">
      <c r="A2540" s="257" t="s">
        <v>3638</v>
      </c>
      <c r="B2540" s="9">
        <v>6</v>
      </c>
      <c r="C2540" s="257" t="s">
        <v>10813</v>
      </c>
      <c r="D2540" s="9">
        <v>1</v>
      </c>
      <c r="E2540" s="9">
        <v>1727309.5965805054</v>
      </c>
      <c r="F2540" s="257" t="s">
        <v>15148</v>
      </c>
      <c r="G2540" s="9"/>
      <c r="H2540" s="257" t="s">
        <v>20652</v>
      </c>
      <c r="I2540" s="9">
        <v>2</v>
      </c>
    </row>
    <row r="2541" spans="1:9">
      <c r="A2541" s="257" t="s">
        <v>3639</v>
      </c>
      <c r="B2541" s="9">
        <v>6</v>
      </c>
      <c r="C2541" s="257" t="s">
        <v>10814</v>
      </c>
      <c r="D2541" s="9">
        <v>7153.6260110371322</v>
      </c>
      <c r="E2541" s="9">
        <v>1727309.5965805054</v>
      </c>
      <c r="F2541" s="257" t="s">
        <v>15148</v>
      </c>
      <c r="G2541" s="9"/>
      <c r="H2541" s="257" t="s">
        <v>20653</v>
      </c>
      <c r="I2541" s="9">
        <v>2</v>
      </c>
    </row>
    <row r="2542" spans="1:9">
      <c r="A2542" s="257" t="s">
        <v>3640</v>
      </c>
      <c r="B2542" s="9">
        <v>6</v>
      </c>
      <c r="C2542" s="257" t="s">
        <v>10815</v>
      </c>
      <c r="D2542" s="9">
        <v>1121974.5768280029</v>
      </c>
      <c r="E2542" s="9">
        <v>1727309.5965805054</v>
      </c>
      <c r="F2542" s="257" t="s">
        <v>15149</v>
      </c>
      <c r="G2542" s="9"/>
      <c r="H2542" s="257" t="s">
        <v>20654</v>
      </c>
      <c r="I2542" s="9">
        <v>2</v>
      </c>
    </row>
    <row r="2543" spans="1:9">
      <c r="A2543" s="257" t="s">
        <v>3641</v>
      </c>
      <c r="B2543" s="9">
        <v>6</v>
      </c>
      <c r="C2543" s="257" t="s">
        <v>10816</v>
      </c>
      <c r="D2543" s="9">
        <v>6129300298.6910877</v>
      </c>
      <c r="E2543" s="9">
        <v>1727309.5965805054</v>
      </c>
      <c r="F2543" s="257" t="s">
        <v>15149</v>
      </c>
      <c r="G2543" s="9"/>
      <c r="H2543" s="257" t="s">
        <v>20655</v>
      </c>
      <c r="I2543" s="9">
        <v>2</v>
      </c>
    </row>
    <row r="2544" spans="1:9">
      <c r="A2544" s="257" t="s">
        <v>3642</v>
      </c>
      <c r="B2544" s="9">
        <v>6</v>
      </c>
      <c r="C2544" s="257" t="s">
        <v>10817</v>
      </c>
      <c r="D2544" s="9">
        <v>0.64955036378489239</v>
      </c>
      <c r="E2544" s="9">
        <v>1727309.5965805054</v>
      </c>
      <c r="F2544" s="257" t="s">
        <v>15149</v>
      </c>
      <c r="G2544" s="9"/>
      <c r="H2544" s="257" t="s">
        <v>20656</v>
      </c>
      <c r="I2544" s="9">
        <v>2</v>
      </c>
    </row>
    <row r="2545" spans="1:9">
      <c r="A2545" s="257" t="s">
        <v>3643</v>
      </c>
      <c r="B2545" s="9">
        <v>6</v>
      </c>
      <c r="C2545" s="257" t="s">
        <v>10818</v>
      </c>
      <c r="D2545" s="9">
        <v>3548.4665347920545</v>
      </c>
      <c r="E2545" s="9">
        <v>1727309.5965805054</v>
      </c>
      <c r="F2545" s="257" t="s">
        <v>15149</v>
      </c>
      <c r="G2545" s="9"/>
      <c r="H2545" s="257" t="s">
        <v>20657</v>
      </c>
      <c r="I2545" s="9">
        <v>2</v>
      </c>
    </row>
    <row r="2546" spans="1:9">
      <c r="A2546" s="257" t="s">
        <v>3644</v>
      </c>
      <c r="B2546" s="9">
        <v>6</v>
      </c>
      <c r="C2546" s="257" t="s">
        <v>10819</v>
      </c>
      <c r="D2546" s="9">
        <v>1121974.5768280029</v>
      </c>
      <c r="E2546" s="9">
        <v>1727309.5965805054</v>
      </c>
      <c r="F2546" s="257" t="s">
        <v>15150</v>
      </c>
      <c r="G2546" s="9"/>
      <c r="H2546" s="257" t="s">
        <v>20658</v>
      </c>
      <c r="I2546" s="9">
        <v>2</v>
      </c>
    </row>
    <row r="2547" spans="1:9">
      <c r="A2547" s="257" t="s">
        <v>3645</v>
      </c>
      <c r="B2547" s="9">
        <v>6</v>
      </c>
      <c r="C2547" s="257" t="s">
        <v>10820</v>
      </c>
      <c r="D2547" s="9">
        <v>6454955473.0292978</v>
      </c>
      <c r="E2547" s="9">
        <v>1727309.5965805054</v>
      </c>
      <c r="F2547" s="257" t="s">
        <v>15150</v>
      </c>
      <c r="G2547" s="9"/>
      <c r="H2547" s="257" t="s">
        <v>20659</v>
      </c>
      <c r="I2547" s="9">
        <v>2</v>
      </c>
    </row>
    <row r="2548" spans="1:9">
      <c r="A2548" s="257" t="s">
        <v>3646</v>
      </c>
      <c r="B2548" s="9">
        <v>6</v>
      </c>
      <c r="C2548" s="257" t="s">
        <v>10821</v>
      </c>
      <c r="D2548" s="9">
        <v>0.64955036378489239</v>
      </c>
      <c r="E2548" s="9">
        <v>1727309.5965805054</v>
      </c>
      <c r="F2548" s="257" t="s">
        <v>15150</v>
      </c>
      <c r="G2548" s="9"/>
      <c r="H2548" s="257" t="s">
        <v>20660</v>
      </c>
      <c r="I2548" s="9">
        <v>2</v>
      </c>
    </row>
    <row r="2549" spans="1:9">
      <c r="A2549" s="257" t="s">
        <v>3647</v>
      </c>
      <c r="B2549" s="9">
        <v>6</v>
      </c>
      <c r="C2549" s="257" t="s">
        <v>10822</v>
      </c>
      <c r="D2549" s="9">
        <v>3736.9997166738076</v>
      </c>
      <c r="E2549" s="9">
        <v>1727309.5965805054</v>
      </c>
      <c r="F2549" s="257" t="s">
        <v>15150</v>
      </c>
      <c r="G2549" s="9"/>
      <c r="H2549" s="257" t="s">
        <v>20661</v>
      </c>
      <c r="I2549" s="9">
        <v>2</v>
      </c>
    </row>
    <row r="2550" spans="1:9">
      <c r="A2550" s="257" t="s">
        <v>3648</v>
      </c>
      <c r="B2550" s="9">
        <v>6</v>
      </c>
      <c r="C2550" s="257" t="s">
        <v>10823</v>
      </c>
      <c r="D2550" s="9">
        <v>1727309.5965805054</v>
      </c>
      <c r="E2550" s="9">
        <v>1727309.5965805054</v>
      </c>
      <c r="F2550" s="257" t="s">
        <v>15151</v>
      </c>
      <c r="G2550" s="9"/>
      <c r="H2550" s="257" t="s">
        <v>20662</v>
      </c>
      <c r="I2550" s="9">
        <v>2</v>
      </c>
    </row>
    <row r="2551" spans="1:9">
      <c r="A2551" s="257" t="s">
        <v>3649</v>
      </c>
      <c r="B2551" s="9">
        <v>6</v>
      </c>
      <c r="C2551" s="257" t="s">
        <v>10824</v>
      </c>
      <c r="D2551" s="9">
        <v>3334113001.2635736</v>
      </c>
      <c r="E2551" s="9">
        <v>1727309.5965805054</v>
      </c>
      <c r="F2551" s="257" t="s">
        <v>15151</v>
      </c>
      <c r="G2551" s="9"/>
      <c r="H2551" s="257" t="s">
        <v>20663</v>
      </c>
      <c r="I2551" s="9">
        <v>2</v>
      </c>
    </row>
    <row r="2552" spans="1:9">
      <c r="A2552" s="257" t="s">
        <v>3650</v>
      </c>
      <c r="B2552" s="9">
        <v>6</v>
      </c>
      <c r="C2552" s="257" t="s">
        <v>10825</v>
      </c>
      <c r="D2552" s="9">
        <v>1</v>
      </c>
      <c r="E2552" s="9">
        <v>1727309.5965805054</v>
      </c>
      <c r="F2552" s="257" t="s">
        <v>15151</v>
      </c>
      <c r="G2552" s="9"/>
      <c r="H2552" s="257" t="s">
        <v>20664</v>
      </c>
      <c r="I2552" s="9">
        <v>2</v>
      </c>
    </row>
    <row r="2553" spans="1:9">
      <c r="A2553" s="257" t="s">
        <v>3651</v>
      </c>
      <c r="B2553" s="9">
        <v>6</v>
      </c>
      <c r="C2553" s="257" t="s">
        <v>10826</v>
      </c>
      <c r="D2553" s="9">
        <v>1930.2347464889913</v>
      </c>
      <c r="E2553" s="9">
        <v>1727309.5965805054</v>
      </c>
      <c r="F2553" s="257" t="s">
        <v>15151</v>
      </c>
      <c r="G2553" s="9"/>
      <c r="H2553" s="257" t="s">
        <v>20665</v>
      </c>
      <c r="I2553" s="9">
        <v>2</v>
      </c>
    </row>
    <row r="2554" spans="1:9">
      <c r="A2554" s="257" t="s">
        <v>3652</v>
      </c>
      <c r="B2554" s="9">
        <v>6</v>
      </c>
      <c r="C2554" s="257" t="s">
        <v>10827</v>
      </c>
      <c r="D2554" s="9">
        <v>1727309.5965805054</v>
      </c>
      <c r="E2554" s="9">
        <v>1727309.5965805054</v>
      </c>
      <c r="F2554" s="257" t="s">
        <v>15152</v>
      </c>
      <c r="G2554" s="9"/>
      <c r="H2554" s="257" t="s">
        <v>20666</v>
      </c>
      <c r="I2554" s="9">
        <v>2</v>
      </c>
    </row>
    <row r="2555" spans="1:9">
      <c r="A2555" s="257" t="s">
        <v>3653</v>
      </c>
      <c r="B2555" s="9">
        <v>6</v>
      </c>
      <c r="C2555" s="257" t="s">
        <v>10828</v>
      </c>
      <c r="D2555" s="9">
        <v>5586888788.5823269</v>
      </c>
      <c r="E2555" s="9">
        <v>1727309.5965805054</v>
      </c>
      <c r="F2555" s="257" t="s">
        <v>15152</v>
      </c>
      <c r="G2555" s="9"/>
      <c r="H2555" s="257" t="s">
        <v>20667</v>
      </c>
      <c r="I2555" s="9">
        <v>2</v>
      </c>
    </row>
    <row r="2556" spans="1:9">
      <c r="A2556" s="257" t="s">
        <v>3654</v>
      </c>
      <c r="B2556" s="9">
        <v>6</v>
      </c>
      <c r="C2556" s="257" t="s">
        <v>10829</v>
      </c>
      <c r="D2556" s="9">
        <v>1</v>
      </c>
      <c r="E2556" s="9">
        <v>1727309.5965805054</v>
      </c>
      <c r="F2556" s="257" t="s">
        <v>15152</v>
      </c>
      <c r="G2556" s="9"/>
      <c r="H2556" s="257" t="s">
        <v>20668</v>
      </c>
      <c r="I2556" s="9">
        <v>2</v>
      </c>
    </row>
    <row r="2557" spans="1:9">
      <c r="A2557" s="257" t="s">
        <v>3655</v>
      </c>
      <c r="B2557" s="9">
        <v>6</v>
      </c>
      <c r="C2557" s="257" t="s">
        <v>10830</v>
      </c>
      <c r="D2557" s="9">
        <v>3234.4455213138954</v>
      </c>
      <c r="E2557" s="9">
        <v>1727309.5965805054</v>
      </c>
      <c r="F2557" s="257" t="s">
        <v>15152</v>
      </c>
      <c r="G2557" s="9"/>
      <c r="H2557" s="257" t="s">
        <v>20669</v>
      </c>
      <c r="I2557" s="9">
        <v>2</v>
      </c>
    </row>
    <row r="2558" spans="1:9">
      <c r="A2558" s="257" t="s">
        <v>3656</v>
      </c>
      <c r="B2558" s="9">
        <v>6</v>
      </c>
      <c r="C2558" s="257" t="s">
        <v>10831</v>
      </c>
      <c r="D2558" s="9">
        <v>1131901.2208099365</v>
      </c>
      <c r="E2558" s="9">
        <v>1727309.5965805054</v>
      </c>
      <c r="F2558" s="257" t="s">
        <v>15153</v>
      </c>
      <c r="G2558" s="9"/>
      <c r="H2558" s="257" t="s">
        <v>20670</v>
      </c>
      <c r="I2558" s="9">
        <v>2</v>
      </c>
    </row>
    <row r="2559" spans="1:9">
      <c r="A2559" s="257" t="s">
        <v>3657</v>
      </c>
      <c r="B2559" s="9">
        <v>6</v>
      </c>
      <c r="C2559" s="257" t="s">
        <v>10832</v>
      </c>
      <c r="D2559" s="9">
        <v>7585410025.1642342</v>
      </c>
      <c r="E2559" s="9">
        <v>1727309.5965805054</v>
      </c>
      <c r="F2559" s="257" t="s">
        <v>15153</v>
      </c>
      <c r="G2559" s="9"/>
      <c r="H2559" s="257" t="s">
        <v>20671</v>
      </c>
      <c r="I2559" s="9">
        <v>2</v>
      </c>
    </row>
    <row r="2560" spans="1:9">
      <c r="A2560" s="257" t="s">
        <v>3658</v>
      </c>
      <c r="B2560" s="9">
        <v>6</v>
      </c>
      <c r="C2560" s="257" t="s">
        <v>10833</v>
      </c>
      <c r="D2560" s="9">
        <v>0.65529724552606083</v>
      </c>
      <c r="E2560" s="9">
        <v>1727309.5965805054</v>
      </c>
      <c r="F2560" s="257" t="s">
        <v>15153</v>
      </c>
      <c r="G2560" s="9"/>
      <c r="H2560" s="257" t="s">
        <v>20672</v>
      </c>
      <c r="I2560" s="9">
        <v>2</v>
      </c>
    </row>
    <row r="2561" spans="1:9">
      <c r="A2561" s="257" t="s">
        <v>3659</v>
      </c>
      <c r="B2561" s="9">
        <v>6</v>
      </c>
      <c r="C2561" s="257" t="s">
        <v>10834</v>
      </c>
      <c r="D2561" s="9">
        <v>4391.4594350548423</v>
      </c>
      <c r="E2561" s="9">
        <v>1727309.5965805054</v>
      </c>
      <c r="F2561" s="257" t="s">
        <v>15153</v>
      </c>
      <c r="G2561" s="9"/>
      <c r="H2561" s="257" t="s">
        <v>20673</v>
      </c>
      <c r="I2561" s="9">
        <v>2</v>
      </c>
    </row>
    <row r="2562" spans="1:9">
      <c r="A2562" s="257" t="s">
        <v>3660</v>
      </c>
      <c r="B2562" s="9">
        <v>6</v>
      </c>
      <c r="C2562" s="257" t="s">
        <v>10835</v>
      </c>
      <c r="D2562" s="9">
        <v>0</v>
      </c>
      <c r="E2562" s="9">
        <v>1727309.5965805054</v>
      </c>
      <c r="F2562" s="257" t="s">
        <v>15154</v>
      </c>
      <c r="G2562" s="9"/>
      <c r="H2562" s="257" t="s">
        <v>20674</v>
      </c>
      <c r="I2562" s="9">
        <v>2</v>
      </c>
    </row>
    <row r="2563" spans="1:9">
      <c r="A2563" s="257" t="s">
        <v>3661</v>
      </c>
      <c r="B2563" s="9">
        <v>6</v>
      </c>
      <c r="C2563" s="257" t="s">
        <v>10836</v>
      </c>
      <c r="D2563" s="9">
        <v>-815771954.53420365</v>
      </c>
      <c r="E2563" s="9">
        <v>1727309.5965805054</v>
      </c>
      <c r="F2563" s="257" t="s">
        <v>15154</v>
      </c>
      <c r="G2563" s="9"/>
      <c r="H2563" s="257" t="s">
        <v>20675</v>
      </c>
      <c r="I2563" s="9">
        <v>2</v>
      </c>
    </row>
    <row r="2564" spans="1:9">
      <c r="A2564" s="257" t="s">
        <v>3662</v>
      </c>
      <c r="B2564" s="9">
        <v>6</v>
      </c>
      <c r="C2564" s="257" t="s">
        <v>10837</v>
      </c>
      <c r="D2564" s="9">
        <v>0</v>
      </c>
      <c r="E2564" s="9">
        <v>1727309.5965805054</v>
      </c>
      <c r="F2564" s="257" t="s">
        <v>15154</v>
      </c>
      <c r="G2564" s="9"/>
      <c r="H2564" s="257" t="s">
        <v>20676</v>
      </c>
      <c r="I2564" s="9">
        <v>2</v>
      </c>
    </row>
    <row r="2565" spans="1:9">
      <c r="A2565" s="257" t="s">
        <v>3663</v>
      </c>
      <c r="B2565" s="9">
        <v>6</v>
      </c>
      <c r="C2565" s="257" t="s">
        <v>10838</v>
      </c>
      <c r="D2565" s="9">
        <v>-472.27894533160645</v>
      </c>
      <c r="E2565" s="9">
        <v>1727309.5965805054</v>
      </c>
      <c r="F2565" s="257" t="s">
        <v>15154</v>
      </c>
      <c r="G2565" s="9"/>
      <c r="H2565" s="257" t="s">
        <v>20677</v>
      </c>
      <c r="I2565" s="9">
        <v>2</v>
      </c>
    </row>
    <row r="2566" spans="1:9">
      <c r="A2566" s="257" t="s">
        <v>3664</v>
      </c>
      <c r="B2566" s="9">
        <v>6</v>
      </c>
      <c r="C2566" s="257" t="s">
        <v>10839</v>
      </c>
      <c r="D2566" s="9">
        <v>1121974.5768280029</v>
      </c>
      <c r="E2566" s="9">
        <v>1727309.5965805054</v>
      </c>
      <c r="F2566" s="257" t="s">
        <v>15155</v>
      </c>
      <c r="G2566" s="9"/>
      <c r="H2566" s="257" t="s">
        <v>20678</v>
      </c>
      <c r="I2566" s="9">
        <v>2</v>
      </c>
    </row>
    <row r="2567" spans="1:9">
      <c r="A2567" s="257" t="s">
        <v>3665</v>
      </c>
      <c r="B2567" s="9">
        <v>6</v>
      </c>
      <c r="C2567" s="257" t="s">
        <v>10840</v>
      </c>
      <c r="D2567" s="9">
        <v>6769638070.6300306</v>
      </c>
      <c r="E2567" s="9">
        <v>1727309.5965805054</v>
      </c>
      <c r="F2567" s="257" t="s">
        <v>15155</v>
      </c>
      <c r="G2567" s="9"/>
      <c r="H2567" s="257" t="s">
        <v>20679</v>
      </c>
      <c r="I2567" s="9">
        <v>2</v>
      </c>
    </row>
    <row r="2568" spans="1:9">
      <c r="A2568" s="257" t="s">
        <v>3666</v>
      </c>
      <c r="B2568" s="9">
        <v>6</v>
      </c>
      <c r="C2568" s="257" t="s">
        <v>10841</v>
      </c>
      <c r="D2568" s="9">
        <v>0.64955036378489239</v>
      </c>
      <c r="E2568" s="9">
        <v>1727309.5965805054</v>
      </c>
      <c r="F2568" s="257" t="s">
        <v>15155</v>
      </c>
      <c r="G2568" s="9"/>
      <c r="H2568" s="257" t="s">
        <v>20680</v>
      </c>
      <c r="I2568" s="9">
        <v>2</v>
      </c>
    </row>
    <row r="2569" spans="1:9">
      <c r="A2569" s="257" t="s">
        <v>3667</v>
      </c>
      <c r="B2569" s="9">
        <v>6</v>
      </c>
      <c r="C2569" s="257" t="s">
        <v>10842</v>
      </c>
      <c r="D2569" s="9">
        <v>3919.1804897232364</v>
      </c>
      <c r="E2569" s="9">
        <v>1727309.5965805054</v>
      </c>
      <c r="F2569" s="257" t="s">
        <v>15155</v>
      </c>
      <c r="G2569" s="9"/>
      <c r="H2569" s="257" t="s">
        <v>20681</v>
      </c>
      <c r="I2569" s="9">
        <v>2</v>
      </c>
    </row>
    <row r="2570" spans="1:9">
      <c r="A2570" s="257" t="s">
        <v>3668</v>
      </c>
      <c r="B2570" s="9">
        <v>6</v>
      </c>
      <c r="C2570" s="257" t="s">
        <v>10843</v>
      </c>
      <c r="D2570" s="9">
        <v>259994.39984130859</v>
      </c>
      <c r="E2570" s="9">
        <v>1727309.5965805054</v>
      </c>
      <c r="F2570" s="257" t="s">
        <v>15156</v>
      </c>
      <c r="G2570" s="9"/>
      <c r="H2570" s="257" t="s">
        <v>20682</v>
      </c>
      <c r="I2570" s="9">
        <v>2</v>
      </c>
    </row>
    <row r="2571" spans="1:9">
      <c r="A2571" s="257" t="s">
        <v>3669</v>
      </c>
      <c r="B2571" s="9">
        <v>6</v>
      </c>
      <c r="C2571" s="257" t="s">
        <v>10844</v>
      </c>
      <c r="D2571" s="9">
        <v>314682597.6007331</v>
      </c>
      <c r="E2571" s="9">
        <v>1727309.5965805054</v>
      </c>
      <c r="F2571" s="257" t="s">
        <v>15156</v>
      </c>
      <c r="G2571" s="9"/>
      <c r="H2571" s="257" t="s">
        <v>20683</v>
      </c>
      <c r="I2571" s="9">
        <v>2</v>
      </c>
    </row>
    <row r="2572" spans="1:9">
      <c r="A2572" s="257" t="s">
        <v>3670</v>
      </c>
      <c r="B2572" s="9">
        <v>6</v>
      </c>
      <c r="C2572" s="257" t="s">
        <v>10845</v>
      </c>
      <c r="D2572" s="9">
        <v>0.15051986068740106</v>
      </c>
      <c r="E2572" s="9">
        <v>1727309.5965805054</v>
      </c>
      <c r="F2572" s="257" t="s">
        <v>15156</v>
      </c>
      <c r="G2572" s="9"/>
      <c r="H2572" s="257" t="s">
        <v>20684</v>
      </c>
      <c r="I2572" s="9">
        <v>2</v>
      </c>
    </row>
    <row r="2573" spans="1:9">
      <c r="A2573" s="257" t="s">
        <v>3671</v>
      </c>
      <c r="B2573" s="9">
        <v>6</v>
      </c>
      <c r="C2573" s="257" t="s">
        <v>10846</v>
      </c>
      <c r="D2573" s="9">
        <v>182.18077304942858</v>
      </c>
      <c r="E2573" s="9">
        <v>1727309.5965805054</v>
      </c>
      <c r="F2573" s="257" t="s">
        <v>15156</v>
      </c>
      <c r="G2573" s="9"/>
      <c r="H2573" s="257" t="s">
        <v>20685</v>
      </c>
      <c r="I2573" s="9">
        <v>2</v>
      </c>
    </row>
    <row r="2574" spans="1:9">
      <c r="A2574" s="257" t="s">
        <v>3672</v>
      </c>
      <c r="B2574" s="9">
        <v>6</v>
      </c>
      <c r="C2574" s="257" t="s">
        <v>10847</v>
      </c>
      <c r="D2574" s="9">
        <v>1075620.3254089355</v>
      </c>
      <c r="E2574" s="9">
        <v>1727309.5965805054</v>
      </c>
      <c r="F2574" s="257" t="s">
        <v>15157</v>
      </c>
      <c r="G2574" s="9"/>
      <c r="H2574" s="257" t="s">
        <v>20686</v>
      </c>
      <c r="I2574" s="9">
        <v>2</v>
      </c>
    </row>
    <row r="2575" spans="1:9">
      <c r="A2575" s="257" t="s">
        <v>3673</v>
      </c>
      <c r="B2575" s="9">
        <v>6</v>
      </c>
      <c r="C2575" s="257" t="s">
        <v>10848</v>
      </c>
      <c r="D2575" s="9">
        <v>2252775787.3187537</v>
      </c>
      <c r="E2575" s="9">
        <v>1727309.5965805054</v>
      </c>
      <c r="F2575" s="257" t="s">
        <v>15157</v>
      </c>
      <c r="G2575" s="9"/>
      <c r="H2575" s="257" t="s">
        <v>20687</v>
      </c>
      <c r="I2575" s="9">
        <v>2</v>
      </c>
    </row>
    <row r="2576" spans="1:9">
      <c r="A2576" s="257" t="s">
        <v>3674</v>
      </c>
      <c r="B2576" s="9">
        <v>6</v>
      </c>
      <c r="C2576" s="257" t="s">
        <v>10849</v>
      </c>
      <c r="D2576" s="9">
        <v>0.62271426473766123</v>
      </c>
      <c r="E2576" s="9">
        <v>1727309.5965805054</v>
      </c>
      <c r="F2576" s="257" t="s">
        <v>15157</v>
      </c>
      <c r="G2576" s="9"/>
      <c r="H2576" s="257" t="s">
        <v>20688</v>
      </c>
      <c r="I2576" s="9">
        <v>2</v>
      </c>
    </row>
    <row r="2577" spans="1:9">
      <c r="A2577" s="257" t="s">
        <v>3675</v>
      </c>
      <c r="B2577" s="9">
        <v>6</v>
      </c>
      <c r="C2577" s="257" t="s">
        <v>10850</v>
      </c>
      <c r="D2577" s="9">
        <v>1304.2107748249043</v>
      </c>
      <c r="E2577" s="9">
        <v>1727309.5965805054</v>
      </c>
      <c r="F2577" s="257" t="s">
        <v>15157</v>
      </c>
      <c r="G2577" s="9"/>
      <c r="H2577" s="257" t="s">
        <v>20689</v>
      </c>
      <c r="I2577" s="9">
        <v>2</v>
      </c>
    </row>
    <row r="2578" spans="1:9">
      <c r="A2578" s="257" t="s">
        <v>3676</v>
      </c>
      <c r="B2578" s="9">
        <v>6</v>
      </c>
      <c r="C2578" s="257" t="s">
        <v>10851</v>
      </c>
      <c r="D2578" s="9">
        <v>0</v>
      </c>
      <c r="E2578" s="9">
        <v>1727309.5965805054</v>
      </c>
      <c r="F2578" s="257" t="s">
        <v>15158</v>
      </c>
      <c r="G2578" s="9"/>
      <c r="H2578" s="257" t="s">
        <v>20690</v>
      </c>
      <c r="I2578" s="9">
        <v>2</v>
      </c>
    </row>
    <row r="2579" spans="1:9">
      <c r="A2579" s="257" t="s">
        <v>3677</v>
      </c>
      <c r="B2579" s="9">
        <v>6</v>
      </c>
      <c r="C2579" s="257" t="s">
        <v>10852</v>
      </c>
      <c r="D2579" s="9">
        <v>0</v>
      </c>
      <c r="E2579" s="9">
        <v>1727309.5965805054</v>
      </c>
      <c r="F2579" s="257" t="s">
        <v>15158</v>
      </c>
      <c r="G2579" s="9"/>
      <c r="H2579" s="257" t="s">
        <v>20691</v>
      </c>
      <c r="I2579" s="9">
        <v>2</v>
      </c>
    </row>
    <row r="2580" spans="1:9">
      <c r="A2580" s="257" t="s">
        <v>3678</v>
      </c>
      <c r="B2580" s="9">
        <v>6</v>
      </c>
      <c r="C2580" s="257" t="s">
        <v>10853</v>
      </c>
      <c r="D2580" s="9">
        <v>0</v>
      </c>
      <c r="E2580" s="9">
        <v>1727309.5965805054</v>
      </c>
      <c r="F2580" s="257" t="s">
        <v>15158</v>
      </c>
      <c r="G2580" s="9"/>
      <c r="H2580" s="257" t="s">
        <v>20692</v>
      </c>
      <c r="I2580" s="9">
        <v>2</v>
      </c>
    </row>
    <row r="2581" spans="1:9">
      <c r="A2581" s="257" t="s">
        <v>3679</v>
      </c>
      <c r="B2581" s="9">
        <v>6</v>
      </c>
      <c r="C2581" s="257" t="s">
        <v>10854</v>
      </c>
      <c r="D2581" s="9">
        <v>0</v>
      </c>
      <c r="E2581" s="9">
        <v>1727309.5965805054</v>
      </c>
      <c r="F2581" s="257" t="s">
        <v>15158</v>
      </c>
      <c r="G2581" s="9"/>
      <c r="H2581" s="257" t="s">
        <v>20693</v>
      </c>
      <c r="I2581" s="9">
        <v>2</v>
      </c>
    </row>
    <row r="2582" spans="1:9">
      <c r="A2582" s="257" t="s">
        <v>3680</v>
      </c>
      <c r="B2582" s="9">
        <v>7</v>
      </c>
      <c r="C2582" s="257" t="s">
        <v>10855</v>
      </c>
      <c r="D2582" s="9">
        <v>1147029.032371521</v>
      </c>
      <c r="E2582" s="9">
        <v>1724929.0217895508</v>
      </c>
      <c r="F2582" s="257" t="s">
        <v>15159</v>
      </c>
      <c r="G2582" s="9"/>
      <c r="H2582" s="257" t="s">
        <v>20694</v>
      </c>
      <c r="I2582" s="9">
        <v>2</v>
      </c>
    </row>
    <row r="2583" spans="1:9">
      <c r="A2583" s="257" t="s">
        <v>3681</v>
      </c>
      <c r="B2583" s="9">
        <v>7</v>
      </c>
      <c r="C2583" s="257" t="s">
        <v>10856</v>
      </c>
      <c r="D2583" s="9">
        <v>4755860663.4265203</v>
      </c>
      <c r="E2583" s="9">
        <v>1724929.0217895508</v>
      </c>
      <c r="F2583" s="257" t="s">
        <v>15159</v>
      </c>
      <c r="G2583" s="9"/>
      <c r="H2583" s="257" t="s">
        <v>20695</v>
      </c>
      <c r="I2583" s="9">
        <v>2</v>
      </c>
    </row>
    <row r="2584" spans="1:9">
      <c r="A2584" s="257" t="s">
        <v>3682</v>
      </c>
      <c r="B2584" s="9">
        <v>7</v>
      </c>
      <c r="C2584" s="257" t="s">
        <v>10857</v>
      </c>
      <c r="D2584" s="9">
        <v>0.66497172804334892</v>
      </c>
      <c r="E2584" s="9">
        <v>1724929.0217895508</v>
      </c>
      <c r="F2584" s="257" t="s">
        <v>15159</v>
      </c>
      <c r="G2584" s="9"/>
      <c r="H2584" s="257" t="s">
        <v>20696</v>
      </c>
      <c r="I2584" s="9">
        <v>2</v>
      </c>
    </row>
    <row r="2585" spans="1:9">
      <c r="A2585" s="257" t="s">
        <v>3683</v>
      </c>
      <c r="B2585" s="9">
        <v>7</v>
      </c>
      <c r="C2585" s="257" t="s">
        <v>10858</v>
      </c>
      <c r="D2585" s="9">
        <v>2757.1341216651854</v>
      </c>
      <c r="E2585" s="9">
        <v>1724929.0217895508</v>
      </c>
      <c r="F2585" s="257" t="s">
        <v>15159</v>
      </c>
      <c r="G2585" s="9"/>
      <c r="H2585" s="257" t="s">
        <v>20697</v>
      </c>
      <c r="I2585" s="9">
        <v>2</v>
      </c>
    </row>
    <row r="2586" spans="1:9">
      <c r="A2586" s="257" t="s">
        <v>3684</v>
      </c>
      <c r="B2586" s="9">
        <v>7</v>
      </c>
      <c r="C2586" s="257" t="s">
        <v>10859</v>
      </c>
      <c r="D2586" s="9">
        <v>0</v>
      </c>
      <c r="E2586" s="9">
        <v>1724929.0217895508</v>
      </c>
      <c r="F2586" s="257" t="s">
        <v>15160</v>
      </c>
      <c r="G2586" s="9"/>
      <c r="H2586" s="257" t="s">
        <v>20698</v>
      </c>
      <c r="I2586" s="9">
        <v>2</v>
      </c>
    </row>
    <row r="2587" spans="1:9">
      <c r="A2587" s="257" t="s">
        <v>3685</v>
      </c>
      <c r="B2587" s="9">
        <v>7</v>
      </c>
      <c r="C2587" s="257" t="s">
        <v>10860</v>
      </c>
      <c r="D2587" s="9">
        <v>0</v>
      </c>
      <c r="E2587" s="9">
        <v>1724929.0217895508</v>
      </c>
      <c r="F2587" s="257" t="s">
        <v>15160</v>
      </c>
      <c r="G2587" s="9"/>
      <c r="H2587" s="257" t="s">
        <v>20699</v>
      </c>
      <c r="I2587" s="9">
        <v>2</v>
      </c>
    </row>
    <row r="2588" spans="1:9">
      <c r="A2588" s="257" t="s">
        <v>3686</v>
      </c>
      <c r="B2588" s="9">
        <v>7</v>
      </c>
      <c r="C2588" s="257" t="s">
        <v>10861</v>
      </c>
      <c r="D2588" s="9">
        <v>0</v>
      </c>
      <c r="E2588" s="9">
        <v>1724929.0217895508</v>
      </c>
      <c r="F2588" s="257" t="s">
        <v>15160</v>
      </c>
      <c r="G2588" s="9"/>
      <c r="H2588" s="257" t="s">
        <v>20700</v>
      </c>
      <c r="I2588" s="9">
        <v>2</v>
      </c>
    </row>
    <row r="2589" spans="1:9">
      <c r="A2589" s="257" t="s">
        <v>3687</v>
      </c>
      <c r="B2589" s="9">
        <v>7</v>
      </c>
      <c r="C2589" s="257" t="s">
        <v>10862</v>
      </c>
      <c r="D2589" s="9">
        <v>0</v>
      </c>
      <c r="E2589" s="9">
        <v>1724929.0217895508</v>
      </c>
      <c r="F2589" s="257" t="s">
        <v>15160</v>
      </c>
      <c r="G2589" s="9"/>
      <c r="H2589" s="257" t="s">
        <v>20701</v>
      </c>
      <c r="I2589" s="9">
        <v>2</v>
      </c>
    </row>
    <row r="2590" spans="1:9">
      <c r="A2590" s="257" t="s">
        <v>3688</v>
      </c>
      <c r="B2590" s="9">
        <v>7</v>
      </c>
      <c r="C2590" s="257" t="s">
        <v>10863</v>
      </c>
      <c r="D2590" s="9">
        <v>1306779.6783981323</v>
      </c>
      <c r="E2590" s="9">
        <v>1724929.0217895508</v>
      </c>
      <c r="F2590" s="257" t="s">
        <v>15161</v>
      </c>
      <c r="G2590" s="9"/>
      <c r="H2590" s="257" t="s">
        <v>20702</v>
      </c>
      <c r="I2590" s="9">
        <v>2</v>
      </c>
    </row>
    <row r="2591" spans="1:9">
      <c r="A2591" s="257" t="s">
        <v>3689</v>
      </c>
      <c r="B2591" s="9">
        <v>7</v>
      </c>
      <c r="C2591" s="257" t="s">
        <v>10864</v>
      </c>
      <c r="D2591" s="9">
        <v>470358046.1734271</v>
      </c>
      <c r="E2591" s="9">
        <v>1724929.0217895508</v>
      </c>
      <c r="F2591" s="257" t="s">
        <v>15161</v>
      </c>
      <c r="G2591" s="9"/>
      <c r="H2591" s="257" t="s">
        <v>20703</v>
      </c>
      <c r="I2591" s="9">
        <v>2</v>
      </c>
    </row>
    <row r="2592" spans="1:9">
      <c r="A2592" s="257" t="s">
        <v>3690</v>
      </c>
      <c r="B2592" s="9">
        <v>7</v>
      </c>
      <c r="C2592" s="257" t="s">
        <v>10865</v>
      </c>
      <c r="D2592" s="9">
        <v>0.75758460892634072</v>
      </c>
      <c r="E2592" s="9">
        <v>1724929.0217895508</v>
      </c>
      <c r="F2592" s="257" t="s">
        <v>15161</v>
      </c>
      <c r="G2592" s="9"/>
      <c r="H2592" s="257" t="s">
        <v>20704</v>
      </c>
      <c r="I2592" s="9">
        <v>2</v>
      </c>
    </row>
    <row r="2593" spans="1:9">
      <c r="A2593" s="257" t="s">
        <v>3691</v>
      </c>
      <c r="B2593" s="9">
        <v>7</v>
      </c>
      <c r="C2593" s="257" t="s">
        <v>10866</v>
      </c>
      <c r="D2593" s="9">
        <v>272.68255112633437</v>
      </c>
      <c r="E2593" s="9">
        <v>1724929.0217895508</v>
      </c>
      <c r="F2593" s="257" t="s">
        <v>15161</v>
      </c>
      <c r="G2593" s="9"/>
      <c r="H2593" s="257" t="s">
        <v>20705</v>
      </c>
      <c r="I2593" s="9">
        <v>2</v>
      </c>
    </row>
    <row r="2594" spans="1:9">
      <c r="A2594" s="257" t="s">
        <v>3692</v>
      </c>
      <c r="B2594" s="9">
        <v>7</v>
      </c>
      <c r="C2594" s="257" t="s">
        <v>10867</v>
      </c>
      <c r="D2594" s="9">
        <v>0</v>
      </c>
      <c r="E2594" s="9">
        <v>1724929.0217895508</v>
      </c>
      <c r="F2594" s="257" t="s">
        <v>15162</v>
      </c>
      <c r="G2594" s="9"/>
      <c r="H2594" s="257" t="s">
        <v>20706</v>
      </c>
      <c r="I2594" s="9">
        <v>2</v>
      </c>
    </row>
    <row r="2595" spans="1:9">
      <c r="A2595" s="257" t="s">
        <v>3693</v>
      </c>
      <c r="B2595" s="9">
        <v>7</v>
      </c>
      <c r="C2595" s="257" t="s">
        <v>10868</v>
      </c>
      <c r="D2595" s="9">
        <v>0</v>
      </c>
      <c r="E2595" s="9">
        <v>1724929.0217895508</v>
      </c>
      <c r="F2595" s="257" t="s">
        <v>15162</v>
      </c>
      <c r="G2595" s="9"/>
      <c r="H2595" s="257" t="s">
        <v>20707</v>
      </c>
      <c r="I2595" s="9">
        <v>2</v>
      </c>
    </row>
    <row r="2596" spans="1:9">
      <c r="A2596" s="257" t="s">
        <v>3694</v>
      </c>
      <c r="B2596" s="9">
        <v>7</v>
      </c>
      <c r="C2596" s="257" t="s">
        <v>10869</v>
      </c>
      <c r="D2596" s="9">
        <v>0</v>
      </c>
      <c r="E2596" s="9">
        <v>1724929.0217895508</v>
      </c>
      <c r="F2596" s="257" t="s">
        <v>15162</v>
      </c>
      <c r="G2596" s="9"/>
      <c r="H2596" s="257" t="s">
        <v>20708</v>
      </c>
      <c r="I2596" s="9">
        <v>2</v>
      </c>
    </row>
    <row r="2597" spans="1:9">
      <c r="A2597" s="257" t="s">
        <v>3695</v>
      </c>
      <c r="B2597" s="9">
        <v>7</v>
      </c>
      <c r="C2597" s="257" t="s">
        <v>10870</v>
      </c>
      <c r="D2597" s="9">
        <v>0</v>
      </c>
      <c r="E2597" s="9">
        <v>1724929.0217895508</v>
      </c>
      <c r="F2597" s="257" t="s">
        <v>15162</v>
      </c>
      <c r="G2597" s="9"/>
      <c r="H2597" s="257" t="s">
        <v>20709</v>
      </c>
      <c r="I2597" s="9">
        <v>2</v>
      </c>
    </row>
    <row r="2598" spans="1:9">
      <c r="A2598" s="257" t="s">
        <v>3696</v>
      </c>
      <c r="B2598" s="9">
        <v>7</v>
      </c>
      <c r="C2598" s="257" t="s">
        <v>10871</v>
      </c>
      <c r="D2598" s="9">
        <v>0</v>
      </c>
      <c r="E2598" s="9">
        <v>1724929.0217895508</v>
      </c>
      <c r="F2598" s="257" t="s">
        <v>15163</v>
      </c>
      <c r="G2598" s="9"/>
      <c r="H2598" s="257" t="s">
        <v>20710</v>
      </c>
      <c r="I2598" s="9">
        <v>2</v>
      </c>
    </row>
    <row r="2599" spans="1:9">
      <c r="A2599" s="257" t="s">
        <v>3697</v>
      </c>
      <c r="B2599" s="9">
        <v>7</v>
      </c>
      <c r="C2599" s="257" t="s">
        <v>10872</v>
      </c>
      <c r="D2599" s="9">
        <v>0</v>
      </c>
      <c r="E2599" s="9">
        <v>1724929.0217895508</v>
      </c>
      <c r="F2599" s="257" t="s">
        <v>15163</v>
      </c>
      <c r="G2599" s="9"/>
      <c r="H2599" s="257" t="s">
        <v>20711</v>
      </c>
      <c r="I2599" s="9">
        <v>2</v>
      </c>
    </row>
    <row r="2600" spans="1:9">
      <c r="A2600" s="257" t="s">
        <v>3698</v>
      </c>
      <c r="B2600" s="9">
        <v>7</v>
      </c>
      <c r="C2600" s="257" t="s">
        <v>10873</v>
      </c>
      <c r="D2600" s="9">
        <v>0</v>
      </c>
      <c r="E2600" s="9">
        <v>1724929.0217895508</v>
      </c>
      <c r="F2600" s="257" t="s">
        <v>15163</v>
      </c>
      <c r="G2600" s="9"/>
      <c r="H2600" s="257" t="s">
        <v>20712</v>
      </c>
      <c r="I2600" s="9">
        <v>2</v>
      </c>
    </row>
    <row r="2601" spans="1:9">
      <c r="A2601" s="257" t="s">
        <v>3699</v>
      </c>
      <c r="B2601" s="9">
        <v>7</v>
      </c>
      <c r="C2601" s="257" t="s">
        <v>10874</v>
      </c>
      <c r="D2601" s="9">
        <v>0</v>
      </c>
      <c r="E2601" s="9">
        <v>1724929.0217895508</v>
      </c>
      <c r="F2601" s="257" t="s">
        <v>15163</v>
      </c>
      <c r="G2601" s="9"/>
      <c r="H2601" s="257" t="s">
        <v>20713</v>
      </c>
      <c r="I2601" s="9">
        <v>2</v>
      </c>
    </row>
    <row r="2602" spans="1:9">
      <c r="A2602" s="257" t="s">
        <v>3700</v>
      </c>
      <c r="B2602" s="9">
        <v>7</v>
      </c>
      <c r="C2602" s="257" t="s">
        <v>10875</v>
      </c>
      <c r="D2602" s="9">
        <v>0</v>
      </c>
      <c r="E2602" s="9">
        <v>1724929.0217895508</v>
      </c>
      <c r="F2602" s="257" t="s">
        <v>15164</v>
      </c>
      <c r="G2602" s="9"/>
      <c r="H2602" s="257" t="s">
        <v>20714</v>
      </c>
      <c r="I2602" s="9">
        <v>2</v>
      </c>
    </row>
    <row r="2603" spans="1:9">
      <c r="A2603" s="257" t="s">
        <v>3701</v>
      </c>
      <c r="B2603" s="9">
        <v>7</v>
      </c>
      <c r="C2603" s="257" t="s">
        <v>10876</v>
      </c>
      <c r="D2603" s="9">
        <v>0</v>
      </c>
      <c r="E2603" s="9">
        <v>1724929.0217895508</v>
      </c>
      <c r="F2603" s="257" t="s">
        <v>15164</v>
      </c>
      <c r="G2603" s="9"/>
      <c r="H2603" s="257" t="s">
        <v>20715</v>
      </c>
      <c r="I2603" s="9">
        <v>2</v>
      </c>
    </row>
    <row r="2604" spans="1:9">
      <c r="A2604" s="257" t="s">
        <v>3702</v>
      </c>
      <c r="B2604" s="9">
        <v>7</v>
      </c>
      <c r="C2604" s="257" t="s">
        <v>10877</v>
      </c>
      <c r="D2604" s="9">
        <v>0</v>
      </c>
      <c r="E2604" s="9">
        <v>1724929.0217895508</v>
      </c>
      <c r="F2604" s="257" t="s">
        <v>15164</v>
      </c>
      <c r="G2604" s="9"/>
      <c r="H2604" s="257" t="s">
        <v>20716</v>
      </c>
      <c r="I2604" s="9">
        <v>2</v>
      </c>
    </row>
    <row r="2605" spans="1:9">
      <c r="A2605" s="257" t="s">
        <v>3703</v>
      </c>
      <c r="B2605" s="9">
        <v>7</v>
      </c>
      <c r="C2605" s="257" t="s">
        <v>10878</v>
      </c>
      <c r="D2605" s="9">
        <v>0</v>
      </c>
      <c r="E2605" s="9">
        <v>1724929.0217895508</v>
      </c>
      <c r="F2605" s="257" t="s">
        <v>15164</v>
      </c>
      <c r="G2605" s="9"/>
      <c r="H2605" s="257" t="s">
        <v>20717</v>
      </c>
      <c r="I2605" s="9">
        <v>2</v>
      </c>
    </row>
    <row r="2606" spans="1:9">
      <c r="A2606" s="257" t="s">
        <v>3704</v>
      </c>
      <c r="B2606" s="9">
        <v>7</v>
      </c>
      <c r="C2606" s="257" t="s">
        <v>10879</v>
      </c>
      <c r="D2606" s="9">
        <v>1306779.6783981323</v>
      </c>
      <c r="E2606" s="9">
        <v>1724929.0217895508</v>
      </c>
      <c r="F2606" s="257" t="s">
        <v>15165</v>
      </c>
      <c r="G2606" s="9"/>
      <c r="H2606" s="257" t="s">
        <v>20718</v>
      </c>
      <c r="I2606" s="9">
        <v>2</v>
      </c>
    </row>
    <row r="2607" spans="1:9">
      <c r="A2607" s="257" t="s">
        <v>3705</v>
      </c>
      <c r="B2607" s="9">
        <v>7</v>
      </c>
      <c r="C2607" s="257" t="s">
        <v>10880</v>
      </c>
      <c r="D2607" s="9">
        <v>470358046.1734271</v>
      </c>
      <c r="E2607" s="9">
        <v>1724929.0217895508</v>
      </c>
      <c r="F2607" s="257" t="s">
        <v>15165</v>
      </c>
      <c r="G2607" s="9"/>
      <c r="H2607" s="257" t="s">
        <v>20719</v>
      </c>
      <c r="I2607" s="9">
        <v>2</v>
      </c>
    </row>
    <row r="2608" spans="1:9">
      <c r="A2608" s="257" t="s">
        <v>3706</v>
      </c>
      <c r="B2608" s="9">
        <v>7</v>
      </c>
      <c r="C2608" s="257" t="s">
        <v>10881</v>
      </c>
      <c r="D2608" s="9">
        <v>0.75758460892634072</v>
      </c>
      <c r="E2608" s="9">
        <v>1724929.0217895508</v>
      </c>
      <c r="F2608" s="257" t="s">
        <v>15165</v>
      </c>
      <c r="G2608" s="9"/>
      <c r="H2608" s="257" t="s">
        <v>20720</v>
      </c>
      <c r="I2608" s="9">
        <v>2</v>
      </c>
    </row>
    <row r="2609" spans="1:9">
      <c r="A2609" s="257" t="s">
        <v>3707</v>
      </c>
      <c r="B2609" s="9">
        <v>7</v>
      </c>
      <c r="C2609" s="257" t="s">
        <v>10882</v>
      </c>
      <c r="D2609" s="9">
        <v>272.68255112633437</v>
      </c>
      <c r="E2609" s="9">
        <v>1724929.0217895508</v>
      </c>
      <c r="F2609" s="257" t="s">
        <v>15165</v>
      </c>
      <c r="G2609" s="9"/>
      <c r="H2609" s="257" t="s">
        <v>20721</v>
      </c>
      <c r="I2609" s="9">
        <v>2</v>
      </c>
    </row>
    <row r="2610" spans="1:9">
      <c r="A2610" s="257" t="s">
        <v>3708</v>
      </c>
      <c r="B2610" s="9">
        <v>7</v>
      </c>
      <c r="C2610" s="257" t="s">
        <v>10883</v>
      </c>
      <c r="D2610" s="9">
        <v>0</v>
      </c>
      <c r="E2610" s="9">
        <v>1724929.0217895508</v>
      </c>
      <c r="F2610" s="257" t="s">
        <v>15166</v>
      </c>
      <c r="G2610" s="9"/>
      <c r="H2610" s="257" t="s">
        <v>20722</v>
      </c>
      <c r="I2610" s="9">
        <v>2</v>
      </c>
    </row>
    <row r="2611" spans="1:9">
      <c r="A2611" s="257" t="s">
        <v>3709</v>
      </c>
      <c r="B2611" s="9">
        <v>7</v>
      </c>
      <c r="C2611" s="257" t="s">
        <v>10884</v>
      </c>
      <c r="D2611" s="9">
        <v>0</v>
      </c>
      <c r="E2611" s="9">
        <v>1724929.0217895508</v>
      </c>
      <c r="F2611" s="257" t="s">
        <v>15166</v>
      </c>
      <c r="G2611" s="9"/>
      <c r="H2611" s="257" t="s">
        <v>20723</v>
      </c>
      <c r="I2611" s="9">
        <v>2</v>
      </c>
    </row>
    <row r="2612" spans="1:9">
      <c r="A2612" s="257" t="s">
        <v>3710</v>
      </c>
      <c r="B2612" s="9">
        <v>7</v>
      </c>
      <c r="C2612" s="257" t="s">
        <v>10885</v>
      </c>
      <c r="D2612" s="9">
        <v>0</v>
      </c>
      <c r="E2612" s="9">
        <v>1724929.0217895508</v>
      </c>
      <c r="F2612" s="257" t="s">
        <v>15166</v>
      </c>
      <c r="G2612" s="9"/>
      <c r="H2612" s="257" t="s">
        <v>20724</v>
      </c>
      <c r="I2612" s="9">
        <v>2</v>
      </c>
    </row>
    <row r="2613" spans="1:9">
      <c r="A2613" s="257" t="s">
        <v>3711</v>
      </c>
      <c r="B2613" s="9">
        <v>7</v>
      </c>
      <c r="C2613" s="257" t="s">
        <v>10886</v>
      </c>
      <c r="D2613" s="9">
        <v>0</v>
      </c>
      <c r="E2613" s="9">
        <v>1724929.0217895508</v>
      </c>
      <c r="F2613" s="257" t="s">
        <v>15166</v>
      </c>
      <c r="G2613" s="9"/>
      <c r="H2613" s="257" t="s">
        <v>20725</v>
      </c>
      <c r="I2613" s="9">
        <v>2</v>
      </c>
    </row>
    <row r="2614" spans="1:9">
      <c r="A2614" s="257" t="s">
        <v>3712</v>
      </c>
      <c r="B2614" s="9">
        <v>7</v>
      </c>
      <c r="C2614" s="257" t="s">
        <v>10887</v>
      </c>
      <c r="D2614" s="9">
        <v>1715920.2297973633</v>
      </c>
      <c r="E2614" s="9">
        <v>1724929.0217895508</v>
      </c>
      <c r="F2614" s="257" t="s">
        <v>15167</v>
      </c>
      <c r="G2614" s="9"/>
      <c r="H2614" s="257" t="s">
        <v>20726</v>
      </c>
      <c r="I2614" s="9">
        <v>2</v>
      </c>
    </row>
    <row r="2615" spans="1:9">
      <c r="A2615" s="257" t="s">
        <v>3713</v>
      </c>
      <c r="B2615" s="9">
        <v>7</v>
      </c>
      <c r="C2615" s="257" t="s">
        <v>10888</v>
      </c>
      <c r="D2615" s="9">
        <v>13679653035.839851</v>
      </c>
      <c r="E2615" s="9">
        <v>1724929.0217895508</v>
      </c>
      <c r="F2615" s="257" t="s">
        <v>15167</v>
      </c>
      <c r="G2615" s="9"/>
      <c r="H2615" s="257" t="s">
        <v>20727</v>
      </c>
      <c r="I2615" s="9">
        <v>2</v>
      </c>
    </row>
    <row r="2616" spans="1:9">
      <c r="A2616" s="257" t="s">
        <v>3714</v>
      </c>
      <c r="B2616" s="9">
        <v>7</v>
      </c>
      <c r="C2616" s="257" t="s">
        <v>10889</v>
      </c>
      <c r="D2616" s="9">
        <v>0.99477729699112993</v>
      </c>
      <c r="E2616" s="9">
        <v>1724929.0217895508</v>
      </c>
      <c r="F2616" s="257" t="s">
        <v>15167</v>
      </c>
      <c r="G2616" s="9"/>
      <c r="H2616" s="257" t="s">
        <v>20728</v>
      </c>
      <c r="I2616" s="9">
        <v>2</v>
      </c>
    </row>
    <row r="2617" spans="1:9">
      <c r="A2617" s="257" t="s">
        <v>3715</v>
      </c>
      <c r="B2617" s="9">
        <v>7</v>
      </c>
      <c r="C2617" s="257" t="s">
        <v>10890</v>
      </c>
      <c r="D2617" s="9">
        <v>7930.5599610398531</v>
      </c>
      <c r="E2617" s="9">
        <v>1724929.0217895508</v>
      </c>
      <c r="F2617" s="257" t="s">
        <v>15167</v>
      </c>
      <c r="G2617" s="9"/>
      <c r="H2617" s="257" t="s">
        <v>20729</v>
      </c>
      <c r="I2617" s="9">
        <v>2</v>
      </c>
    </row>
    <row r="2618" spans="1:9">
      <c r="A2618" s="257" t="s">
        <v>3716</v>
      </c>
      <c r="B2618" s="9">
        <v>7</v>
      </c>
      <c r="C2618" s="257" t="s">
        <v>10891</v>
      </c>
      <c r="D2618" s="9">
        <v>1715920.2297973633</v>
      </c>
      <c r="E2618" s="9">
        <v>1724929.0217895508</v>
      </c>
      <c r="F2618" s="257" t="s">
        <v>15168</v>
      </c>
      <c r="G2618" s="9"/>
      <c r="H2618" s="257" t="s">
        <v>20730</v>
      </c>
      <c r="I2618" s="9">
        <v>2</v>
      </c>
    </row>
    <row r="2619" spans="1:9">
      <c r="A2619" s="257" t="s">
        <v>3717</v>
      </c>
      <c r="B2619" s="9">
        <v>7</v>
      </c>
      <c r="C2619" s="257" t="s">
        <v>10892</v>
      </c>
      <c r="D2619" s="9">
        <v>13209294989.666424</v>
      </c>
      <c r="E2619" s="9">
        <v>1724929.0217895508</v>
      </c>
      <c r="F2619" s="257" t="s">
        <v>15168</v>
      </c>
      <c r="G2619" s="9"/>
      <c r="H2619" s="257" t="s">
        <v>20731</v>
      </c>
      <c r="I2619" s="9">
        <v>2</v>
      </c>
    </row>
    <row r="2620" spans="1:9">
      <c r="A2620" s="257" t="s">
        <v>3718</v>
      </c>
      <c r="B2620" s="9">
        <v>7</v>
      </c>
      <c r="C2620" s="257" t="s">
        <v>10893</v>
      </c>
      <c r="D2620" s="9">
        <v>0.99477729699112993</v>
      </c>
      <c r="E2620" s="9">
        <v>1724929.0217895508</v>
      </c>
      <c r="F2620" s="257" t="s">
        <v>15168</v>
      </c>
      <c r="G2620" s="9"/>
      <c r="H2620" s="257" t="s">
        <v>20732</v>
      </c>
      <c r="I2620" s="9">
        <v>2</v>
      </c>
    </row>
    <row r="2621" spans="1:9">
      <c r="A2621" s="257" t="s">
        <v>3719</v>
      </c>
      <c r="B2621" s="9">
        <v>7</v>
      </c>
      <c r="C2621" s="257" t="s">
        <v>10894</v>
      </c>
      <c r="D2621" s="9">
        <v>7657.877409913518</v>
      </c>
      <c r="E2621" s="9">
        <v>1724929.0217895508</v>
      </c>
      <c r="F2621" s="257" t="s">
        <v>15168</v>
      </c>
      <c r="G2621" s="9"/>
      <c r="H2621" s="257" t="s">
        <v>20733</v>
      </c>
      <c r="I2621" s="9">
        <v>2</v>
      </c>
    </row>
    <row r="2622" spans="1:9">
      <c r="A2622" s="257" t="s">
        <v>3720</v>
      </c>
      <c r="B2622" s="9">
        <v>7</v>
      </c>
      <c r="C2622" s="257" t="s">
        <v>10895</v>
      </c>
      <c r="D2622" s="9">
        <v>1715920.2297973633</v>
      </c>
      <c r="E2622" s="9">
        <v>1724929.0217895508</v>
      </c>
      <c r="F2622" s="257" t="s">
        <v>15169</v>
      </c>
      <c r="G2622" s="9"/>
      <c r="H2622" s="257" t="s">
        <v>20734</v>
      </c>
      <c r="I2622" s="9">
        <v>2</v>
      </c>
    </row>
    <row r="2623" spans="1:9">
      <c r="A2623" s="257" t="s">
        <v>3721</v>
      </c>
      <c r="B2623" s="9">
        <v>7</v>
      </c>
      <c r="C2623" s="257" t="s">
        <v>10896</v>
      </c>
      <c r="D2623" s="9">
        <v>13679653035.839851</v>
      </c>
      <c r="E2623" s="9">
        <v>1724929.0217895508</v>
      </c>
      <c r="F2623" s="257" t="s">
        <v>15169</v>
      </c>
      <c r="G2623" s="9"/>
      <c r="H2623" s="257" t="s">
        <v>20735</v>
      </c>
      <c r="I2623" s="9">
        <v>2</v>
      </c>
    </row>
    <row r="2624" spans="1:9">
      <c r="A2624" s="257" t="s">
        <v>3722</v>
      </c>
      <c r="B2624" s="9">
        <v>7</v>
      </c>
      <c r="C2624" s="257" t="s">
        <v>10897</v>
      </c>
      <c r="D2624" s="9">
        <v>0.99477729699112993</v>
      </c>
      <c r="E2624" s="9">
        <v>1724929.0217895508</v>
      </c>
      <c r="F2624" s="257" t="s">
        <v>15169</v>
      </c>
      <c r="G2624" s="9"/>
      <c r="H2624" s="257" t="s">
        <v>20736</v>
      </c>
      <c r="I2624" s="9">
        <v>2</v>
      </c>
    </row>
    <row r="2625" spans="1:9">
      <c r="A2625" s="257" t="s">
        <v>3723</v>
      </c>
      <c r="B2625" s="9">
        <v>7</v>
      </c>
      <c r="C2625" s="257" t="s">
        <v>10898</v>
      </c>
      <c r="D2625" s="9">
        <v>7930.5599610398531</v>
      </c>
      <c r="E2625" s="9">
        <v>1724929.0217895508</v>
      </c>
      <c r="F2625" s="257" t="s">
        <v>15169</v>
      </c>
      <c r="G2625" s="9"/>
      <c r="H2625" s="257" t="s">
        <v>20737</v>
      </c>
      <c r="I2625" s="9">
        <v>2</v>
      </c>
    </row>
    <row r="2626" spans="1:9">
      <c r="A2626" s="257" t="s">
        <v>3724</v>
      </c>
      <c r="B2626" s="9">
        <v>7</v>
      </c>
      <c r="C2626" s="257" t="s">
        <v>10899</v>
      </c>
      <c r="D2626" s="9">
        <v>1724929.0217895508</v>
      </c>
      <c r="E2626" s="9">
        <v>1724929.0217895508</v>
      </c>
      <c r="F2626" s="257" t="s">
        <v>15170</v>
      </c>
      <c r="G2626" s="9"/>
      <c r="H2626" s="257" t="s">
        <v>20738</v>
      </c>
      <c r="I2626" s="9">
        <v>2</v>
      </c>
    </row>
    <row r="2627" spans="1:9">
      <c r="A2627" s="257" t="s">
        <v>3725</v>
      </c>
      <c r="B2627" s="9">
        <v>7</v>
      </c>
      <c r="C2627" s="257" t="s">
        <v>10900</v>
      </c>
      <c r="D2627" s="9">
        <v>2375193654.7766829</v>
      </c>
      <c r="E2627" s="9">
        <v>1724929.0217895508</v>
      </c>
      <c r="F2627" s="257" t="s">
        <v>15170</v>
      </c>
      <c r="G2627" s="9"/>
      <c r="H2627" s="257" t="s">
        <v>20739</v>
      </c>
      <c r="I2627" s="9">
        <v>2</v>
      </c>
    </row>
    <row r="2628" spans="1:9">
      <c r="A2628" s="257" t="s">
        <v>3726</v>
      </c>
      <c r="B2628" s="9">
        <v>7</v>
      </c>
      <c r="C2628" s="257" t="s">
        <v>10901</v>
      </c>
      <c r="D2628" s="9">
        <v>1</v>
      </c>
      <c r="E2628" s="9">
        <v>1724929.0217895508</v>
      </c>
      <c r="F2628" s="257" t="s">
        <v>15170</v>
      </c>
      <c r="G2628" s="9"/>
      <c r="H2628" s="257" t="s">
        <v>20740</v>
      </c>
      <c r="I2628" s="9">
        <v>2</v>
      </c>
    </row>
    <row r="2629" spans="1:9">
      <c r="A2629" s="257" t="s">
        <v>3727</v>
      </c>
      <c r="B2629" s="9">
        <v>7</v>
      </c>
      <c r="C2629" s="257" t="s">
        <v>10902</v>
      </c>
      <c r="D2629" s="9">
        <v>1376.9805161678514</v>
      </c>
      <c r="E2629" s="9">
        <v>1724929.0217895508</v>
      </c>
      <c r="F2629" s="257" t="s">
        <v>15170</v>
      </c>
      <c r="G2629" s="9"/>
      <c r="H2629" s="257" t="s">
        <v>20741</v>
      </c>
      <c r="I2629" s="9">
        <v>2</v>
      </c>
    </row>
    <row r="2630" spans="1:9">
      <c r="A2630" s="257" t="s">
        <v>3728</v>
      </c>
      <c r="B2630" s="9">
        <v>7</v>
      </c>
      <c r="C2630" s="257" t="s">
        <v>10903</v>
      </c>
      <c r="D2630" s="9">
        <v>1174397.034538269</v>
      </c>
      <c r="E2630" s="9">
        <v>1724929.0217895508</v>
      </c>
      <c r="F2630" s="257" t="s">
        <v>15171</v>
      </c>
      <c r="G2630" s="9"/>
      <c r="H2630" s="257" t="s">
        <v>20742</v>
      </c>
      <c r="I2630" s="9">
        <v>2</v>
      </c>
    </row>
    <row r="2631" spans="1:9">
      <c r="A2631" s="257" t="s">
        <v>3729</v>
      </c>
      <c r="B2631" s="9">
        <v>7</v>
      </c>
      <c r="C2631" s="257" t="s">
        <v>10904</v>
      </c>
      <c r="D2631" s="9">
        <v>3270590175.0559001</v>
      </c>
      <c r="E2631" s="9">
        <v>1724929.0217895508</v>
      </c>
      <c r="F2631" s="257" t="s">
        <v>15171</v>
      </c>
      <c r="G2631" s="9"/>
      <c r="H2631" s="257" t="s">
        <v>20743</v>
      </c>
      <c r="I2631" s="9">
        <v>2</v>
      </c>
    </row>
    <row r="2632" spans="1:9">
      <c r="A2632" s="257" t="s">
        <v>3730</v>
      </c>
      <c r="B2632" s="9">
        <v>7</v>
      </c>
      <c r="C2632" s="257" t="s">
        <v>10905</v>
      </c>
      <c r="D2632" s="9">
        <v>0.68083788938739931</v>
      </c>
      <c r="E2632" s="9">
        <v>1724929.0217895508</v>
      </c>
      <c r="F2632" s="257" t="s">
        <v>15171</v>
      </c>
      <c r="G2632" s="9"/>
      <c r="H2632" s="257" t="s">
        <v>20744</v>
      </c>
      <c r="I2632" s="9">
        <v>2</v>
      </c>
    </row>
    <row r="2633" spans="1:9">
      <c r="A2633" s="257" t="s">
        <v>3731</v>
      </c>
      <c r="B2633" s="9">
        <v>7</v>
      </c>
      <c r="C2633" s="257" t="s">
        <v>10906</v>
      </c>
      <c r="D2633" s="9">
        <v>1896.0723216673475</v>
      </c>
      <c r="E2633" s="9">
        <v>1724929.0217895508</v>
      </c>
      <c r="F2633" s="257" t="s">
        <v>15171</v>
      </c>
      <c r="G2633" s="9"/>
      <c r="H2633" s="257" t="s">
        <v>20745</v>
      </c>
      <c r="I2633" s="9">
        <v>2</v>
      </c>
    </row>
    <row r="2634" spans="1:9">
      <c r="A2634" s="257" t="s">
        <v>3732</v>
      </c>
      <c r="B2634" s="9">
        <v>7</v>
      </c>
      <c r="C2634" s="257" t="s">
        <v>10907</v>
      </c>
      <c r="D2634" s="9">
        <v>1724929.0217895508</v>
      </c>
      <c r="E2634" s="9">
        <v>1724929.0217895508</v>
      </c>
      <c r="F2634" s="257" t="s">
        <v>15172</v>
      </c>
      <c r="G2634" s="9"/>
      <c r="H2634" s="257" t="s">
        <v>20746</v>
      </c>
      <c r="I2634" s="9">
        <v>2</v>
      </c>
    </row>
    <row r="2635" spans="1:9">
      <c r="A2635" s="257" t="s">
        <v>3733</v>
      </c>
      <c r="B2635" s="9">
        <v>7</v>
      </c>
      <c r="C2635" s="257" t="s">
        <v>10908</v>
      </c>
      <c r="D2635" s="9">
        <v>16479885164.722324</v>
      </c>
      <c r="E2635" s="9">
        <v>1724929.0217895508</v>
      </c>
      <c r="F2635" s="257" t="s">
        <v>15172</v>
      </c>
      <c r="G2635" s="9"/>
      <c r="H2635" s="257" t="s">
        <v>20747</v>
      </c>
      <c r="I2635" s="9">
        <v>2</v>
      </c>
    </row>
    <row r="2636" spans="1:9">
      <c r="A2636" s="257" t="s">
        <v>3734</v>
      </c>
      <c r="B2636" s="9">
        <v>7</v>
      </c>
      <c r="C2636" s="257" t="s">
        <v>10909</v>
      </c>
      <c r="D2636" s="9">
        <v>1</v>
      </c>
      <c r="E2636" s="9">
        <v>1724929.0217895508</v>
      </c>
      <c r="F2636" s="257" t="s">
        <v>15172</v>
      </c>
      <c r="G2636" s="9"/>
      <c r="H2636" s="257" t="s">
        <v>20748</v>
      </c>
      <c r="I2636" s="9">
        <v>2</v>
      </c>
    </row>
    <row r="2637" spans="1:9">
      <c r="A2637" s="257" t="s">
        <v>3735</v>
      </c>
      <c r="B2637" s="9">
        <v>7</v>
      </c>
      <c r="C2637" s="257" t="s">
        <v>10910</v>
      </c>
      <c r="D2637" s="9">
        <v>9553.9497315808658</v>
      </c>
      <c r="E2637" s="9">
        <v>1724929.0217895508</v>
      </c>
      <c r="F2637" s="257" t="s">
        <v>15172</v>
      </c>
      <c r="G2637" s="9"/>
      <c r="H2637" s="257" t="s">
        <v>20749</v>
      </c>
      <c r="I2637" s="9">
        <v>2</v>
      </c>
    </row>
    <row r="2638" spans="1:9">
      <c r="A2638" s="257" t="s">
        <v>3736</v>
      </c>
      <c r="B2638" s="9">
        <v>7</v>
      </c>
      <c r="C2638" s="257" t="s">
        <v>10911</v>
      </c>
      <c r="D2638" s="9">
        <v>1724929.0217895508</v>
      </c>
      <c r="E2638" s="9">
        <v>1724929.0217895508</v>
      </c>
      <c r="F2638" s="257" t="s">
        <v>15173</v>
      </c>
      <c r="G2638" s="9"/>
      <c r="H2638" s="257" t="s">
        <v>20750</v>
      </c>
      <c r="I2638" s="9">
        <v>2</v>
      </c>
    </row>
    <row r="2639" spans="1:9">
      <c r="A2639" s="257" t="s">
        <v>3737</v>
      </c>
      <c r="B2639" s="9">
        <v>7</v>
      </c>
      <c r="C2639" s="257" t="s">
        <v>10912</v>
      </c>
      <c r="D2639" s="9">
        <v>16950243210.89575</v>
      </c>
      <c r="E2639" s="9">
        <v>1724929.0217895508</v>
      </c>
      <c r="F2639" s="257" t="s">
        <v>15173</v>
      </c>
      <c r="G2639" s="9"/>
      <c r="H2639" s="257" t="s">
        <v>20751</v>
      </c>
      <c r="I2639" s="9">
        <v>2</v>
      </c>
    </row>
    <row r="2640" spans="1:9">
      <c r="A2640" s="257" t="s">
        <v>3738</v>
      </c>
      <c r="B2640" s="9">
        <v>7</v>
      </c>
      <c r="C2640" s="257" t="s">
        <v>10913</v>
      </c>
      <c r="D2640" s="9">
        <v>1</v>
      </c>
      <c r="E2640" s="9">
        <v>1724929.0217895508</v>
      </c>
      <c r="F2640" s="257" t="s">
        <v>15173</v>
      </c>
      <c r="G2640" s="9"/>
      <c r="H2640" s="257" t="s">
        <v>20752</v>
      </c>
      <c r="I2640" s="9">
        <v>2</v>
      </c>
    </row>
    <row r="2641" spans="1:9">
      <c r="A2641" s="257" t="s">
        <v>3739</v>
      </c>
      <c r="B2641" s="9">
        <v>7</v>
      </c>
      <c r="C2641" s="257" t="s">
        <v>10914</v>
      </c>
      <c r="D2641" s="9">
        <v>9826.6322827071999</v>
      </c>
      <c r="E2641" s="9">
        <v>1724929.0217895508</v>
      </c>
      <c r="F2641" s="257" t="s">
        <v>15173</v>
      </c>
      <c r="G2641" s="9"/>
      <c r="H2641" s="257" t="s">
        <v>20753</v>
      </c>
      <c r="I2641" s="9">
        <v>2</v>
      </c>
    </row>
    <row r="2642" spans="1:9">
      <c r="A2642" s="257" t="s">
        <v>3740</v>
      </c>
      <c r="B2642" s="9">
        <v>7</v>
      </c>
      <c r="C2642" s="257" t="s">
        <v>10915</v>
      </c>
      <c r="D2642" s="9">
        <v>1295760.0436935425</v>
      </c>
      <c r="E2642" s="9">
        <v>1724929.0217895508</v>
      </c>
      <c r="F2642" s="257" t="s">
        <v>15174</v>
      </c>
      <c r="G2642" s="9"/>
      <c r="H2642" s="257" t="s">
        <v>20754</v>
      </c>
      <c r="I2642" s="9">
        <v>2</v>
      </c>
    </row>
    <row r="2643" spans="1:9">
      <c r="A2643" s="257" t="s">
        <v>3741</v>
      </c>
      <c r="B2643" s="9">
        <v>7</v>
      </c>
      <c r="C2643" s="257" t="s">
        <v>10916</v>
      </c>
      <c r="D2643" s="9">
        <v>8930858654.463974</v>
      </c>
      <c r="E2643" s="9">
        <v>1724929.0217895508</v>
      </c>
      <c r="F2643" s="257" t="s">
        <v>15174</v>
      </c>
      <c r="G2643" s="9"/>
      <c r="H2643" s="257" t="s">
        <v>20755</v>
      </c>
      <c r="I2643" s="9">
        <v>2</v>
      </c>
    </row>
    <row r="2644" spans="1:9">
      <c r="A2644" s="257" t="s">
        <v>3742</v>
      </c>
      <c r="B2644" s="9">
        <v>7</v>
      </c>
      <c r="C2644" s="257" t="s">
        <v>10917</v>
      </c>
      <c r="D2644" s="9">
        <v>0.75119615203020862</v>
      </c>
      <c r="E2644" s="9">
        <v>1724929.0217895508</v>
      </c>
      <c r="F2644" s="257" t="s">
        <v>15174</v>
      </c>
      <c r="G2644" s="9"/>
      <c r="H2644" s="257" t="s">
        <v>20756</v>
      </c>
      <c r="I2644" s="9">
        <v>2</v>
      </c>
    </row>
    <row r="2645" spans="1:9">
      <c r="A2645" s="257" t="s">
        <v>3743</v>
      </c>
      <c r="B2645" s="9">
        <v>7</v>
      </c>
      <c r="C2645" s="257" t="s">
        <v>10918</v>
      </c>
      <c r="D2645" s="9">
        <v>5177.5224033267959</v>
      </c>
      <c r="E2645" s="9">
        <v>1724929.0217895508</v>
      </c>
      <c r="F2645" s="257" t="s">
        <v>15174</v>
      </c>
      <c r="G2645" s="9"/>
      <c r="H2645" s="257" t="s">
        <v>20757</v>
      </c>
      <c r="I2645" s="9">
        <v>2</v>
      </c>
    </row>
    <row r="2646" spans="1:9">
      <c r="A2646" s="257" t="s">
        <v>3744</v>
      </c>
      <c r="B2646" s="9">
        <v>7</v>
      </c>
      <c r="C2646" s="257" t="s">
        <v>10919</v>
      </c>
      <c r="D2646" s="9">
        <v>1296750.3296737671</v>
      </c>
      <c r="E2646" s="9">
        <v>1724929.0217895508</v>
      </c>
      <c r="F2646" s="257" t="s">
        <v>15175</v>
      </c>
      <c r="G2646" s="9"/>
      <c r="H2646" s="257" t="s">
        <v>20758</v>
      </c>
      <c r="I2646" s="9">
        <v>2</v>
      </c>
    </row>
    <row r="2647" spans="1:9">
      <c r="A2647" s="257" t="s">
        <v>3745</v>
      </c>
      <c r="B2647" s="9">
        <v>7</v>
      </c>
      <c r="C2647" s="257" t="s">
        <v>10920</v>
      </c>
      <c r="D2647" s="9">
        <v>9401216700.6373997</v>
      </c>
      <c r="E2647" s="9">
        <v>1724929.0217895508</v>
      </c>
      <c r="F2647" s="257" t="s">
        <v>15175</v>
      </c>
      <c r="G2647" s="9"/>
      <c r="H2647" s="257" t="s">
        <v>20759</v>
      </c>
      <c r="I2647" s="9">
        <v>2</v>
      </c>
    </row>
    <row r="2648" spans="1:9">
      <c r="A2648" s="257" t="s">
        <v>3746</v>
      </c>
      <c r="B2648" s="9">
        <v>7</v>
      </c>
      <c r="C2648" s="257" t="s">
        <v>10921</v>
      </c>
      <c r="D2648" s="9">
        <v>0.75177025448179657</v>
      </c>
      <c r="E2648" s="9">
        <v>1724929.0217895508</v>
      </c>
      <c r="F2648" s="257" t="s">
        <v>15175</v>
      </c>
      <c r="G2648" s="9"/>
      <c r="H2648" s="257" t="s">
        <v>20760</v>
      </c>
      <c r="I2648" s="9">
        <v>2</v>
      </c>
    </row>
    <row r="2649" spans="1:9">
      <c r="A2649" s="257" t="s">
        <v>3747</v>
      </c>
      <c r="B2649" s="9">
        <v>7</v>
      </c>
      <c r="C2649" s="257" t="s">
        <v>10922</v>
      </c>
      <c r="D2649" s="9">
        <v>5450.2049544531292</v>
      </c>
      <c r="E2649" s="9">
        <v>1724929.0217895508</v>
      </c>
      <c r="F2649" s="257" t="s">
        <v>15175</v>
      </c>
      <c r="G2649" s="9"/>
      <c r="H2649" s="257" t="s">
        <v>20761</v>
      </c>
      <c r="I2649" s="9">
        <v>2</v>
      </c>
    </row>
    <row r="2650" spans="1:9">
      <c r="A2650" s="257" t="s">
        <v>3748</v>
      </c>
      <c r="B2650" s="9">
        <v>7</v>
      </c>
      <c r="C2650" s="257" t="s">
        <v>10923</v>
      </c>
      <c r="D2650" s="9">
        <v>1724929.0217895508</v>
      </c>
      <c r="E2650" s="9">
        <v>1724929.0217895508</v>
      </c>
      <c r="F2650" s="257" t="s">
        <v>15176</v>
      </c>
      <c r="G2650" s="9"/>
      <c r="H2650" s="257" t="s">
        <v>20762</v>
      </c>
      <c r="I2650" s="9">
        <v>2</v>
      </c>
    </row>
    <row r="2651" spans="1:9">
      <c r="A2651" s="257" t="s">
        <v>3749</v>
      </c>
      <c r="B2651" s="9">
        <v>7</v>
      </c>
      <c r="C2651" s="257" t="s">
        <v>10924</v>
      </c>
      <c r="D2651" s="9">
        <v>4278436335.2024503</v>
      </c>
      <c r="E2651" s="9">
        <v>1724929.0217895508</v>
      </c>
      <c r="F2651" s="257" t="s">
        <v>15176</v>
      </c>
      <c r="G2651" s="9"/>
      <c r="H2651" s="257" t="s">
        <v>20763</v>
      </c>
      <c r="I2651" s="9">
        <v>2</v>
      </c>
    </row>
    <row r="2652" spans="1:9">
      <c r="A2652" s="257" t="s">
        <v>3750</v>
      </c>
      <c r="B2652" s="9">
        <v>7</v>
      </c>
      <c r="C2652" s="257" t="s">
        <v>10925</v>
      </c>
      <c r="D2652" s="9">
        <v>1</v>
      </c>
      <c r="E2652" s="9">
        <v>1724929.0217895508</v>
      </c>
      <c r="F2652" s="257" t="s">
        <v>15176</v>
      </c>
      <c r="G2652" s="9"/>
      <c r="H2652" s="257" t="s">
        <v>20764</v>
      </c>
      <c r="I2652" s="9">
        <v>2</v>
      </c>
    </row>
    <row r="2653" spans="1:9">
      <c r="A2653" s="257" t="s">
        <v>3751</v>
      </c>
      <c r="B2653" s="9">
        <v>7</v>
      </c>
      <c r="C2653" s="257" t="s">
        <v>10926</v>
      </c>
      <c r="D2653" s="9">
        <v>2480.3550065867225</v>
      </c>
      <c r="E2653" s="9">
        <v>1724929.0217895508</v>
      </c>
      <c r="F2653" s="257" t="s">
        <v>15176</v>
      </c>
      <c r="G2653" s="9"/>
      <c r="H2653" s="257" t="s">
        <v>20765</v>
      </c>
      <c r="I2653" s="9">
        <v>2</v>
      </c>
    </row>
    <row r="2654" spans="1:9">
      <c r="A2654" s="257" t="s">
        <v>3752</v>
      </c>
      <c r="B2654" s="9">
        <v>7</v>
      </c>
      <c r="C2654" s="257" t="s">
        <v>10927</v>
      </c>
      <c r="D2654" s="9">
        <v>1724929.0217895508</v>
      </c>
      <c r="E2654" s="9">
        <v>1724929.0217895508</v>
      </c>
      <c r="F2654" s="257" t="s">
        <v>15177</v>
      </c>
      <c r="G2654" s="9"/>
      <c r="H2654" s="257" t="s">
        <v>20766</v>
      </c>
      <c r="I2654" s="9">
        <v>2</v>
      </c>
    </row>
    <row r="2655" spans="1:9">
      <c r="A2655" s="257" t="s">
        <v>3753</v>
      </c>
      <c r="B2655" s="9">
        <v>7</v>
      </c>
      <c r="C2655" s="257" t="s">
        <v>10928</v>
      </c>
      <c r="D2655" s="9">
        <v>7131054318.2032032</v>
      </c>
      <c r="E2655" s="9">
        <v>1724929.0217895508</v>
      </c>
      <c r="F2655" s="257" t="s">
        <v>15177</v>
      </c>
      <c r="G2655" s="9"/>
      <c r="H2655" s="257" t="s">
        <v>20767</v>
      </c>
      <c r="I2655" s="9">
        <v>2</v>
      </c>
    </row>
    <row r="2656" spans="1:9">
      <c r="A2656" s="257" t="s">
        <v>3754</v>
      </c>
      <c r="B2656" s="9">
        <v>7</v>
      </c>
      <c r="C2656" s="257" t="s">
        <v>10929</v>
      </c>
      <c r="D2656" s="9">
        <v>1</v>
      </c>
      <c r="E2656" s="9">
        <v>1724929.0217895508</v>
      </c>
      <c r="F2656" s="257" t="s">
        <v>15177</v>
      </c>
      <c r="G2656" s="9"/>
      <c r="H2656" s="257" t="s">
        <v>20768</v>
      </c>
      <c r="I2656" s="9">
        <v>2</v>
      </c>
    </row>
    <row r="2657" spans="1:9">
      <c r="A2657" s="257" t="s">
        <v>3755</v>
      </c>
      <c r="B2657" s="9">
        <v>7</v>
      </c>
      <c r="C2657" s="257" t="s">
        <v>10930</v>
      </c>
      <c r="D2657" s="9">
        <v>4134.1146378330368</v>
      </c>
      <c r="E2657" s="9">
        <v>1724929.0217895508</v>
      </c>
      <c r="F2657" s="257" t="s">
        <v>15177</v>
      </c>
      <c r="G2657" s="9"/>
      <c r="H2657" s="257" t="s">
        <v>20769</v>
      </c>
      <c r="I2657" s="9">
        <v>2</v>
      </c>
    </row>
    <row r="2658" spans="1:9">
      <c r="A2658" s="257" t="s">
        <v>3756</v>
      </c>
      <c r="B2658" s="9">
        <v>7</v>
      </c>
      <c r="C2658" s="257" t="s">
        <v>10931</v>
      </c>
      <c r="D2658" s="9">
        <v>1311616.5118942261</v>
      </c>
      <c r="E2658" s="9">
        <v>1724929.0217895508</v>
      </c>
      <c r="F2658" s="257" t="s">
        <v>15178</v>
      </c>
      <c r="G2658" s="9"/>
      <c r="H2658" s="257" t="s">
        <v>20770</v>
      </c>
      <c r="I2658" s="9">
        <v>2</v>
      </c>
    </row>
    <row r="2659" spans="1:9">
      <c r="A2659" s="257" t="s">
        <v>3757</v>
      </c>
      <c r="B2659" s="9">
        <v>7</v>
      </c>
      <c r="C2659" s="257" t="s">
        <v>10932</v>
      </c>
      <c r="D2659" s="9">
        <v>10822267563.697081</v>
      </c>
      <c r="E2659" s="9">
        <v>1724929.0217895508</v>
      </c>
      <c r="F2659" s="257" t="s">
        <v>15178</v>
      </c>
      <c r="G2659" s="9"/>
      <c r="H2659" s="257" t="s">
        <v>20771</v>
      </c>
      <c r="I2659" s="9">
        <v>2</v>
      </c>
    </row>
    <row r="2660" spans="1:9">
      <c r="A2660" s="257" t="s">
        <v>3758</v>
      </c>
      <c r="B2660" s="9">
        <v>7</v>
      </c>
      <c r="C2660" s="257" t="s">
        <v>10933</v>
      </c>
      <c r="D2660" s="9">
        <v>0.76038868575210816</v>
      </c>
      <c r="E2660" s="9">
        <v>1724929.0217895508</v>
      </c>
      <c r="F2660" s="257" t="s">
        <v>15178</v>
      </c>
      <c r="G2660" s="9"/>
      <c r="H2660" s="257" t="s">
        <v>20772</v>
      </c>
      <c r="I2660" s="9">
        <v>2</v>
      </c>
    </row>
    <row r="2661" spans="1:9">
      <c r="A2661" s="257" t="s">
        <v>3759</v>
      </c>
      <c r="B2661" s="9">
        <v>7</v>
      </c>
      <c r="C2661" s="257" t="s">
        <v>10934</v>
      </c>
      <c r="D2661" s="9">
        <v>6274.0364542474763</v>
      </c>
      <c r="E2661" s="9">
        <v>1724929.0217895508</v>
      </c>
      <c r="F2661" s="257" t="s">
        <v>15178</v>
      </c>
      <c r="G2661" s="9"/>
      <c r="H2661" s="257" t="s">
        <v>20773</v>
      </c>
      <c r="I2661" s="9">
        <v>2</v>
      </c>
    </row>
    <row r="2662" spans="1:9">
      <c r="A2662" s="257" t="s">
        <v>3760</v>
      </c>
      <c r="B2662" s="9">
        <v>7</v>
      </c>
      <c r="C2662" s="257" t="s">
        <v>10935</v>
      </c>
      <c r="D2662" s="9">
        <v>0</v>
      </c>
      <c r="E2662" s="9">
        <v>1724929.0217895508</v>
      </c>
      <c r="F2662" s="257" t="s">
        <v>15179</v>
      </c>
      <c r="G2662" s="9"/>
      <c r="H2662" s="257" t="s">
        <v>20774</v>
      </c>
      <c r="I2662" s="9">
        <v>2</v>
      </c>
    </row>
    <row r="2663" spans="1:9">
      <c r="A2663" s="257" t="s">
        <v>3761</v>
      </c>
      <c r="B2663" s="9">
        <v>7</v>
      </c>
      <c r="C2663" s="257" t="s">
        <v>10936</v>
      </c>
      <c r="D2663" s="9">
        <v>-1003078671.0045338</v>
      </c>
      <c r="E2663" s="9">
        <v>1724929.0217895508</v>
      </c>
      <c r="F2663" s="257" t="s">
        <v>15179</v>
      </c>
      <c r="G2663" s="9"/>
      <c r="H2663" s="257" t="s">
        <v>20775</v>
      </c>
      <c r="I2663" s="9">
        <v>2</v>
      </c>
    </row>
    <row r="2664" spans="1:9">
      <c r="A2664" s="257" t="s">
        <v>3762</v>
      </c>
      <c r="B2664" s="9">
        <v>7</v>
      </c>
      <c r="C2664" s="257" t="s">
        <v>10937</v>
      </c>
      <c r="D2664" s="9">
        <v>0</v>
      </c>
      <c r="E2664" s="9">
        <v>1724929.0217895508</v>
      </c>
      <c r="F2664" s="257" t="s">
        <v>15179</v>
      </c>
      <c r="G2664" s="9"/>
      <c r="H2664" s="257" t="s">
        <v>20776</v>
      </c>
      <c r="I2664" s="9">
        <v>2</v>
      </c>
    </row>
    <row r="2665" spans="1:9">
      <c r="A2665" s="257" t="s">
        <v>3763</v>
      </c>
      <c r="B2665" s="9">
        <v>7</v>
      </c>
      <c r="C2665" s="257" t="s">
        <v>10938</v>
      </c>
      <c r="D2665" s="9">
        <v>-581.51880937331339</v>
      </c>
      <c r="E2665" s="9">
        <v>1724929.0217895508</v>
      </c>
      <c r="F2665" s="257" t="s">
        <v>15179</v>
      </c>
      <c r="G2665" s="9"/>
      <c r="H2665" s="257" t="s">
        <v>20777</v>
      </c>
      <c r="I2665" s="9">
        <v>2</v>
      </c>
    </row>
    <row r="2666" spans="1:9">
      <c r="A2666" s="257" t="s">
        <v>3764</v>
      </c>
      <c r="B2666" s="9">
        <v>7</v>
      </c>
      <c r="C2666" s="257" t="s">
        <v>10939</v>
      </c>
      <c r="D2666" s="9">
        <v>1305759.1216659546</v>
      </c>
      <c r="E2666" s="9">
        <v>1724929.0217895508</v>
      </c>
      <c r="F2666" s="257" t="s">
        <v>15180</v>
      </c>
      <c r="G2666" s="9"/>
      <c r="H2666" s="257" t="s">
        <v>20778</v>
      </c>
      <c r="I2666" s="9">
        <v>2</v>
      </c>
    </row>
    <row r="2667" spans="1:9">
      <c r="A2667" s="257" t="s">
        <v>3765</v>
      </c>
      <c r="B2667" s="9">
        <v>7</v>
      </c>
      <c r="C2667" s="257" t="s">
        <v>10940</v>
      </c>
      <c r="D2667" s="9">
        <v>9819188892.6925468</v>
      </c>
      <c r="E2667" s="9">
        <v>1724929.0217895508</v>
      </c>
      <c r="F2667" s="257" t="s">
        <v>15180</v>
      </c>
      <c r="G2667" s="9"/>
      <c r="H2667" s="257" t="s">
        <v>20779</v>
      </c>
      <c r="I2667" s="9">
        <v>2</v>
      </c>
    </row>
    <row r="2668" spans="1:9">
      <c r="A2668" s="257" t="s">
        <v>3766</v>
      </c>
      <c r="B2668" s="9">
        <v>7</v>
      </c>
      <c r="C2668" s="257" t="s">
        <v>10941</v>
      </c>
      <c r="D2668" s="9">
        <v>0.75699295749066664</v>
      </c>
      <c r="E2668" s="9">
        <v>1724929.0217895508</v>
      </c>
      <c r="F2668" s="257" t="s">
        <v>15180</v>
      </c>
      <c r="G2668" s="9"/>
      <c r="H2668" s="257" t="s">
        <v>20780</v>
      </c>
      <c r="I2668" s="9">
        <v>2</v>
      </c>
    </row>
    <row r="2669" spans="1:9">
      <c r="A2669" s="257" t="s">
        <v>3767</v>
      </c>
      <c r="B2669" s="9">
        <v>7</v>
      </c>
      <c r="C2669" s="257" t="s">
        <v>10942</v>
      </c>
      <c r="D2669" s="9">
        <v>5692.5176448741631</v>
      </c>
      <c r="E2669" s="9">
        <v>1724929.0217895508</v>
      </c>
      <c r="F2669" s="257" t="s">
        <v>15180</v>
      </c>
      <c r="G2669" s="9"/>
      <c r="H2669" s="257" t="s">
        <v>20781</v>
      </c>
      <c r="I2669" s="9">
        <v>2</v>
      </c>
    </row>
    <row r="2670" spans="1:9">
      <c r="A2670" s="257" t="s">
        <v>3768</v>
      </c>
      <c r="B2670" s="9">
        <v>7</v>
      </c>
      <c r="C2670" s="257" t="s">
        <v>10943</v>
      </c>
      <c r="D2670" s="9">
        <v>179535.82540893555</v>
      </c>
      <c r="E2670" s="9">
        <v>1724929.0217895508</v>
      </c>
      <c r="F2670" s="257" t="s">
        <v>15181</v>
      </c>
      <c r="G2670" s="9"/>
      <c r="H2670" s="257" t="s">
        <v>20782</v>
      </c>
      <c r="I2670" s="9">
        <v>2</v>
      </c>
    </row>
    <row r="2671" spans="1:9">
      <c r="A2671" s="257" t="s">
        <v>3769</v>
      </c>
      <c r="B2671" s="9">
        <v>7</v>
      </c>
      <c r="C2671" s="257" t="s">
        <v>10944</v>
      </c>
      <c r="D2671" s="9">
        <v>417972192.05514735</v>
      </c>
      <c r="E2671" s="9">
        <v>1724929.0217895508</v>
      </c>
      <c r="F2671" s="257" t="s">
        <v>15181</v>
      </c>
      <c r="G2671" s="9"/>
      <c r="H2671" s="257" t="s">
        <v>20783</v>
      </c>
      <c r="I2671" s="9">
        <v>2</v>
      </c>
    </row>
    <row r="2672" spans="1:9">
      <c r="A2672" s="257" t="s">
        <v>3770</v>
      </c>
      <c r="B2672" s="9">
        <v>7</v>
      </c>
      <c r="C2672" s="257" t="s">
        <v>10945</v>
      </c>
      <c r="D2672" s="9">
        <v>0.10408302204961088</v>
      </c>
      <c r="E2672" s="9">
        <v>1724929.0217895508</v>
      </c>
      <c r="F2672" s="257" t="s">
        <v>15181</v>
      </c>
      <c r="G2672" s="9"/>
      <c r="H2672" s="257" t="s">
        <v>20784</v>
      </c>
      <c r="I2672" s="9">
        <v>2</v>
      </c>
    </row>
    <row r="2673" spans="1:9">
      <c r="A2673" s="257" t="s">
        <v>3771</v>
      </c>
      <c r="B2673" s="9">
        <v>7</v>
      </c>
      <c r="C2673" s="257" t="s">
        <v>10946</v>
      </c>
      <c r="D2673" s="9">
        <v>242.31269042103338</v>
      </c>
      <c r="E2673" s="9">
        <v>1724929.0217895508</v>
      </c>
      <c r="F2673" s="257" t="s">
        <v>15181</v>
      </c>
      <c r="G2673" s="9"/>
      <c r="H2673" s="257" t="s">
        <v>20785</v>
      </c>
      <c r="I2673" s="9">
        <v>2</v>
      </c>
    </row>
    <row r="2674" spans="1:9">
      <c r="A2674" s="257" t="s">
        <v>3772</v>
      </c>
      <c r="B2674" s="9">
        <v>7</v>
      </c>
      <c r="C2674" s="257" t="s">
        <v>10947</v>
      </c>
      <c r="D2674" s="9">
        <v>1147029.032371521</v>
      </c>
      <c r="E2674" s="9">
        <v>1724929.0217895508</v>
      </c>
      <c r="F2674" s="257" t="s">
        <v>15182</v>
      </c>
      <c r="G2674" s="9"/>
      <c r="H2674" s="257" t="s">
        <v>20786</v>
      </c>
      <c r="I2674" s="9">
        <v>2</v>
      </c>
    </row>
    <row r="2675" spans="1:9">
      <c r="A2675" s="257" t="s">
        <v>3773</v>
      </c>
      <c r="B2675" s="9">
        <v>7</v>
      </c>
      <c r="C2675" s="257" t="s">
        <v>10948</v>
      </c>
      <c r="D2675" s="9">
        <v>2852617983.0007524</v>
      </c>
      <c r="E2675" s="9">
        <v>1724929.0217895508</v>
      </c>
      <c r="F2675" s="257" t="s">
        <v>15182</v>
      </c>
      <c r="G2675" s="9"/>
      <c r="H2675" s="257" t="s">
        <v>20787</v>
      </c>
      <c r="I2675" s="9">
        <v>2</v>
      </c>
    </row>
    <row r="2676" spans="1:9">
      <c r="A2676" s="257" t="s">
        <v>3774</v>
      </c>
      <c r="B2676" s="9">
        <v>7</v>
      </c>
      <c r="C2676" s="257" t="s">
        <v>10949</v>
      </c>
      <c r="D2676" s="9">
        <v>0.66497172804334892</v>
      </c>
      <c r="E2676" s="9">
        <v>1724929.0217895508</v>
      </c>
      <c r="F2676" s="257" t="s">
        <v>15182</v>
      </c>
      <c r="G2676" s="9"/>
      <c r="H2676" s="257" t="s">
        <v>20788</v>
      </c>
      <c r="I2676" s="9">
        <v>2</v>
      </c>
    </row>
    <row r="2677" spans="1:9">
      <c r="A2677" s="257" t="s">
        <v>3775</v>
      </c>
      <c r="B2677" s="9">
        <v>7</v>
      </c>
      <c r="C2677" s="257" t="s">
        <v>10950</v>
      </c>
      <c r="D2677" s="9">
        <v>1653.7596312463138</v>
      </c>
      <c r="E2677" s="9">
        <v>1724929.0217895508</v>
      </c>
      <c r="F2677" s="257" t="s">
        <v>15182</v>
      </c>
      <c r="G2677" s="9"/>
      <c r="H2677" s="257" t="s">
        <v>20789</v>
      </c>
      <c r="I2677" s="9">
        <v>2</v>
      </c>
    </row>
    <row r="2678" spans="1:9">
      <c r="A2678" s="257" t="s">
        <v>3776</v>
      </c>
      <c r="B2678" s="9">
        <v>7</v>
      </c>
      <c r="C2678" s="257" t="s">
        <v>10951</v>
      </c>
      <c r="D2678" s="9">
        <v>0</v>
      </c>
      <c r="E2678" s="9">
        <v>1724929.0217895508</v>
      </c>
      <c r="F2678" s="257" t="s">
        <v>15183</v>
      </c>
      <c r="G2678" s="9"/>
      <c r="H2678" s="257" t="s">
        <v>20790</v>
      </c>
      <c r="I2678" s="9">
        <v>2</v>
      </c>
    </row>
    <row r="2679" spans="1:9">
      <c r="A2679" s="257" t="s">
        <v>3777</v>
      </c>
      <c r="B2679" s="9">
        <v>7</v>
      </c>
      <c r="C2679" s="257" t="s">
        <v>10952</v>
      </c>
      <c r="D2679" s="9">
        <v>0</v>
      </c>
      <c r="E2679" s="9">
        <v>1724929.0217895508</v>
      </c>
      <c r="F2679" s="257" t="s">
        <v>15183</v>
      </c>
      <c r="G2679" s="9"/>
      <c r="H2679" s="257" t="s">
        <v>20791</v>
      </c>
      <c r="I2679" s="9">
        <v>2</v>
      </c>
    </row>
    <row r="2680" spans="1:9">
      <c r="A2680" s="257" t="s">
        <v>3778</v>
      </c>
      <c r="B2680" s="9">
        <v>7</v>
      </c>
      <c r="C2680" s="257" t="s">
        <v>10953</v>
      </c>
      <c r="D2680" s="9">
        <v>0</v>
      </c>
      <c r="E2680" s="9">
        <v>1724929.0217895508</v>
      </c>
      <c r="F2680" s="257" t="s">
        <v>15183</v>
      </c>
      <c r="G2680" s="9"/>
      <c r="H2680" s="257" t="s">
        <v>20792</v>
      </c>
      <c r="I2680" s="9">
        <v>2</v>
      </c>
    </row>
    <row r="2681" spans="1:9">
      <c r="A2681" s="257" t="s">
        <v>3779</v>
      </c>
      <c r="B2681" s="9">
        <v>7</v>
      </c>
      <c r="C2681" s="257" t="s">
        <v>10954</v>
      </c>
      <c r="D2681" s="9">
        <v>0</v>
      </c>
      <c r="E2681" s="9">
        <v>1724929.0217895508</v>
      </c>
      <c r="F2681" s="257" t="s">
        <v>15183</v>
      </c>
      <c r="G2681" s="9"/>
      <c r="H2681" s="257" t="s">
        <v>20793</v>
      </c>
      <c r="I2681" s="9">
        <v>2</v>
      </c>
    </row>
    <row r="2682" spans="1:9">
      <c r="A2682" s="257" t="s">
        <v>3780</v>
      </c>
      <c r="B2682" s="9">
        <v>8</v>
      </c>
      <c r="C2682" s="257" t="s">
        <v>10955</v>
      </c>
      <c r="D2682" s="9">
        <v>1369300.6716537476</v>
      </c>
      <c r="E2682" s="9">
        <v>1724851.1857852936</v>
      </c>
      <c r="F2682" s="257" t="s">
        <v>15184</v>
      </c>
      <c r="G2682" s="9"/>
      <c r="H2682" s="257" t="s">
        <v>20794</v>
      </c>
      <c r="I2682" s="9">
        <v>2</v>
      </c>
    </row>
    <row r="2683" spans="1:9">
      <c r="A2683" s="257" t="s">
        <v>3781</v>
      </c>
      <c r="B2683" s="9">
        <v>8</v>
      </c>
      <c r="C2683" s="257" t="s">
        <v>10956</v>
      </c>
      <c r="D2683" s="9">
        <v>7437508738.2445278</v>
      </c>
      <c r="E2683" s="9">
        <v>1724851.1857852936</v>
      </c>
      <c r="F2683" s="257" t="s">
        <v>15184</v>
      </c>
      <c r="G2683" s="9"/>
      <c r="H2683" s="257" t="s">
        <v>20795</v>
      </c>
      <c r="I2683" s="9">
        <v>2</v>
      </c>
    </row>
    <row r="2684" spans="1:9">
      <c r="A2684" s="257" t="s">
        <v>3782</v>
      </c>
      <c r="B2684" s="9">
        <v>8</v>
      </c>
      <c r="C2684" s="257" t="s">
        <v>10957</v>
      </c>
      <c r="D2684" s="9">
        <v>0.79386597692503524</v>
      </c>
      <c r="E2684" s="9">
        <v>1724851.1857852936</v>
      </c>
      <c r="F2684" s="257" t="s">
        <v>15184</v>
      </c>
      <c r="G2684" s="9"/>
      <c r="H2684" s="257" t="s">
        <v>20796</v>
      </c>
      <c r="I2684" s="9">
        <v>2</v>
      </c>
    </row>
    <row r="2685" spans="1:9">
      <c r="A2685" s="257" t="s">
        <v>3783</v>
      </c>
      <c r="B2685" s="9">
        <v>8</v>
      </c>
      <c r="C2685" s="257" t="s">
        <v>10958</v>
      </c>
      <c r="D2685" s="9">
        <v>4311.9712584702575</v>
      </c>
      <c r="E2685" s="9">
        <v>1724851.1857852936</v>
      </c>
      <c r="F2685" s="257" t="s">
        <v>15184</v>
      </c>
      <c r="G2685" s="9"/>
      <c r="H2685" s="257" t="s">
        <v>20797</v>
      </c>
      <c r="I2685" s="9">
        <v>2</v>
      </c>
    </row>
    <row r="2686" spans="1:9">
      <c r="A2686" s="257" t="s">
        <v>3784</v>
      </c>
      <c r="B2686" s="9">
        <v>8</v>
      </c>
      <c r="C2686" s="257" t="s">
        <v>10959</v>
      </c>
      <c r="D2686" s="9">
        <v>0</v>
      </c>
      <c r="E2686" s="9">
        <v>1724851.1857852936</v>
      </c>
      <c r="F2686" s="257" t="s">
        <v>15185</v>
      </c>
      <c r="G2686" s="9"/>
      <c r="H2686" s="257" t="s">
        <v>20798</v>
      </c>
      <c r="I2686" s="9">
        <v>2</v>
      </c>
    </row>
    <row r="2687" spans="1:9">
      <c r="A2687" s="257" t="s">
        <v>3785</v>
      </c>
      <c r="B2687" s="9">
        <v>8</v>
      </c>
      <c r="C2687" s="257" t="s">
        <v>10960</v>
      </c>
      <c r="D2687" s="9">
        <v>0</v>
      </c>
      <c r="E2687" s="9">
        <v>1724851.1857852936</v>
      </c>
      <c r="F2687" s="257" t="s">
        <v>15185</v>
      </c>
      <c r="G2687" s="9"/>
      <c r="H2687" s="257" t="s">
        <v>20799</v>
      </c>
      <c r="I2687" s="9">
        <v>2</v>
      </c>
    </row>
    <row r="2688" spans="1:9">
      <c r="A2688" s="257" t="s">
        <v>3786</v>
      </c>
      <c r="B2688" s="9">
        <v>8</v>
      </c>
      <c r="C2688" s="257" t="s">
        <v>10961</v>
      </c>
      <c r="D2688" s="9">
        <v>0</v>
      </c>
      <c r="E2688" s="9">
        <v>1724851.1857852936</v>
      </c>
      <c r="F2688" s="257" t="s">
        <v>15185</v>
      </c>
      <c r="G2688" s="9"/>
      <c r="H2688" s="257" t="s">
        <v>20800</v>
      </c>
      <c r="I2688" s="9">
        <v>2</v>
      </c>
    </row>
    <row r="2689" spans="1:9">
      <c r="A2689" s="257" t="s">
        <v>3787</v>
      </c>
      <c r="B2689" s="9">
        <v>8</v>
      </c>
      <c r="C2689" s="257" t="s">
        <v>10962</v>
      </c>
      <c r="D2689" s="9">
        <v>0</v>
      </c>
      <c r="E2689" s="9">
        <v>1724851.1857852936</v>
      </c>
      <c r="F2689" s="257" t="s">
        <v>15185</v>
      </c>
      <c r="G2689" s="9"/>
      <c r="H2689" s="257" t="s">
        <v>20801</v>
      </c>
      <c r="I2689" s="9">
        <v>2</v>
      </c>
    </row>
    <row r="2690" spans="1:9">
      <c r="A2690" s="257" t="s">
        <v>3788</v>
      </c>
      <c r="B2690" s="9">
        <v>8</v>
      </c>
      <c r="C2690" s="257" t="s">
        <v>10963</v>
      </c>
      <c r="D2690" s="9">
        <v>1446748.3887634277</v>
      </c>
      <c r="E2690" s="9">
        <v>1724851.1857852936</v>
      </c>
      <c r="F2690" s="257" t="s">
        <v>15186</v>
      </c>
      <c r="G2690" s="9"/>
      <c r="H2690" s="257" t="s">
        <v>20802</v>
      </c>
      <c r="I2690" s="9">
        <v>2</v>
      </c>
    </row>
    <row r="2691" spans="1:9">
      <c r="A2691" s="257" t="s">
        <v>3789</v>
      </c>
      <c r="B2691" s="9">
        <v>8</v>
      </c>
      <c r="C2691" s="257" t="s">
        <v>10964</v>
      </c>
      <c r="D2691" s="9">
        <v>570021555.98470545</v>
      </c>
      <c r="E2691" s="9">
        <v>1724851.1857852936</v>
      </c>
      <c r="F2691" s="257" t="s">
        <v>15186</v>
      </c>
      <c r="G2691" s="9"/>
      <c r="H2691" s="257" t="s">
        <v>20803</v>
      </c>
      <c r="I2691" s="9">
        <v>2</v>
      </c>
    </row>
    <row r="2692" spans="1:9">
      <c r="A2692" s="257" t="s">
        <v>3790</v>
      </c>
      <c r="B2692" s="9">
        <v>8</v>
      </c>
      <c r="C2692" s="257" t="s">
        <v>10965</v>
      </c>
      <c r="D2692" s="9">
        <v>0.8387670778130053</v>
      </c>
      <c r="E2692" s="9">
        <v>1724851.1857852936</v>
      </c>
      <c r="F2692" s="257" t="s">
        <v>15186</v>
      </c>
      <c r="G2692" s="9"/>
      <c r="H2692" s="257" t="s">
        <v>20804</v>
      </c>
      <c r="I2692" s="9">
        <v>2</v>
      </c>
    </row>
    <row r="2693" spans="1:9">
      <c r="A2693" s="257" t="s">
        <v>3791</v>
      </c>
      <c r="B2693" s="9">
        <v>8</v>
      </c>
      <c r="C2693" s="257" t="s">
        <v>10966</v>
      </c>
      <c r="D2693" s="9">
        <v>330.47578868387126</v>
      </c>
      <c r="E2693" s="9">
        <v>1724851.1857852936</v>
      </c>
      <c r="F2693" s="257" t="s">
        <v>15186</v>
      </c>
      <c r="G2693" s="9"/>
      <c r="H2693" s="257" t="s">
        <v>20805</v>
      </c>
      <c r="I2693" s="9">
        <v>2</v>
      </c>
    </row>
    <row r="2694" spans="1:9">
      <c r="A2694" s="257" t="s">
        <v>3792</v>
      </c>
      <c r="B2694" s="9">
        <v>8</v>
      </c>
      <c r="C2694" s="257" t="s">
        <v>10967</v>
      </c>
      <c r="D2694" s="9">
        <v>0</v>
      </c>
      <c r="E2694" s="9">
        <v>1724851.1857852936</v>
      </c>
      <c r="F2694" s="257" t="s">
        <v>15187</v>
      </c>
      <c r="G2694" s="9"/>
      <c r="H2694" s="257" t="s">
        <v>20806</v>
      </c>
      <c r="I2694" s="9">
        <v>2</v>
      </c>
    </row>
    <row r="2695" spans="1:9">
      <c r="A2695" s="257" t="s">
        <v>3793</v>
      </c>
      <c r="B2695" s="9">
        <v>8</v>
      </c>
      <c r="C2695" s="257" t="s">
        <v>10968</v>
      </c>
      <c r="D2695" s="9">
        <v>0</v>
      </c>
      <c r="E2695" s="9">
        <v>1724851.1857852936</v>
      </c>
      <c r="F2695" s="257" t="s">
        <v>15187</v>
      </c>
      <c r="G2695" s="9"/>
      <c r="H2695" s="257" t="s">
        <v>20807</v>
      </c>
      <c r="I2695" s="9">
        <v>2</v>
      </c>
    </row>
    <row r="2696" spans="1:9">
      <c r="A2696" s="257" t="s">
        <v>3794</v>
      </c>
      <c r="B2696" s="9">
        <v>8</v>
      </c>
      <c r="C2696" s="257" t="s">
        <v>10969</v>
      </c>
      <c r="D2696" s="9">
        <v>0</v>
      </c>
      <c r="E2696" s="9">
        <v>1724851.1857852936</v>
      </c>
      <c r="F2696" s="257" t="s">
        <v>15187</v>
      </c>
      <c r="G2696" s="9"/>
      <c r="H2696" s="257" t="s">
        <v>20808</v>
      </c>
      <c r="I2696" s="9">
        <v>2</v>
      </c>
    </row>
    <row r="2697" spans="1:9">
      <c r="A2697" s="257" t="s">
        <v>3795</v>
      </c>
      <c r="B2697" s="9">
        <v>8</v>
      </c>
      <c r="C2697" s="257" t="s">
        <v>10970</v>
      </c>
      <c r="D2697" s="9">
        <v>0</v>
      </c>
      <c r="E2697" s="9">
        <v>1724851.1857852936</v>
      </c>
      <c r="F2697" s="257" t="s">
        <v>15187</v>
      </c>
      <c r="G2697" s="9"/>
      <c r="H2697" s="257" t="s">
        <v>20809</v>
      </c>
      <c r="I2697" s="9">
        <v>2</v>
      </c>
    </row>
    <row r="2698" spans="1:9">
      <c r="A2698" s="257" t="s">
        <v>3796</v>
      </c>
      <c r="B2698" s="9">
        <v>8</v>
      </c>
      <c r="C2698" s="257" t="s">
        <v>10971</v>
      </c>
      <c r="D2698" s="9">
        <v>0</v>
      </c>
      <c r="E2698" s="9">
        <v>1724851.1857852936</v>
      </c>
      <c r="F2698" s="257" t="s">
        <v>15188</v>
      </c>
      <c r="G2698" s="9"/>
      <c r="H2698" s="257" t="s">
        <v>20810</v>
      </c>
      <c r="I2698" s="9">
        <v>2</v>
      </c>
    </row>
    <row r="2699" spans="1:9">
      <c r="A2699" s="257" t="s">
        <v>3797</v>
      </c>
      <c r="B2699" s="9">
        <v>8</v>
      </c>
      <c r="C2699" s="257" t="s">
        <v>10972</v>
      </c>
      <c r="D2699" s="9">
        <v>0</v>
      </c>
      <c r="E2699" s="9">
        <v>1724851.1857852936</v>
      </c>
      <c r="F2699" s="257" t="s">
        <v>15188</v>
      </c>
      <c r="G2699" s="9"/>
      <c r="H2699" s="257" t="s">
        <v>20811</v>
      </c>
      <c r="I2699" s="9">
        <v>2</v>
      </c>
    </row>
    <row r="2700" spans="1:9">
      <c r="A2700" s="257" t="s">
        <v>3798</v>
      </c>
      <c r="B2700" s="9">
        <v>8</v>
      </c>
      <c r="C2700" s="257" t="s">
        <v>10973</v>
      </c>
      <c r="D2700" s="9">
        <v>0</v>
      </c>
      <c r="E2700" s="9">
        <v>1724851.1857852936</v>
      </c>
      <c r="F2700" s="257" t="s">
        <v>15188</v>
      </c>
      <c r="G2700" s="9"/>
      <c r="H2700" s="257" t="s">
        <v>20812</v>
      </c>
      <c r="I2700" s="9">
        <v>2</v>
      </c>
    </row>
    <row r="2701" spans="1:9">
      <c r="A2701" s="257" t="s">
        <v>3799</v>
      </c>
      <c r="B2701" s="9">
        <v>8</v>
      </c>
      <c r="C2701" s="257" t="s">
        <v>10974</v>
      </c>
      <c r="D2701" s="9">
        <v>0</v>
      </c>
      <c r="E2701" s="9">
        <v>1724851.1857852936</v>
      </c>
      <c r="F2701" s="257" t="s">
        <v>15188</v>
      </c>
      <c r="G2701" s="9"/>
      <c r="H2701" s="257" t="s">
        <v>20813</v>
      </c>
      <c r="I2701" s="9">
        <v>2</v>
      </c>
    </row>
    <row r="2702" spans="1:9">
      <c r="A2702" s="257" t="s">
        <v>3800</v>
      </c>
      <c r="B2702" s="9">
        <v>8</v>
      </c>
      <c r="C2702" s="257" t="s">
        <v>10975</v>
      </c>
      <c r="D2702" s="9">
        <v>0</v>
      </c>
      <c r="E2702" s="9">
        <v>1724851.1857852936</v>
      </c>
      <c r="F2702" s="257" t="s">
        <v>15189</v>
      </c>
      <c r="G2702" s="9"/>
      <c r="H2702" s="257" t="s">
        <v>20814</v>
      </c>
      <c r="I2702" s="9">
        <v>2</v>
      </c>
    </row>
    <row r="2703" spans="1:9">
      <c r="A2703" s="257" t="s">
        <v>3801</v>
      </c>
      <c r="B2703" s="9">
        <v>8</v>
      </c>
      <c r="C2703" s="257" t="s">
        <v>10976</v>
      </c>
      <c r="D2703" s="9">
        <v>0</v>
      </c>
      <c r="E2703" s="9">
        <v>1724851.1857852936</v>
      </c>
      <c r="F2703" s="257" t="s">
        <v>15189</v>
      </c>
      <c r="G2703" s="9"/>
      <c r="H2703" s="257" t="s">
        <v>20815</v>
      </c>
      <c r="I2703" s="9">
        <v>2</v>
      </c>
    </row>
    <row r="2704" spans="1:9">
      <c r="A2704" s="257" t="s">
        <v>3802</v>
      </c>
      <c r="B2704" s="9">
        <v>8</v>
      </c>
      <c r="C2704" s="257" t="s">
        <v>10977</v>
      </c>
      <c r="D2704" s="9">
        <v>0</v>
      </c>
      <c r="E2704" s="9">
        <v>1724851.1857852936</v>
      </c>
      <c r="F2704" s="257" t="s">
        <v>15189</v>
      </c>
      <c r="G2704" s="9"/>
      <c r="H2704" s="257" t="s">
        <v>20816</v>
      </c>
      <c r="I2704" s="9">
        <v>2</v>
      </c>
    </row>
    <row r="2705" spans="1:9">
      <c r="A2705" s="257" t="s">
        <v>3803</v>
      </c>
      <c r="B2705" s="9">
        <v>8</v>
      </c>
      <c r="C2705" s="257" t="s">
        <v>10978</v>
      </c>
      <c r="D2705" s="9">
        <v>0</v>
      </c>
      <c r="E2705" s="9">
        <v>1724851.1857852936</v>
      </c>
      <c r="F2705" s="257" t="s">
        <v>15189</v>
      </c>
      <c r="G2705" s="9"/>
      <c r="H2705" s="257" t="s">
        <v>20817</v>
      </c>
      <c r="I2705" s="9">
        <v>2</v>
      </c>
    </row>
    <row r="2706" spans="1:9">
      <c r="A2706" s="257" t="s">
        <v>3804</v>
      </c>
      <c r="B2706" s="9">
        <v>8</v>
      </c>
      <c r="C2706" s="257" t="s">
        <v>10979</v>
      </c>
      <c r="D2706" s="9">
        <v>1446748.3887634277</v>
      </c>
      <c r="E2706" s="9">
        <v>1724851.1857852936</v>
      </c>
      <c r="F2706" s="257" t="s">
        <v>15190</v>
      </c>
      <c r="G2706" s="9"/>
      <c r="H2706" s="257" t="s">
        <v>20818</v>
      </c>
      <c r="I2706" s="9">
        <v>2</v>
      </c>
    </row>
    <row r="2707" spans="1:9">
      <c r="A2707" s="257" t="s">
        <v>3805</v>
      </c>
      <c r="B2707" s="9">
        <v>8</v>
      </c>
      <c r="C2707" s="257" t="s">
        <v>10980</v>
      </c>
      <c r="D2707" s="9">
        <v>570021555.98470545</v>
      </c>
      <c r="E2707" s="9">
        <v>1724851.1857852936</v>
      </c>
      <c r="F2707" s="257" t="s">
        <v>15190</v>
      </c>
      <c r="G2707" s="9"/>
      <c r="H2707" s="257" t="s">
        <v>20819</v>
      </c>
      <c r="I2707" s="9">
        <v>2</v>
      </c>
    </row>
    <row r="2708" spans="1:9">
      <c r="A2708" s="257" t="s">
        <v>3806</v>
      </c>
      <c r="B2708" s="9">
        <v>8</v>
      </c>
      <c r="C2708" s="257" t="s">
        <v>10981</v>
      </c>
      <c r="D2708" s="9">
        <v>0.8387670778130053</v>
      </c>
      <c r="E2708" s="9">
        <v>1724851.1857852936</v>
      </c>
      <c r="F2708" s="257" t="s">
        <v>15190</v>
      </c>
      <c r="G2708" s="9"/>
      <c r="H2708" s="257" t="s">
        <v>20820</v>
      </c>
      <c r="I2708" s="9">
        <v>2</v>
      </c>
    </row>
    <row r="2709" spans="1:9">
      <c r="A2709" s="257" t="s">
        <v>3807</v>
      </c>
      <c r="B2709" s="9">
        <v>8</v>
      </c>
      <c r="C2709" s="257" t="s">
        <v>10982</v>
      </c>
      <c r="D2709" s="9">
        <v>330.47578868387126</v>
      </c>
      <c r="E2709" s="9">
        <v>1724851.1857852936</v>
      </c>
      <c r="F2709" s="257" t="s">
        <v>15190</v>
      </c>
      <c r="G2709" s="9"/>
      <c r="H2709" s="257" t="s">
        <v>20821</v>
      </c>
      <c r="I2709" s="9">
        <v>2</v>
      </c>
    </row>
    <row r="2710" spans="1:9">
      <c r="A2710" s="257" t="s">
        <v>3808</v>
      </c>
      <c r="B2710" s="9">
        <v>8</v>
      </c>
      <c r="C2710" s="257" t="s">
        <v>10983</v>
      </c>
      <c r="D2710" s="9">
        <v>0</v>
      </c>
      <c r="E2710" s="9">
        <v>1724851.1857852936</v>
      </c>
      <c r="F2710" s="257" t="s">
        <v>15191</v>
      </c>
      <c r="G2710" s="9"/>
      <c r="H2710" s="257" t="s">
        <v>20822</v>
      </c>
      <c r="I2710" s="9">
        <v>2</v>
      </c>
    </row>
    <row r="2711" spans="1:9">
      <c r="A2711" s="257" t="s">
        <v>3809</v>
      </c>
      <c r="B2711" s="9">
        <v>8</v>
      </c>
      <c r="C2711" s="257" t="s">
        <v>10984</v>
      </c>
      <c r="D2711" s="9">
        <v>0</v>
      </c>
      <c r="E2711" s="9">
        <v>1724851.1857852936</v>
      </c>
      <c r="F2711" s="257" t="s">
        <v>15191</v>
      </c>
      <c r="G2711" s="9"/>
      <c r="H2711" s="257" t="s">
        <v>20823</v>
      </c>
      <c r="I2711" s="9">
        <v>2</v>
      </c>
    </row>
    <row r="2712" spans="1:9">
      <c r="A2712" s="257" t="s">
        <v>3810</v>
      </c>
      <c r="B2712" s="9">
        <v>8</v>
      </c>
      <c r="C2712" s="257" t="s">
        <v>10985</v>
      </c>
      <c r="D2712" s="9">
        <v>0</v>
      </c>
      <c r="E2712" s="9">
        <v>1724851.1857852936</v>
      </c>
      <c r="F2712" s="257" t="s">
        <v>15191</v>
      </c>
      <c r="G2712" s="9"/>
      <c r="H2712" s="257" t="s">
        <v>20824</v>
      </c>
      <c r="I2712" s="9">
        <v>2</v>
      </c>
    </row>
    <row r="2713" spans="1:9">
      <c r="A2713" s="257" t="s">
        <v>3811</v>
      </c>
      <c r="B2713" s="9">
        <v>8</v>
      </c>
      <c r="C2713" s="257" t="s">
        <v>10986</v>
      </c>
      <c r="D2713" s="9">
        <v>0</v>
      </c>
      <c r="E2713" s="9">
        <v>1724851.1857852936</v>
      </c>
      <c r="F2713" s="257" t="s">
        <v>15191</v>
      </c>
      <c r="G2713" s="9"/>
      <c r="H2713" s="257" t="s">
        <v>20825</v>
      </c>
      <c r="I2713" s="9">
        <v>2</v>
      </c>
    </row>
    <row r="2714" spans="1:9">
      <c r="A2714" s="257" t="s">
        <v>3812</v>
      </c>
      <c r="B2714" s="9">
        <v>8</v>
      </c>
      <c r="C2714" s="257" t="s">
        <v>10987</v>
      </c>
      <c r="D2714" s="9">
        <v>1724851.1857852936</v>
      </c>
      <c r="E2714" s="9">
        <v>1724851.1857852936</v>
      </c>
      <c r="F2714" s="257" t="s">
        <v>15192</v>
      </c>
      <c r="G2714" s="9"/>
      <c r="H2714" s="257" t="s">
        <v>20826</v>
      </c>
      <c r="I2714" s="9">
        <v>2</v>
      </c>
    </row>
    <row r="2715" spans="1:9">
      <c r="A2715" s="257" t="s">
        <v>3813</v>
      </c>
      <c r="B2715" s="9">
        <v>8</v>
      </c>
      <c r="C2715" s="257" t="s">
        <v>10988</v>
      </c>
      <c r="D2715" s="9">
        <v>17369551441.812363</v>
      </c>
      <c r="E2715" s="9">
        <v>1724851.1857852936</v>
      </c>
      <c r="F2715" s="257" t="s">
        <v>15192</v>
      </c>
      <c r="G2715" s="9"/>
      <c r="H2715" s="257" t="s">
        <v>20827</v>
      </c>
      <c r="I2715" s="9">
        <v>2</v>
      </c>
    </row>
    <row r="2716" spans="1:9">
      <c r="A2716" s="257" t="s">
        <v>3814</v>
      </c>
      <c r="B2716" s="9">
        <v>8</v>
      </c>
      <c r="C2716" s="257" t="s">
        <v>10989</v>
      </c>
      <c r="D2716" s="9">
        <v>1</v>
      </c>
      <c r="E2716" s="9">
        <v>1724851.1857852936</v>
      </c>
      <c r="F2716" s="257" t="s">
        <v>15192</v>
      </c>
      <c r="G2716" s="9"/>
      <c r="H2716" s="257" t="s">
        <v>20828</v>
      </c>
      <c r="I2716" s="9">
        <v>2</v>
      </c>
    </row>
    <row r="2717" spans="1:9">
      <c r="A2717" s="257" t="s">
        <v>3815</v>
      </c>
      <c r="B2717" s="9">
        <v>8</v>
      </c>
      <c r="C2717" s="257" t="s">
        <v>10990</v>
      </c>
      <c r="D2717" s="9">
        <v>10070.173928601453</v>
      </c>
      <c r="E2717" s="9">
        <v>1724851.1857852936</v>
      </c>
      <c r="F2717" s="257" t="s">
        <v>15192</v>
      </c>
      <c r="G2717" s="9"/>
      <c r="H2717" s="257" t="s">
        <v>20829</v>
      </c>
      <c r="I2717" s="9">
        <v>2</v>
      </c>
    </row>
    <row r="2718" spans="1:9">
      <c r="A2718" s="257" t="s">
        <v>3816</v>
      </c>
      <c r="B2718" s="9">
        <v>8</v>
      </c>
      <c r="C2718" s="257" t="s">
        <v>10991</v>
      </c>
      <c r="D2718" s="9">
        <v>1722139.7912540436</v>
      </c>
      <c r="E2718" s="9">
        <v>1724851.1857852936</v>
      </c>
      <c r="F2718" s="257" t="s">
        <v>15193</v>
      </c>
      <c r="G2718" s="9"/>
      <c r="H2718" s="257" t="s">
        <v>20830</v>
      </c>
      <c r="I2718" s="9">
        <v>2</v>
      </c>
    </row>
    <row r="2719" spans="1:9">
      <c r="A2719" s="257" t="s">
        <v>3817</v>
      </c>
      <c r="B2719" s="9">
        <v>8</v>
      </c>
      <c r="C2719" s="257" t="s">
        <v>10992</v>
      </c>
      <c r="D2719" s="9">
        <v>16799529885.82766</v>
      </c>
      <c r="E2719" s="9">
        <v>1724851.1857852936</v>
      </c>
      <c r="F2719" s="257" t="s">
        <v>15193</v>
      </c>
      <c r="G2719" s="9"/>
      <c r="H2719" s="257" t="s">
        <v>20831</v>
      </c>
      <c r="I2719" s="9">
        <v>2</v>
      </c>
    </row>
    <row r="2720" spans="1:9">
      <c r="A2720" s="257" t="s">
        <v>3818</v>
      </c>
      <c r="B2720" s="9">
        <v>8</v>
      </c>
      <c r="C2720" s="257" t="s">
        <v>10993</v>
      </c>
      <c r="D2720" s="9">
        <v>0.99842804147187014</v>
      </c>
      <c r="E2720" s="9">
        <v>1724851.1857852936</v>
      </c>
      <c r="F2720" s="257" t="s">
        <v>15193</v>
      </c>
      <c r="G2720" s="9"/>
      <c r="H2720" s="257" t="s">
        <v>20832</v>
      </c>
      <c r="I2720" s="9">
        <v>2</v>
      </c>
    </row>
    <row r="2721" spans="1:9">
      <c r="A2721" s="257" t="s">
        <v>3819</v>
      </c>
      <c r="B2721" s="9">
        <v>8</v>
      </c>
      <c r="C2721" s="257" t="s">
        <v>10994</v>
      </c>
      <c r="D2721" s="9">
        <v>9739.698139917582</v>
      </c>
      <c r="E2721" s="9">
        <v>1724851.1857852936</v>
      </c>
      <c r="F2721" s="257" t="s">
        <v>15193</v>
      </c>
      <c r="G2721" s="9"/>
      <c r="H2721" s="257" t="s">
        <v>20833</v>
      </c>
      <c r="I2721" s="9">
        <v>2</v>
      </c>
    </row>
    <row r="2722" spans="1:9">
      <c r="A2722" s="257" t="s">
        <v>3820</v>
      </c>
      <c r="B2722" s="9">
        <v>8</v>
      </c>
      <c r="C2722" s="257" t="s">
        <v>10995</v>
      </c>
      <c r="D2722" s="9">
        <v>1724851.1857852936</v>
      </c>
      <c r="E2722" s="9">
        <v>1724851.1857852936</v>
      </c>
      <c r="F2722" s="257" t="s">
        <v>15194</v>
      </c>
      <c r="G2722" s="9"/>
      <c r="H2722" s="257" t="s">
        <v>20834</v>
      </c>
      <c r="I2722" s="9">
        <v>2</v>
      </c>
    </row>
    <row r="2723" spans="1:9">
      <c r="A2723" s="257" t="s">
        <v>3821</v>
      </c>
      <c r="B2723" s="9">
        <v>8</v>
      </c>
      <c r="C2723" s="257" t="s">
        <v>10996</v>
      </c>
      <c r="D2723" s="9">
        <v>17369551441.812363</v>
      </c>
      <c r="E2723" s="9">
        <v>1724851.1857852936</v>
      </c>
      <c r="F2723" s="257" t="s">
        <v>15194</v>
      </c>
      <c r="G2723" s="9"/>
      <c r="H2723" s="257" t="s">
        <v>20835</v>
      </c>
      <c r="I2723" s="9">
        <v>2</v>
      </c>
    </row>
    <row r="2724" spans="1:9">
      <c r="A2724" s="257" t="s">
        <v>3822</v>
      </c>
      <c r="B2724" s="9">
        <v>8</v>
      </c>
      <c r="C2724" s="257" t="s">
        <v>10997</v>
      </c>
      <c r="D2724" s="9">
        <v>1</v>
      </c>
      <c r="E2724" s="9">
        <v>1724851.1857852936</v>
      </c>
      <c r="F2724" s="257" t="s">
        <v>15194</v>
      </c>
      <c r="G2724" s="9"/>
      <c r="H2724" s="257" t="s">
        <v>20836</v>
      </c>
      <c r="I2724" s="9">
        <v>2</v>
      </c>
    </row>
    <row r="2725" spans="1:9">
      <c r="A2725" s="257" t="s">
        <v>3823</v>
      </c>
      <c r="B2725" s="9">
        <v>8</v>
      </c>
      <c r="C2725" s="257" t="s">
        <v>10998</v>
      </c>
      <c r="D2725" s="9">
        <v>10070.173928601453</v>
      </c>
      <c r="E2725" s="9">
        <v>1724851.1857852936</v>
      </c>
      <c r="F2725" s="257" t="s">
        <v>15194</v>
      </c>
      <c r="G2725" s="9"/>
      <c r="H2725" s="257" t="s">
        <v>20837</v>
      </c>
      <c r="I2725" s="9">
        <v>2</v>
      </c>
    </row>
    <row r="2726" spans="1:9">
      <c r="A2726" s="257" t="s">
        <v>3824</v>
      </c>
      <c r="B2726" s="9">
        <v>8</v>
      </c>
      <c r="C2726" s="257" t="s">
        <v>10999</v>
      </c>
      <c r="D2726" s="9">
        <v>1724851.1857852936</v>
      </c>
      <c r="E2726" s="9">
        <v>1724851.1857852936</v>
      </c>
      <c r="F2726" s="257" t="s">
        <v>15195</v>
      </c>
      <c r="G2726" s="9"/>
      <c r="H2726" s="257" t="s">
        <v>20838</v>
      </c>
      <c r="I2726" s="9">
        <v>2</v>
      </c>
    </row>
    <row r="2727" spans="1:9">
      <c r="A2727" s="257" t="s">
        <v>3825</v>
      </c>
      <c r="B2727" s="9">
        <v>8</v>
      </c>
      <c r="C2727" s="257" t="s">
        <v>11000</v>
      </c>
      <c r="D2727" s="9">
        <v>2879761595.3684936</v>
      </c>
      <c r="E2727" s="9">
        <v>1724851.1857852936</v>
      </c>
      <c r="F2727" s="257" t="s">
        <v>15195</v>
      </c>
      <c r="G2727" s="9"/>
      <c r="H2727" s="257" t="s">
        <v>20839</v>
      </c>
      <c r="I2727" s="9">
        <v>2</v>
      </c>
    </row>
    <row r="2728" spans="1:9">
      <c r="A2728" s="257" t="s">
        <v>3826</v>
      </c>
      <c r="B2728" s="9">
        <v>8</v>
      </c>
      <c r="C2728" s="257" t="s">
        <v>11001</v>
      </c>
      <c r="D2728" s="9">
        <v>1</v>
      </c>
      <c r="E2728" s="9">
        <v>1724851.1857852936</v>
      </c>
      <c r="F2728" s="257" t="s">
        <v>15195</v>
      </c>
      <c r="G2728" s="9"/>
      <c r="H2728" s="257" t="s">
        <v>20840</v>
      </c>
      <c r="I2728" s="9">
        <v>2</v>
      </c>
    </row>
    <row r="2729" spans="1:9">
      <c r="A2729" s="257" t="s">
        <v>3827</v>
      </c>
      <c r="B2729" s="9">
        <v>8</v>
      </c>
      <c r="C2729" s="257" t="s">
        <v>11002</v>
      </c>
      <c r="D2729" s="9">
        <v>1669.5710442158465</v>
      </c>
      <c r="E2729" s="9">
        <v>1724851.1857852936</v>
      </c>
      <c r="F2729" s="257" t="s">
        <v>15195</v>
      </c>
      <c r="G2729" s="9"/>
      <c r="H2729" s="257" t="s">
        <v>20841</v>
      </c>
      <c r="I2729" s="9">
        <v>2</v>
      </c>
    </row>
    <row r="2730" spans="1:9">
      <c r="A2730" s="257" t="s">
        <v>3828</v>
      </c>
      <c r="B2730" s="9">
        <v>8</v>
      </c>
      <c r="C2730" s="257" t="s">
        <v>11003</v>
      </c>
      <c r="D2730" s="9">
        <v>1399414.6637954712</v>
      </c>
      <c r="E2730" s="9">
        <v>1724851.1857852936</v>
      </c>
      <c r="F2730" s="257" t="s">
        <v>15196</v>
      </c>
      <c r="G2730" s="9"/>
      <c r="H2730" s="257" t="s">
        <v>20842</v>
      </c>
      <c r="I2730" s="9">
        <v>2</v>
      </c>
    </row>
    <row r="2731" spans="1:9">
      <c r="A2731" s="257" t="s">
        <v>3829</v>
      </c>
      <c r="B2731" s="9">
        <v>8</v>
      </c>
      <c r="C2731" s="257" t="s">
        <v>11004</v>
      </c>
      <c r="D2731" s="9">
        <v>5199914912.509407</v>
      </c>
      <c r="E2731" s="9">
        <v>1724851.1857852936</v>
      </c>
      <c r="F2731" s="257" t="s">
        <v>15196</v>
      </c>
      <c r="G2731" s="9"/>
      <c r="H2731" s="257" t="s">
        <v>20843</v>
      </c>
      <c r="I2731" s="9">
        <v>2</v>
      </c>
    </row>
    <row r="2732" spans="1:9">
      <c r="A2732" s="257" t="s">
        <v>3830</v>
      </c>
      <c r="B2732" s="9">
        <v>8</v>
      </c>
      <c r="C2732" s="257" t="s">
        <v>11005</v>
      </c>
      <c r="D2732" s="9">
        <v>0.81132486983701324</v>
      </c>
      <c r="E2732" s="9">
        <v>1724851.1857852936</v>
      </c>
      <c r="F2732" s="257" t="s">
        <v>15196</v>
      </c>
      <c r="G2732" s="9"/>
      <c r="H2732" s="257" t="s">
        <v>20844</v>
      </c>
      <c r="I2732" s="9">
        <v>2</v>
      </c>
    </row>
    <row r="2733" spans="1:9">
      <c r="A2733" s="257" t="s">
        <v>3831</v>
      </c>
      <c r="B2733" s="9">
        <v>8</v>
      </c>
      <c r="C2733" s="257" t="s">
        <v>11006</v>
      </c>
      <c r="D2733" s="9">
        <v>3014.7035033297552</v>
      </c>
      <c r="E2733" s="9">
        <v>1724851.1857852936</v>
      </c>
      <c r="F2733" s="257" t="s">
        <v>15196</v>
      </c>
      <c r="G2733" s="9"/>
      <c r="H2733" s="257" t="s">
        <v>20845</v>
      </c>
      <c r="I2733" s="9">
        <v>2</v>
      </c>
    </row>
    <row r="2734" spans="1:9">
      <c r="A2734" s="257" t="s">
        <v>3832</v>
      </c>
      <c r="B2734" s="9">
        <v>8</v>
      </c>
      <c r="C2734" s="257" t="s">
        <v>11007</v>
      </c>
      <c r="D2734" s="9">
        <v>1724851.1857852936</v>
      </c>
      <c r="E2734" s="9">
        <v>1724851.1857852936</v>
      </c>
      <c r="F2734" s="257" t="s">
        <v>15197</v>
      </c>
      <c r="G2734" s="9"/>
      <c r="H2734" s="257" t="s">
        <v>20846</v>
      </c>
      <c r="I2734" s="9">
        <v>2</v>
      </c>
    </row>
    <row r="2735" spans="1:9">
      <c r="A2735" s="257" t="s">
        <v>3833</v>
      </c>
      <c r="B2735" s="9">
        <v>8</v>
      </c>
      <c r="C2735" s="257" t="s">
        <v>11008</v>
      </c>
      <c r="D2735" s="9">
        <v>21999444798.337067</v>
      </c>
      <c r="E2735" s="9">
        <v>1724851.1857852936</v>
      </c>
      <c r="F2735" s="257" t="s">
        <v>15197</v>
      </c>
      <c r="G2735" s="9"/>
      <c r="H2735" s="257" t="s">
        <v>20847</v>
      </c>
      <c r="I2735" s="9">
        <v>2</v>
      </c>
    </row>
    <row r="2736" spans="1:9">
      <c r="A2736" s="257" t="s">
        <v>3834</v>
      </c>
      <c r="B2736" s="9">
        <v>8</v>
      </c>
      <c r="C2736" s="257" t="s">
        <v>11009</v>
      </c>
      <c r="D2736" s="9">
        <v>1</v>
      </c>
      <c r="E2736" s="9">
        <v>1724851.1857852936</v>
      </c>
      <c r="F2736" s="257" t="s">
        <v>15197</v>
      </c>
      <c r="G2736" s="9"/>
      <c r="H2736" s="257" t="s">
        <v>20848</v>
      </c>
      <c r="I2736" s="9">
        <v>2</v>
      </c>
    </row>
    <row r="2737" spans="1:9">
      <c r="A2737" s="257" t="s">
        <v>3835</v>
      </c>
      <c r="B2737" s="9">
        <v>8</v>
      </c>
      <c r="C2737" s="257" t="s">
        <v>11010</v>
      </c>
      <c r="D2737" s="9">
        <v>12754.401643247338</v>
      </c>
      <c r="E2737" s="9">
        <v>1724851.1857852936</v>
      </c>
      <c r="F2737" s="257" t="s">
        <v>15197</v>
      </c>
      <c r="G2737" s="9"/>
      <c r="H2737" s="257" t="s">
        <v>20849</v>
      </c>
      <c r="I2737" s="9">
        <v>2</v>
      </c>
    </row>
    <row r="2738" spans="1:9">
      <c r="A2738" s="257" t="s">
        <v>3836</v>
      </c>
      <c r="B2738" s="9">
        <v>8</v>
      </c>
      <c r="C2738" s="257" t="s">
        <v>11011</v>
      </c>
      <c r="D2738" s="9">
        <v>1724851.1857852936</v>
      </c>
      <c r="E2738" s="9">
        <v>1724851.1857852936</v>
      </c>
      <c r="F2738" s="257" t="s">
        <v>15198</v>
      </c>
      <c r="G2738" s="9"/>
      <c r="H2738" s="257" t="s">
        <v>20850</v>
      </c>
      <c r="I2738" s="9">
        <v>2</v>
      </c>
    </row>
    <row r="2739" spans="1:9">
      <c r="A2739" s="257" t="s">
        <v>3837</v>
      </c>
      <c r="B2739" s="9">
        <v>8</v>
      </c>
      <c r="C2739" s="257" t="s">
        <v>11012</v>
      </c>
      <c r="D2739" s="9">
        <v>22569466354.32177</v>
      </c>
      <c r="E2739" s="9">
        <v>1724851.1857852936</v>
      </c>
      <c r="F2739" s="257" t="s">
        <v>15198</v>
      </c>
      <c r="G2739" s="9"/>
      <c r="H2739" s="257" t="s">
        <v>20851</v>
      </c>
      <c r="I2739" s="9">
        <v>2</v>
      </c>
    </row>
    <row r="2740" spans="1:9">
      <c r="A2740" s="257" t="s">
        <v>3838</v>
      </c>
      <c r="B2740" s="9">
        <v>8</v>
      </c>
      <c r="C2740" s="257" t="s">
        <v>11013</v>
      </c>
      <c r="D2740" s="9">
        <v>1</v>
      </c>
      <c r="E2740" s="9">
        <v>1724851.1857852936</v>
      </c>
      <c r="F2740" s="257" t="s">
        <v>15198</v>
      </c>
      <c r="G2740" s="9"/>
      <c r="H2740" s="257" t="s">
        <v>20852</v>
      </c>
      <c r="I2740" s="9">
        <v>2</v>
      </c>
    </row>
    <row r="2741" spans="1:9">
      <c r="A2741" s="257" t="s">
        <v>3839</v>
      </c>
      <c r="B2741" s="9">
        <v>8</v>
      </c>
      <c r="C2741" s="257" t="s">
        <v>11014</v>
      </c>
      <c r="D2741" s="9">
        <v>13084.877431931207</v>
      </c>
      <c r="E2741" s="9">
        <v>1724851.1857852936</v>
      </c>
      <c r="F2741" s="257" t="s">
        <v>15198</v>
      </c>
      <c r="G2741" s="9"/>
      <c r="H2741" s="257" t="s">
        <v>20853</v>
      </c>
      <c r="I2741" s="9">
        <v>2</v>
      </c>
    </row>
    <row r="2742" spans="1:9">
      <c r="A2742" s="257" t="s">
        <v>3840</v>
      </c>
      <c r="B2742" s="9">
        <v>8</v>
      </c>
      <c r="C2742" s="257" t="s">
        <v>11015</v>
      </c>
      <c r="D2742" s="9">
        <v>1434055.2140808105</v>
      </c>
      <c r="E2742" s="9">
        <v>1724851.1857852936</v>
      </c>
      <c r="F2742" s="257" t="s">
        <v>15199</v>
      </c>
      <c r="G2742" s="9"/>
      <c r="H2742" s="257" t="s">
        <v>20854</v>
      </c>
      <c r="I2742" s="9">
        <v>2</v>
      </c>
    </row>
    <row r="2743" spans="1:9">
      <c r="A2743" s="257" t="s">
        <v>3841</v>
      </c>
      <c r="B2743" s="9">
        <v>8</v>
      </c>
      <c r="C2743" s="257" t="s">
        <v>11016</v>
      </c>
      <c r="D2743" s="9">
        <v>11041179681.87182</v>
      </c>
      <c r="E2743" s="9">
        <v>1724851.1857852936</v>
      </c>
      <c r="F2743" s="257" t="s">
        <v>15199</v>
      </c>
      <c r="G2743" s="9"/>
      <c r="H2743" s="257" t="s">
        <v>20855</v>
      </c>
      <c r="I2743" s="9">
        <v>2</v>
      </c>
    </row>
    <row r="2744" spans="1:9">
      <c r="A2744" s="257" t="s">
        <v>3842</v>
      </c>
      <c r="B2744" s="9">
        <v>8</v>
      </c>
      <c r="C2744" s="257" t="s">
        <v>11017</v>
      </c>
      <c r="D2744" s="9">
        <v>0.83140808082403417</v>
      </c>
      <c r="E2744" s="9">
        <v>1724851.1857852936</v>
      </c>
      <c r="F2744" s="257" t="s">
        <v>15199</v>
      </c>
      <c r="G2744" s="9"/>
      <c r="H2744" s="257" t="s">
        <v>20856</v>
      </c>
      <c r="I2744" s="9">
        <v>2</v>
      </c>
    </row>
    <row r="2745" spans="1:9">
      <c r="A2745" s="257" t="s">
        <v>3843</v>
      </c>
      <c r="B2745" s="9">
        <v>8</v>
      </c>
      <c r="C2745" s="257" t="s">
        <v>11018</v>
      </c>
      <c r="D2745" s="9">
        <v>6401.2361024901811</v>
      </c>
      <c r="E2745" s="9">
        <v>1724851.1857852936</v>
      </c>
      <c r="F2745" s="257" t="s">
        <v>15199</v>
      </c>
      <c r="G2745" s="9"/>
      <c r="H2745" s="257" t="s">
        <v>20857</v>
      </c>
      <c r="I2745" s="9">
        <v>2</v>
      </c>
    </row>
    <row r="2746" spans="1:9">
      <c r="A2746" s="257" t="s">
        <v>3844</v>
      </c>
      <c r="B2746" s="9">
        <v>8</v>
      </c>
      <c r="C2746" s="257" t="s">
        <v>11019</v>
      </c>
      <c r="D2746" s="9">
        <v>1434055.2140808105</v>
      </c>
      <c r="E2746" s="9">
        <v>1724851.1857852936</v>
      </c>
      <c r="F2746" s="257" t="s">
        <v>15200</v>
      </c>
      <c r="G2746" s="9"/>
      <c r="H2746" s="257" t="s">
        <v>20858</v>
      </c>
      <c r="I2746" s="9">
        <v>2</v>
      </c>
    </row>
    <row r="2747" spans="1:9">
      <c r="A2747" s="257" t="s">
        <v>3845</v>
      </c>
      <c r="B2747" s="9">
        <v>8</v>
      </c>
      <c r="C2747" s="257" t="s">
        <v>11020</v>
      </c>
      <c r="D2747" s="9">
        <v>11611201237.856527</v>
      </c>
      <c r="E2747" s="9">
        <v>1724851.1857852936</v>
      </c>
      <c r="F2747" s="257" t="s">
        <v>15200</v>
      </c>
      <c r="G2747" s="9"/>
      <c r="H2747" s="257" t="s">
        <v>20859</v>
      </c>
      <c r="I2747" s="9">
        <v>2</v>
      </c>
    </row>
    <row r="2748" spans="1:9">
      <c r="A2748" s="257" t="s">
        <v>3846</v>
      </c>
      <c r="B2748" s="9">
        <v>8</v>
      </c>
      <c r="C2748" s="257" t="s">
        <v>11021</v>
      </c>
      <c r="D2748" s="9">
        <v>0.83140808082403417</v>
      </c>
      <c r="E2748" s="9">
        <v>1724851.1857852936</v>
      </c>
      <c r="F2748" s="257" t="s">
        <v>15200</v>
      </c>
      <c r="G2748" s="9"/>
      <c r="H2748" s="257" t="s">
        <v>20860</v>
      </c>
      <c r="I2748" s="9">
        <v>2</v>
      </c>
    </row>
    <row r="2749" spans="1:9">
      <c r="A2749" s="257" t="s">
        <v>3847</v>
      </c>
      <c r="B2749" s="9">
        <v>8</v>
      </c>
      <c r="C2749" s="257" t="s">
        <v>11022</v>
      </c>
      <c r="D2749" s="9">
        <v>6731.7118911740536</v>
      </c>
      <c r="E2749" s="9">
        <v>1724851.1857852936</v>
      </c>
      <c r="F2749" s="257" t="s">
        <v>15200</v>
      </c>
      <c r="G2749" s="9"/>
      <c r="H2749" s="257" t="s">
        <v>20861</v>
      </c>
      <c r="I2749" s="9">
        <v>2</v>
      </c>
    </row>
    <row r="2750" spans="1:9">
      <c r="A2750" s="257" t="s">
        <v>3848</v>
      </c>
      <c r="B2750" s="9">
        <v>8</v>
      </c>
      <c r="C2750" s="257" t="s">
        <v>11023</v>
      </c>
      <c r="D2750" s="9">
        <v>1724851.1857852936</v>
      </c>
      <c r="E2750" s="9">
        <v>1724851.1857852936</v>
      </c>
      <c r="F2750" s="257" t="s">
        <v>15201</v>
      </c>
      <c r="G2750" s="9"/>
      <c r="H2750" s="257" t="s">
        <v>20862</v>
      </c>
      <c r="I2750" s="9">
        <v>2</v>
      </c>
    </row>
    <row r="2751" spans="1:9">
      <c r="A2751" s="257" t="s">
        <v>3849</v>
      </c>
      <c r="B2751" s="9">
        <v>8</v>
      </c>
      <c r="C2751" s="257" t="s">
        <v>11024</v>
      </c>
      <c r="D2751" s="9">
        <v>5758350203.9558382</v>
      </c>
      <c r="E2751" s="9">
        <v>1724851.1857852936</v>
      </c>
      <c r="F2751" s="257" t="s">
        <v>15201</v>
      </c>
      <c r="G2751" s="9"/>
      <c r="H2751" s="257" t="s">
        <v>20863</v>
      </c>
      <c r="I2751" s="9">
        <v>2</v>
      </c>
    </row>
    <row r="2752" spans="1:9">
      <c r="A2752" s="257" t="s">
        <v>3850</v>
      </c>
      <c r="B2752" s="9">
        <v>8</v>
      </c>
      <c r="C2752" s="257" t="s">
        <v>11025</v>
      </c>
      <c r="D2752" s="9">
        <v>1</v>
      </c>
      <c r="E2752" s="9">
        <v>1724851.1857852936</v>
      </c>
      <c r="F2752" s="257" t="s">
        <v>15201</v>
      </c>
      <c r="G2752" s="9"/>
      <c r="H2752" s="257" t="s">
        <v>20864</v>
      </c>
      <c r="I2752" s="9">
        <v>2</v>
      </c>
    </row>
    <row r="2753" spans="1:9">
      <c r="A2753" s="257" t="s">
        <v>3851</v>
      </c>
      <c r="B2753" s="9">
        <v>8</v>
      </c>
      <c r="C2753" s="257" t="s">
        <v>11026</v>
      </c>
      <c r="D2753" s="9">
        <v>3338.4620374274</v>
      </c>
      <c r="E2753" s="9">
        <v>1724851.1857852936</v>
      </c>
      <c r="F2753" s="257" t="s">
        <v>15201</v>
      </c>
      <c r="G2753" s="9"/>
      <c r="H2753" s="257" t="s">
        <v>20865</v>
      </c>
      <c r="I2753" s="9">
        <v>2</v>
      </c>
    </row>
    <row r="2754" spans="1:9">
      <c r="A2754" s="257" t="s">
        <v>3852</v>
      </c>
      <c r="B2754" s="9">
        <v>8</v>
      </c>
      <c r="C2754" s="257" t="s">
        <v>11027</v>
      </c>
      <c r="D2754" s="9">
        <v>1724851.1857852936</v>
      </c>
      <c r="E2754" s="9">
        <v>1724851.1857852936</v>
      </c>
      <c r="F2754" s="257" t="s">
        <v>15202</v>
      </c>
      <c r="G2754" s="9"/>
      <c r="H2754" s="257" t="s">
        <v>20866</v>
      </c>
      <c r="I2754" s="9">
        <v>2</v>
      </c>
    </row>
    <row r="2755" spans="1:9">
      <c r="A2755" s="257" t="s">
        <v>3853</v>
      </c>
      <c r="B2755" s="9">
        <v>8</v>
      </c>
      <c r="C2755" s="257" t="s">
        <v>11028</v>
      </c>
      <c r="D2755" s="9">
        <v>10317270333.613022</v>
      </c>
      <c r="E2755" s="9">
        <v>1724851.1857852936</v>
      </c>
      <c r="F2755" s="257" t="s">
        <v>15202</v>
      </c>
      <c r="G2755" s="9"/>
      <c r="H2755" s="257" t="s">
        <v>20867</v>
      </c>
      <c r="I2755" s="9">
        <v>2</v>
      </c>
    </row>
    <row r="2756" spans="1:9">
      <c r="A2756" s="257" t="s">
        <v>3854</v>
      </c>
      <c r="B2756" s="9">
        <v>8</v>
      </c>
      <c r="C2756" s="257" t="s">
        <v>11029</v>
      </c>
      <c r="D2756" s="9">
        <v>1</v>
      </c>
      <c r="E2756" s="9">
        <v>1724851.1857852936</v>
      </c>
      <c r="F2756" s="257" t="s">
        <v>15202</v>
      </c>
      <c r="G2756" s="9"/>
      <c r="H2756" s="257" t="s">
        <v>20868</v>
      </c>
      <c r="I2756" s="9">
        <v>2</v>
      </c>
    </row>
    <row r="2757" spans="1:9">
      <c r="A2757" s="257" t="s">
        <v>3855</v>
      </c>
      <c r="B2757" s="9">
        <v>8</v>
      </c>
      <c r="C2757" s="257" t="s">
        <v>11030</v>
      </c>
      <c r="D2757" s="9">
        <v>5981.5423026861035</v>
      </c>
      <c r="E2757" s="9">
        <v>1724851.1857852936</v>
      </c>
      <c r="F2757" s="257" t="s">
        <v>15202</v>
      </c>
      <c r="G2757" s="9"/>
      <c r="H2757" s="257" t="s">
        <v>20869</v>
      </c>
      <c r="I2757" s="9">
        <v>2</v>
      </c>
    </row>
    <row r="2758" spans="1:9">
      <c r="A2758" s="257" t="s">
        <v>3856</v>
      </c>
      <c r="B2758" s="9">
        <v>8</v>
      </c>
      <c r="C2758" s="257" t="s">
        <v>11031</v>
      </c>
      <c r="D2758" s="9">
        <v>1448331.1165466309</v>
      </c>
      <c r="E2758" s="9">
        <v>1724851.1857852936</v>
      </c>
      <c r="F2758" s="257" t="s">
        <v>15203</v>
      </c>
      <c r="G2758" s="9"/>
      <c r="H2758" s="257" t="s">
        <v>20870</v>
      </c>
      <c r="I2758" s="9">
        <v>2</v>
      </c>
    </row>
    <row r="2759" spans="1:9">
      <c r="A2759" s="257" t="s">
        <v>3857</v>
      </c>
      <c r="B2759" s="9">
        <v>8</v>
      </c>
      <c r="C2759" s="257" t="s">
        <v>11032</v>
      </c>
      <c r="D2759" s="9">
        <v>13517644848.703505</v>
      </c>
      <c r="E2759" s="9">
        <v>1724851.1857852936</v>
      </c>
      <c r="F2759" s="257" t="s">
        <v>15203</v>
      </c>
      <c r="G2759" s="9"/>
      <c r="H2759" s="257" t="s">
        <v>20871</v>
      </c>
      <c r="I2759" s="9">
        <v>2</v>
      </c>
    </row>
    <row r="2760" spans="1:9">
      <c r="A2760" s="257" t="s">
        <v>3858</v>
      </c>
      <c r="B2760" s="9">
        <v>8</v>
      </c>
      <c r="C2760" s="257" t="s">
        <v>11033</v>
      </c>
      <c r="D2760" s="9">
        <v>0.83968468032633892</v>
      </c>
      <c r="E2760" s="9">
        <v>1724851.1857852936</v>
      </c>
      <c r="F2760" s="257" t="s">
        <v>15203</v>
      </c>
      <c r="G2760" s="9"/>
      <c r="H2760" s="257" t="s">
        <v>20872</v>
      </c>
      <c r="I2760" s="9">
        <v>2</v>
      </c>
    </row>
    <row r="2761" spans="1:9">
      <c r="A2761" s="257" t="s">
        <v>3859</v>
      </c>
      <c r="B2761" s="9">
        <v>8</v>
      </c>
      <c r="C2761" s="257" t="s">
        <v>11034</v>
      </c>
      <c r="D2761" s="9">
        <v>7836.9919446408157</v>
      </c>
      <c r="E2761" s="9">
        <v>1724851.1857852936</v>
      </c>
      <c r="F2761" s="257" t="s">
        <v>15203</v>
      </c>
      <c r="G2761" s="9"/>
      <c r="H2761" s="257" t="s">
        <v>20873</v>
      </c>
      <c r="I2761" s="9">
        <v>2</v>
      </c>
    </row>
    <row r="2762" spans="1:9">
      <c r="A2762" s="257" t="s">
        <v>3860</v>
      </c>
      <c r="B2762" s="9">
        <v>8</v>
      </c>
      <c r="C2762" s="257" t="s">
        <v>11035</v>
      </c>
      <c r="D2762" s="9">
        <v>0</v>
      </c>
      <c r="E2762" s="9">
        <v>1724851.1857852936</v>
      </c>
      <c r="F2762" s="257" t="s">
        <v>15204</v>
      </c>
      <c r="G2762" s="9"/>
      <c r="H2762" s="257" t="s">
        <v>20874</v>
      </c>
      <c r="I2762" s="9">
        <v>2</v>
      </c>
    </row>
    <row r="2763" spans="1:9">
      <c r="A2763" s="257" t="s">
        <v>3861</v>
      </c>
      <c r="B2763" s="9">
        <v>8</v>
      </c>
      <c r="C2763" s="257" t="s">
        <v>11036</v>
      </c>
      <c r="D2763" s="9">
        <v>-1265448827.9947548</v>
      </c>
      <c r="E2763" s="9">
        <v>1724851.1857852936</v>
      </c>
      <c r="F2763" s="257" t="s">
        <v>15204</v>
      </c>
      <c r="G2763" s="9"/>
      <c r="H2763" s="257" t="s">
        <v>20875</v>
      </c>
      <c r="I2763" s="9">
        <v>2</v>
      </c>
    </row>
    <row r="2764" spans="1:9">
      <c r="A2764" s="257" t="s">
        <v>3862</v>
      </c>
      <c r="B2764" s="9">
        <v>8</v>
      </c>
      <c r="C2764" s="257" t="s">
        <v>11037</v>
      </c>
      <c r="D2764" s="9">
        <v>0</v>
      </c>
      <c r="E2764" s="9">
        <v>1724851.1857852936</v>
      </c>
      <c r="F2764" s="257" t="s">
        <v>15204</v>
      </c>
      <c r="G2764" s="9"/>
      <c r="H2764" s="257" t="s">
        <v>20876</v>
      </c>
      <c r="I2764" s="9">
        <v>2</v>
      </c>
    </row>
    <row r="2765" spans="1:9">
      <c r="A2765" s="257" t="s">
        <v>3863</v>
      </c>
      <c r="B2765" s="9">
        <v>8</v>
      </c>
      <c r="C2765" s="257" t="s">
        <v>11038</v>
      </c>
      <c r="D2765" s="9">
        <v>-733.65681539571131</v>
      </c>
      <c r="E2765" s="9">
        <v>1724851.1857852936</v>
      </c>
      <c r="F2765" s="257" t="s">
        <v>15204</v>
      </c>
      <c r="G2765" s="9"/>
      <c r="H2765" s="257" t="s">
        <v>20877</v>
      </c>
      <c r="I2765" s="9">
        <v>2</v>
      </c>
    </row>
    <row r="2766" spans="1:9">
      <c r="A2766" s="257" t="s">
        <v>3864</v>
      </c>
      <c r="B2766" s="9">
        <v>8</v>
      </c>
      <c r="C2766" s="257" t="s">
        <v>11039</v>
      </c>
      <c r="D2766" s="9">
        <v>1436766.6086120605</v>
      </c>
      <c r="E2766" s="9">
        <v>1724851.1857852936</v>
      </c>
      <c r="F2766" s="257" t="s">
        <v>15205</v>
      </c>
      <c r="G2766" s="9"/>
      <c r="H2766" s="257" t="s">
        <v>20878</v>
      </c>
      <c r="I2766" s="9">
        <v>2</v>
      </c>
    </row>
    <row r="2767" spans="1:9">
      <c r="A2767" s="257" t="s">
        <v>3865</v>
      </c>
      <c r="B2767" s="9">
        <v>8</v>
      </c>
      <c r="C2767" s="257" t="s">
        <v>11040</v>
      </c>
      <c r="D2767" s="9">
        <v>12252196020.70875</v>
      </c>
      <c r="E2767" s="9">
        <v>1724851.1857852936</v>
      </c>
      <c r="F2767" s="257" t="s">
        <v>15205</v>
      </c>
      <c r="G2767" s="9"/>
      <c r="H2767" s="257" t="s">
        <v>20879</v>
      </c>
      <c r="I2767" s="9">
        <v>2</v>
      </c>
    </row>
    <row r="2768" spans="1:9">
      <c r="A2768" s="257" t="s">
        <v>3866</v>
      </c>
      <c r="B2768" s="9">
        <v>8</v>
      </c>
      <c r="C2768" s="257" t="s">
        <v>11041</v>
      </c>
      <c r="D2768" s="9">
        <v>0.83298003935216403</v>
      </c>
      <c r="E2768" s="9">
        <v>1724851.1857852936</v>
      </c>
      <c r="F2768" s="257" t="s">
        <v>15205</v>
      </c>
      <c r="G2768" s="9"/>
      <c r="H2768" s="257" t="s">
        <v>20880</v>
      </c>
      <c r="I2768" s="9">
        <v>2</v>
      </c>
    </row>
    <row r="2769" spans="1:9">
      <c r="A2769" s="257" t="s">
        <v>3867</v>
      </c>
      <c r="B2769" s="9">
        <v>8</v>
      </c>
      <c r="C2769" s="257" t="s">
        <v>11042</v>
      </c>
      <c r="D2769" s="9">
        <v>7103.3351292451043</v>
      </c>
      <c r="E2769" s="9">
        <v>1724851.1857852936</v>
      </c>
      <c r="F2769" s="257" t="s">
        <v>15205</v>
      </c>
      <c r="G2769" s="9"/>
      <c r="H2769" s="257" t="s">
        <v>20881</v>
      </c>
      <c r="I2769" s="9">
        <v>2</v>
      </c>
    </row>
    <row r="2770" spans="1:9">
      <c r="A2770" s="257" t="s">
        <v>3868</v>
      </c>
      <c r="B2770" s="9">
        <v>8</v>
      </c>
      <c r="C2770" s="257" t="s">
        <v>11043</v>
      </c>
      <c r="D2770" s="9">
        <v>382393.1031036377</v>
      </c>
      <c r="E2770" s="9">
        <v>1724851.1857852936</v>
      </c>
      <c r="F2770" s="257" t="s">
        <v>15206</v>
      </c>
      <c r="G2770" s="9"/>
      <c r="H2770" s="257" t="s">
        <v>20882</v>
      </c>
      <c r="I2770" s="9">
        <v>2</v>
      </c>
    </row>
    <row r="2771" spans="1:9">
      <c r="A2771" s="257" t="s">
        <v>3869</v>
      </c>
      <c r="B2771" s="9">
        <v>8</v>
      </c>
      <c r="C2771" s="257" t="s">
        <v>11044</v>
      </c>
      <c r="D2771" s="9">
        <v>640994782.85222423</v>
      </c>
      <c r="E2771" s="9">
        <v>1724851.1857852936</v>
      </c>
      <c r="F2771" s="257" t="s">
        <v>15206</v>
      </c>
      <c r="G2771" s="9"/>
      <c r="H2771" s="257" t="s">
        <v>20883</v>
      </c>
      <c r="I2771" s="9">
        <v>2</v>
      </c>
    </row>
    <row r="2772" spans="1:9">
      <c r="A2772" s="257" t="s">
        <v>3870</v>
      </c>
      <c r="B2772" s="9">
        <v>8</v>
      </c>
      <c r="C2772" s="257" t="s">
        <v>11045</v>
      </c>
      <c r="D2772" s="9">
        <v>0.22169628676084369</v>
      </c>
      <c r="E2772" s="9">
        <v>1724851.1857852936</v>
      </c>
      <c r="F2772" s="257" t="s">
        <v>15206</v>
      </c>
      <c r="G2772" s="9"/>
      <c r="H2772" s="257" t="s">
        <v>20884</v>
      </c>
      <c r="I2772" s="9">
        <v>2</v>
      </c>
    </row>
    <row r="2773" spans="1:9">
      <c r="A2773" s="257" t="s">
        <v>3871</v>
      </c>
      <c r="B2773" s="9">
        <v>8</v>
      </c>
      <c r="C2773" s="257" t="s">
        <v>11046</v>
      </c>
      <c r="D2773" s="9">
        <v>371.62323807105184</v>
      </c>
      <c r="E2773" s="9">
        <v>1724851.1857852936</v>
      </c>
      <c r="F2773" s="257" t="s">
        <v>15206</v>
      </c>
      <c r="G2773" s="9"/>
      <c r="H2773" s="257" t="s">
        <v>20885</v>
      </c>
      <c r="I2773" s="9">
        <v>2</v>
      </c>
    </row>
    <row r="2774" spans="1:9">
      <c r="A2774" s="257" t="s">
        <v>3872</v>
      </c>
      <c r="B2774" s="9">
        <v>8</v>
      </c>
      <c r="C2774" s="257" t="s">
        <v>11047</v>
      </c>
      <c r="D2774" s="9">
        <v>1369300.6716537476</v>
      </c>
      <c r="E2774" s="9">
        <v>1724851.1857852936</v>
      </c>
      <c r="F2774" s="257" t="s">
        <v>15207</v>
      </c>
      <c r="G2774" s="9"/>
      <c r="H2774" s="257" t="s">
        <v>20886</v>
      </c>
      <c r="I2774" s="9">
        <v>2</v>
      </c>
    </row>
    <row r="2775" spans="1:9">
      <c r="A2775" s="257" t="s">
        <v>3873</v>
      </c>
      <c r="B2775" s="9">
        <v>8</v>
      </c>
      <c r="C2775" s="257" t="s">
        <v>11048</v>
      </c>
      <c r="D2775" s="9">
        <v>4558920129.6571827</v>
      </c>
      <c r="E2775" s="9">
        <v>1724851.1857852936</v>
      </c>
      <c r="F2775" s="257" t="s">
        <v>15207</v>
      </c>
      <c r="G2775" s="9"/>
      <c r="H2775" s="257" t="s">
        <v>20887</v>
      </c>
      <c r="I2775" s="9">
        <v>2</v>
      </c>
    </row>
    <row r="2776" spans="1:9">
      <c r="A2776" s="257" t="s">
        <v>3874</v>
      </c>
      <c r="B2776" s="9">
        <v>8</v>
      </c>
      <c r="C2776" s="257" t="s">
        <v>11049</v>
      </c>
      <c r="D2776" s="9">
        <v>0.79386597692503524</v>
      </c>
      <c r="E2776" s="9">
        <v>1724851.1857852936</v>
      </c>
      <c r="F2776" s="257" t="s">
        <v>15207</v>
      </c>
      <c r="G2776" s="9"/>
      <c r="H2776" s="257" t="s">
        <v>20888</v>
      </c>
      <c r="I2776" s="9">
        <v>2</v>
      </c>
    </row>
    <row r="2777" spans="1:9">
      <c r="A2777" s="257" t="s">
        <v>3875</v>
      </c>
      <c r="B2777" s="9">
        <v>8</v>
      </c>
      <c r="C2777" s="257" t="s">
        <v>11050</v>
      </c>
      <c r="D2777" s="9">
        <v>2643.0802652587031</v>
      </c>
      <c r="E2777" s="9">
        <v>1724851.1857852936</v>
      </c>
      <c r="F2777" s="257" t="s">
        <v>15207</v>
      </c>
      <c r="G2777" s="9"/>
      <c r="H2777" s="257" t="s">
        <v>20889</v>
      </c>
      <c r="I2777" s="9">
        <v>2</v>
      </c>
    </row>
    <row r="2778" spans="1:9">
      <c r="A2778" s="257" t="s">
        <v>3876</v>
      </c>
      <c r="B2778" s="9">
        <v>8</v>
      </c>
      <c r="C2778" s="257" t="s">
        <v>11051</v>
      </c>
      <c r="D2778" s="9">
        <v>0</v>
      </c>
      <c r="E2778" s="9">
        <v>1724851.1857852936</v>
      </c>
      <c r="F2778" s="257" t="s">
        <v>15208</v>
      </c>
      <c r="G2778" s="9"/>
      <c r="H2778" s="257" t="s">
        <v>20890</v>
      </c>
      <c r="I2778" s="9">
        <v>2</v>
      </c>
    </row>
    <row r="2779" spans="1:9">
      <c r="A2779" s="257" t="s">
        <v>3877</v>
      </c>
      <c r="B2779" s="9">
        <v>8</v>
      </c>
      <c r="C2779" s="257" t="s">
        <v>11052</v>
      </c>
      <c r="D2779" s="9">
        <v>0</v>
      </c>
      <c r="E2779" s="9">
        <v>1724851.1857852936</v>
      </c>
      <c r="F2779" s="257" t="s">
        <v>15208</v>
      </c>
      <c r="G2779" s="9"/>
      <c r="H2779" s="257" t="s">
        <v>20891</v>
      </c>
      <c r="I2779" s="9">
        <v>2</v>
      </c>
    </row>
    <row r="2780" spans="1:9">
      <c r="A2780" s="257" t="s">
        <v>3878</v>
      </c>
      <c r="B2780" s="9">
        <v>8</v>
      </c>
      <c r="C2780" s="257" t="s">
        <v>11053</v>
      </c>
      <c r="D2780" s="9">
        <v>0</v>
      </c>
      <c r="E2780" s="9">
        <v>1724851.1857852936</v>
      </c>
      <c r="F2780" s="257" t="s">
        <v>15208</v>
      </c>
      <c r="G2780" s="9"/>
      <c r="H2780" s="257" t="s">
        <v>20892</v>
      </c>
      <c r="I2780" s="9">
        <v>2</v>
      </c>
    </row>
    <row r="2781" spans="1:9">
      <c r="A2781" s="257" t="s">
        <v>3879</v>
      </c>
      <c r="B2781" s="9">
        <v>8</v>
      </c>
      <c r="C2781" s="257" t="s">
        <v>11054</v>
      </c>
      <c r="D2781" s="9">
        <v>0</v>
      </c>
      <c r="E2781" s="9">
        <v>1724851.1857852936</v>
      </c>
      <c r="F2781" s="257" t="s">
        <v>15208</v>
      </c>
      <c r="G2781" s="9"/>
      <c r="H2781" s="257" t="s">
        <v>20893</v>
      </c>
      <c r="I2781" s="9">
        <v>2</v>
      </c>
    </row>
    <row r="2782" spans="1:9">
      <c r="A2782" s="257" t="s">
        <v>3880</v>
      </c>
      <c r="B2782" s="9">
        <v>9</v>
      </c>
      <c r="C2782" s="257" t="s">
        <v>11055</v>
      </c>
      <c r="D2782" s="9">
        <v>1539397.4216518402</v>
      </c>
      <c r="E2782" s="9">
        <v>1721642.4785900116</v>
      </c>
      <c r="F2782" s="257" t="s">
        <v>15209</v>
      </c>
      <c r="G2782" s="9"/>
      <c r="H2782" s="257" t="s">
        <v>20894</v>
      </c>
      <c r="I2782" s="9">
        <v>2</v>
      </c>
    </row>
    <row r="2783" spans="1:9">
      <c r="A2783" s="257" t="s">
        <v>3881</v>
      </c>
      <c r="B2783" s="9">
        <v>9</v>
      </c>
      <c r="C2783" s="257" t="s">
        <v>11056</v>
      </c>
      <c r="D2783" s="9">
        <v>10247644249.467258</v>
      </c>
      <c r="E2783" s="9">
        <v>1721642.4785900116</v>
      </c>
      <c r="F2783" s="257" t="s">
        <v>15209</v>
      </c>
      <c r="G2783" s="9"/>
      <c r="H2783" s="257" t="s">
        <v>20895</v>
      </c>
      <c r="I2783" s="9">
        <v>2</v>
      </c>
    </row>
    <row r="2784" spans="1:9">
      <c r="A2784" s="257" t="s">
        <v>3882</v>
      </c>
      <c r="B2784" s="9">
        <v>9</v>
      </c>
      <c r="C2784" s="257" t="s">
        <v>11057</v>
      </c>
      <c r="D2784" s="9">
        <v>0.89414465592912984</v>
      </c>
      <c r="E2784" s="9">
        <v>1721642.4785900116</v>
      </c>
      <c r="F2784" s="257" t="s">
        <v>15209</v>
      </c>
      <c r="G2784" s="9"/>
      <c r="H2784" s="257" t="s">
        <v>20896</v>
      </c>
      <c r="I2784" s="9">
        <v>2</v>
      </c>
    </row>
    <row r="2785" spans="1:9">
      <c r="A2785" s="257" t="s">
        <v>3883</v>
      </c>
      <c r="B2785" s="9">
        <v>9</v>
      </c>
      <c r="C2785" s="257" t="s">
        <v>11058</v>
      </c>
      <c r="D2785" s="9">
        <v>5952.2487257980883</v>
      </c>
      <c r="E2785" s="9">
        <v>1721642.4785900116</v>
      </c>
      <c r="F2785" s="257" t="s">
        <v>15209</v>
      </c>
      <c r="G2785" s="9"/>
      <c r="H2785" s="257" t="s">
        <v>20897</v>
      </c>
      <c r="I2785" s="9">
        <v>2</v>
      </c>
    </row>
    <row r="2786" spans="1:9">
      <c r="A2786" s="257" t="s">
        <v>3884</v>
      </c>
      <c r="B2786" s="9">
        <v>9</v>
      </c>
      <c r="C2786" s="257" t="s">
        <v>11059</v>
      </c>
      <c r="D2786" s="9">
        <v>0</v>
      </c>
      <c r="E2786" s="9">
        <v>1721642.4785900116</v>
      </c>
      <c r="F2786" s="257" t="s">
        <v>15210</v>
      </c>
      <c r="G2786" s="9"/>
      <c r="H2786" s="257" t="s">
        <v>20898</v>
      </c>
      <c r="I2786" s="9">
        <v>2</v>
      </c>
    </row>
    <row r="2787" spans="1:9">
      <c r="A2787" s="257" t="s">
        <v>3885</v>
      </c>
      <c r="B2787" s="9">
        <v>9</v>
      </c>
      <c r="C2787" s="257" t="s">
        <v>11060</v>
      </c>
      <c r="D2787" s="9">
        <v>0</v>
      </c>
      <c r="E2787" s="9">
        <v>1721642.4785900116</v>
      </c>
      <c r="F2787" s="257" t="s">
        <v>15210</v>
      </c>
      <c r="G2787" s="9"/>
      <c r="H2787" s="257" t="s">
        <v>20899</v>
      </c>
      <c r="I2787" s="9">
        <v>2</v>
      </c>
    </row>
    <row r="2788" spans="1:9">
      <c r="A2788" s="257" t="s">
        <v>3886</v>
      </c>
      <c r="B2788" s="9">
        <v>9</v>
      </c>
      <c r="C2788" s="257" t="s">
        <v>11061</v>
      </c>
      <c r="D2788" s="9">
        <v>0</v>
      </c>
      <c r="E2788" s="9">
        <v>1721642.4785900116</v>
      </c>
      <c r="F2788" s="257" t="s">
        <v>15210</v>
      </c>
      <c r="G2788" s="9"/>
      <c r="H2788" s="257" t="s">
        <v>20900</v>
      </c>
      <c r="I2788" s="9">
        <v>2</v>
      </c>
    </row>
    <row r="2789" spans="1:9">
      <c r="A2789" s="257" t="s">
        <v>3887</v>
      </c>
      <c r="B2789" s="9">
        <v>9</v>
      </c>
      <c r="C2789" s="257" t="s">
        <v>11062</v>
      </c>
      <c r="D2789" s="9">
        <v>0</v>
      </c>
      <c r="E2789" s="9">
        <v>1721642.4785900116</v>
      </c>
      <c r="F2789" s="257" t="s">
        <v>15210</v>
      </c>
      <c r="G2789" s="9"/>
      <c r="H2789" s="257" t="s">
        <v>20901</v>
      </c>
      <c r="I2789" s="9">
        <v>2</v>
      </c>
    </row>
    <row r="2790" spans="1:9">
      <c r="A2790" s="257" t="s">
        <v>3888</v>
      </c>
      <c r="B2790" s="9">
        <v>9</v>
      </c>
      <c r="C2790" s="257" t="s">
        <v>11063</v>
      </c>
      <c r="D2790" s="9">
        <v>1538705.5188293457</v>
      </c>
      <c r="E2790" s="9">
        <v>1721642.4785900116</v>
      </c>
      <c r="F2790" s="257" t="s">
        <v>15211</v>
      </c>
      <c r="G2790" s="9"/>
      <c r="H2790" s="257" t="s">
        <v>20902</v>
      </c>
      <c r="I2790" s="9">
        <v>2</v>
      </c>
    </row>
    <row r="2791" spans="1:9">
      <c r="A2791" s="257" t="s">
        <v>3889</v>
      </c>
      <c r="B2791" s="9">
        <v>9</v>
      </c>
      <c r="C2791" s="257" t="s">
        <v>11064</v>
      </c>
      <c r="D2791" s="9">
        <v>777338696.67647052</v>
      </c>
      <c r="E2791" s="9">
        <v>1721642.4785900116</v>
      </c>
      <c r="F2791" s="257" t="s">
        <v>15211</v>
      </c>
      <c r="G2791" s="9"/>
      <c r="H2791" s="257" t="s">
        <v>20903</v>
      </c>
      <c r="I2791" s="9">
        <v>2</v>
      </c>
    </row>
    <row r="2792" spans="1:9">
      <c r="A2792" s="257" t="s">
        <v>3890</v>
      </c>
      <c r="B2792" s="9">
        <v>9</v>
      </c>
      <c r="C2792" s="257" t="s">
        <v>11065</v>
      </c>
      <c r="D2792" s="9">
        <v>0.89374277061838803</v>
      </c>
      <c r="E2792" s="9">
        <v>1721642.4785900116</v>
      </c>
      <c r="F2792" s="257" t="s">
        <v>15211</v>
      </c>
      <c r="G2792" s="9"/>
      <c r="H2792" s="257" t="s">
        <v>20904</v>
      </c>
      <c r="I2792" s="9">
        <v>2</v>
      </c>
    </row>
    <row r="2793" spans="1:9">
      <c r="A2793" s="257" t="s">
        <v>3891</v>
      </c>
      <c r="B2793" s="9">
        <v>9</v>
      </c>
      <c r="C2793" s="257" t="s">
        <v>11066</v>
      </c>
      <c r="D2793" s="9">
        <v>451.5099425945242</v>
      </c>
      <c r="E2793" s="9">
        <v>1721642.4785900116</v>
      </c>
      <c r="F2793" s="257" t="s">
        <v>15211</v>
      </c>
      <c r="G2793" s="9"/>
      <c r="H2793" s="257" t="s">
        <v>20905</v>
      </c>
      <c r="I2793" s="9">
        <v>2</v>
      </c>
    </row>
    <row r="2794" spans="1:9">
      <c r="A2794" s="257" t="s">
        <v>3892</v>
      </c>
      <c r="B2794" s="9">
        <v>9</v>
      </c>
      <c r="C2794" s="257" t="s">
        <v>11067</v>
      </c>
      <c r="D2794" s="9">
        <v>0</v>
      </c>
      <c r="E2794" s="9">
        <v>1721642.4785900116</v>
      </c>
      <c r="F2794" s="257" t="s">
        <v>15212</v>
      </c>
      <c r="G2794" s="9"/>
      <c r="H2794" s="257" t="s">
        <v>20906</v>
      </c>
      <c r="I2794" s="9">
        <v>2</v>
      </c>
    </row>
    <row r="2795" spans="1:9">
      <c r="A2795" s="257" t="s">
        <v>3893</v>
      </c>
      <c r="B2795" s="9">
        <v>9</v>
      </c>
      <c r="C2795" s="257" t="s">
        <v>11068</v>
      </c>
      <c r="D2795" s="9">
        <v>0</v>
      </c>
      <c r="E2795" s="9">
        <v>1721642.4785900116</v>
      </c>
      <c r="F2795" s="257" t="s">
        <v>15212</v>
      </c>
      <c r="G2795" s="9"/>
      <c r="H2795" s="257" t="s">
        <v>20907</v>
      </c>
      <c r="I2795" s="9">
        <v>2</v>
      </c>
    </row>
    <row r="2796" spans="1:9">
      <c r="A2796" s="257" t="s">
        <v>3894</v>
      </c>
      <c r="B2796" s="9">
        <v>9</v>
      </c>
      <c r="C2796" s="257" t="s">
        <v>11069</v>
      </c>
      <c r="D2796" s="9">
        <v>0</v>
      </c>
      <c r="E2796" s="9">
        <v>1721642.4785900116</v>
      </c>
      <c r="F2796" s="257" t="s">
        <v>15212</v>
      </c>
      <c r="G2796" s="9"/>
      <c r="H2796" s="257" t="s">
        <v>20908</v>
      </c>
      <c r="I2796" s="9">
        <v>2</v>
      </c>
    </row>
    <row r="2797" spans="1:9">
      <c r="A2797" s="257" t="s">
        <v>3895</v>
      </c>
      <c r="B2797" s="9">
        <v>9</v>
      </c>
      <c r="C2797" s="257" t="s">
        <v>11070</v>
      </c>
      <c r="D2797" s="9">
        <v>0</v>
      </c>
      <c r="E2797" s="9">
        <v>1721642.4785900116</v>
      </c>
      <c r="F2797" s="257" t="s">
        <v>15212</v>
      </c>
      <c r="G2797" s="9"/>
      <c r="H2797" s="257" t="s">
        <v>20909</v>
      </c>
      <c r="I2797" s="9">
        <v>2</v>
      </c>
    </row>
    <row r="2798" spans="1:9">
      <c r="A2798" s="257" t="s">
        <v>3896</v>
      </c>
      <c r="B2798" s="9">
        <v>9</v>
      </c>
      <c r="C2798" s="257" t="s">
        <v>11071</v>
      </c>
      <c r="D2798" s="9">
        <v>0</v>
      </c>
      <c r="E2798" s="9">
        <v>1721642.4785900116</v>
      </c>
      <c r="F2798" s="257" t="s">
        <v>15213</v>
      </c>
      <c r="G2798" s="9"/>
      <c r="H2798" s="257" t="s">
        <v>20910</v>
      </c>
      <c r="I2798" s="9">
        <v>2</v>
      </c>
    </row>
    <row r="2799" spans="1:9">
      <c r="A2799" s="257" t="s">
        <v>3897</v>
      </c>
      <c r="B2799" s="9">
        <v>9</v>
      </c>
      <c r="C2799" s="257" t="s">
        <v>11072</v>
      </c>
      <c r="D2799" s="9">
        <v>0</v>
      </c>
      <c r="E2799" s="9">
        <v>1721642.4785900116</v>
      </c>
      <c r="F2799" s="257" t="s">
        <v>15213</v>
      </c>
      <c r="G2799" s="9"/>
      <c r="H2799" s="257" t="s">
        <v>20911</v>
      </c>
      <c r="I2799" s="9">
        <v>2</v>
      </c>
    </row>
    <row r="2800" spans="1:9">
      <c r="A2800" s="257" t="s">
        <v>3898</v>
      </c>
      <c r="B2800" s="9">
        <v>9</v>
      </c>
      <c r="C2800" s="257" t="s">
        <v>11073</v>
      </c>
      <c r="D2800" s="9">
        <v>0</v>
      </c>
      <c r="E2800" s="9">
        <v>1721642.4785900116</v>
      </c>
      <c r="F2800" s="257" t="s">
        <v>15213</v>
      </c>
      <c r="G2800" s="9"/>
      <c r="H2800" s="257" t="s">
        <v>20912</v>
      </c>
      <c r="I2800" s="9">
        <v>2</v>
      </c>
    </row>
    <row r="2801" spans="1:9">
      <c r="A2801" s="257" t="s">
        <v>3899</v>
      </c>
      <c r="B2801" s="9">
        <v>9</v>
      </c>
      <c r="C2801" s="257" t="s">
        <v>11074</v>
      </c>
      <c r="D2801" s="9">
        <v>0</v>
      </c>
      <c r="E2801" s="9">
        <v>1721642.4785900116</v>
      </c>
      <c r="F2801" s="257" t="s">
        <v>15213</v>
      </c>
      <c r="G2801" s="9"/>
      <c r="H2801" s="257" t="s">
        <v>20913</v>
      </c>
      <c r="I2801" s="9">
        <v>2</v>
      </c>
    </row>
    <row r="2802" spans="1:9">
      <c r="A2802" s="257" t="s">
        <v>3900</v>
      </c>
      <c r="B2802" s="9">
        <v>9</v>
      </c>
      <c r="C2802" s="257" t="s">
        <v>11075</v>
      </c>
      <c r="D2802" s="9">
        <v>0</v>
      </c>
      <c r="E2802" s="9">
        <v>1721642.4785900116</v>
      </c>
      <c r="F2802" s="257" t="s">
        <v>15214</v>
      </c>
      <c r="G2802" s="9"/>
      <c r="H2802" s="257" t="s">
        <v>20914</v>
      </c>
      <c r="I2802" s="9">
        <v>2</v>
      </c>
    </row>
    <row r="2803" spans="1:9">
      <c r="A2803" s="257" t="s">
        <v>3901</v>
      </c>
      <c r="B2803" s="9">
        <v>9</v>
      </c>
      <c r="C2803" s="257" t="s">
        <v>11076</v>
      </c>
      <c r="D2803" s="9">
        <v>0</v>
      </c>
      <c r="E2803" s="9">
        <v>1721642.4785900116</v>
      </c>
      <c r="F2803" s="257" t="s">
        <v>15214</v>
      </c>
      <c r="G2803" s="9"/>
      <c r="H2803" s="257" t="s">
        <v>20915</v>
      </c>
      <c r="I2803" s="9">
        <v>2</v>
      </c>
    </row>
    <row r="2804" spans="1:9">
      <c r="A2804" s="257" t="s">
        <v>3902</v>
      </c>
      <c r="B2804" s="9">
        <v>9</v>
      </c>
      <c r="C2804" s="257" t="s">
        <v>11077</v>
      </c>
      <c r="D2804" s="9">
        <v>0</v>
      </c>
      <c r="E2804" s="9">
        <v>1721642.4785900116</v>
      </c>
      <c r="F2804" s="257" t="s">
        <v>15214</v>
      </c>
      <c r="G2804" s="9"/>
      <c r="H2804" s="257" t="s">
        <v>20916</v>
      </c>
      <c r="I2804" s="9">
        <v>2</v>
      </c>
    </row>
    <row r="2805" spans="1:9">
      <c r="A2805" s="257" t="s">
        <v>3903</v>
      </c>
      <c r="B2805" s="9">
        <v>9</v>
      </c>
      <c r="C2805" s="257" t="s">
        <v>11078</v>
      </c>
      <c r="D2805" s="9">
        <v>0</v>
      </c>
      <c r="E2805" s="9">
        <v>1721642.4785900116</v>
      </c>
      <c r="F2805" s="257" t="s">
        <v>15214</v>
      </c>
      <c r="G2805" s="9"/>
      <c r="H2805" s="257" t="s">
        <v>20917</v>
      </c>
      <c r="I2805" s="9">
        <v>2</v>
      </c>
    </row>
    <row r="2806" spans="1:9">
      <c r="A2806" s="257" t="s">
        <v>3904</v>
      </c>
      <c r="B2806" s="9">
        <v>9</v>
      </c>
      <c r="C2806" s="257" t="s">
        <v>11079</v>
      </c>
      <c r="D2806" s="9">
        <v>1538705.5188293457</v>
      </c>
      <c r="E2806" s="9">
        <v>1721642.4785900116</v>
      </c>
      <c r="F2806" s="257" t="s">
        <v>15215</v>
      </c>
      <c r="G2806" s="9"/>
      <c r="H2806" s="257" t="s">
        <v>20918</v>
      </c>
      <c r="I2806" s="9">
        <v>2</v>
      </c>
    </row>
    <row r="2807" spans="1:9">
      <c r="A2807" s="257" t="s">
        <v>3905</v>
      </c>
      <c r="B2807" s="9">
        <v>9</v>
      </c>
      <c r="C2807" s="257" t="s">
        <v>11080</v>
      </c>
      <c r="D2807" s="9">
        <v>777338696.67647052</v>
      </c>
      <c r="E2807" s="9">
        <v>1721642.4785900116</v>
      </c>
      <c r="F2807" s="257" t="s">
        <v>15215</v>
      </c>
      <c r="G2807" s="9"/>
      <c r="H2807" s="257" t="s">
        <v>20919</v>
      </c>
      <c r="I2807" s="9">
        <v>2</v>
      </c>
    </row>
    <row r="2808" spans="1:9">
      <c r="A2808" s="257" t="s">
        <v>3906</v>
      </c>
      <c r="B2808" s="9">
        <v>9</v>
      </c>
      <c r="C2808" s="257" t="s">
        <v>11081</v>
      </c>
      <c r="D2808" s="9">
        <v>0.89374277061838803</v>
      </c>
      <c r="E2808" s="9">
        <v>1721642.4785900116</v>
      </c>
      <c r="F2808" s="257" t="s">
        <v>15215</v>
      </c>
      <c r="G2808" s="9"/>
      <c r="H2808" s="257" t="s">
        <v>20920</v>
      </c>
      <c r="I2808" s="9">
        <v>2</v>
      </c>
    </row>
    <row r="2809" spans="1:9">
      <c r="A2809" s="257" t="s">
        <v>3907</v>
      </c>
      <c r="B2809" s="9">
        <v>9</v>
      </c>
      <c r="C2809" s="257" t="s">
        <v>11082</v>
      </c>
      <c r="D2809" s="9">
        <v>451.5099425945242</v>
      </c>
      <c r="E2809" s="9">
        <v>1721642.4785900116</v>
      </c>
      <c r="F2809" s="257" t="s">
        <v>15215</v>
      </c>
      <c r="G2809" s="9"/>
      <c r="H2809" s="257" t="s">
        <v>20921</v>
      </c>
      <c r="I2809" s="9">
        <v>2</v>
      </c>
    </row>
    <row r="2810" spans="1:9">
      <c r="A2810" s="257" t="s">
        <v>3908</v>
      </c>
      <c r="B2810" s="9">
        <v>9</v>
      </c>
      <c r="C2810" s="257" t="s">
        <v>11083</v>
      </c>
      <c r="D2810" s="9">
        <v>0</v>
      </c>
      <c r="E2810" s="9">
        <v>1721642.4785900116</v>
      </c>
      <c r="F2810" s="257" t="s">
        <v>15216</v>
      </c>
      <c r="G2810" s="9"/>
      <c r="H2810" s="257" t="s">
        <v>20922</v>
      </c>
      <c r="I2810" s="9">
        <v>2</v>
      </c>
    </row>
    <row r="2811" spans="1:9">
      <c r="A2811" s="257" t="s">
        <v>3909</v>
      </c>
      <c r="B2811" s="9">
        <v>9</v>
      </c>
      <c r="C2811" s="257" t="s">
        <v>11084</v>
      </c>
      <c r="D2811" s="9">
        <v>0</v>
      </c>
      <c r="E2811" s="9">
        <v>1721642.4785900116</v>
      </c>
      <c r="F2811" s="257" t="s">
        <v>15216</v>
      </c>
      <c r="G2811" s="9"/>
      <c r="H2811" s="257" t="s">
        <v>20923</v>
      </c>
      <c r="I2811" s="9">
        <v>2</v>
      </c>
    </row>
    <row r="2812" spans="1:9">
      <c r="A2812" s="257" t="s">
        <v>3910</v>
      </c>
      <c r="B2812" s="9">
        <v>9</v>
      </c>
      <c r="C2812" s="257" t="s">
        <v>11085</v>
      </c>
      <c r="D2812" s="9">
        <v>0</v>
      </c>
      <c r="E2812" s="9">
        <v>1721642.4785900116</v>
      </c>
      <c r="F2812" s="257" t="s">
        <v>15216</v>
      </c>
      <c r="G2812" s="9"/>
      <c r="H2812" s="257" t="s">
        <v>20924</v>
      </c>
      <c r="I2812" s="9">
        <v>2</v>
      </c>
    </row>
    <row r="2813" spans="1:9">
      <c r="A2813" s="257" t="s">
        <v>3911</v>
      </c>
      <c r="B2813" s="9">
        <v>9</v>
      </c>
      <c r="C2813" s="257" t="s">
        <v>11086</v>
      </c>
      <c r="D2813" s="9">
        <v>0</v>
      </c>
      <c r="E2813" s="9">
        <v>1721642.4785900116</v>
      </c>
      <c r="F2813" s="257" t="s">
        <v>15216</v>
      </c>
      <c r="G2813" s="9"/>
      <c r="H2813" s="257" t="s">
        <v>20925</v>
      </c>
      <c r="I2813" s="9">
        <v>2</v>
      </c>
    </row>
    <row r="2814" spans="1:9">
      <c r="A2814" s="257" t="s">
        <v>3912</v>
      </c>
      <c r="B2814" s="9">
        <v>9</v>
      </c>
      <c r="C2814" s="257" t="s">
        <v>11087</v>
      </c>
      <c r="D2814" s="9">
        <v>1721642.4785900116</v>
      </c>
      <c r="E2814" s="9">
        <v>1721642.4785900116</v>
      </c>
      <c r="F2814" s="257" t="s">
        <v>15217</v>
      </c>
      <c r="G2814" s="9"/>
      <c r="H2814" s="257" t="s">
        <v>20926</v>
      </c>
      <c r="I2814" s="9">
        <v>2</v>
      </c>
    </row>
    <row r="2815" spans="1:9">
      <c r="A2815" s="257" t="s">
        <v>3913</v>
      </c>
      <c r="B2815" s="9">
        <v>9</v>
      </c>
      <c r="C2815" s="257" t="s">
        <v>11088</v>
      </c>
      <c r="D2815" s="9">
        <v>23703706182.103611</v>
      </c>
      <c r="E2815" s="9">
        <v>1721642.4785900116</v>
      </c>
      <c r="F2815" s="257" t="s">
        <v>15217</v>
      </c>
      <c r="G2815" s="9"/>
      <c r="H2815" s="257" t="s">
        <v>20927</v>
      </c>
      <c r="I2815" s="9">
        <v>2</v>
      </c>
    </row>
    <row r="2816" spans="1:9">
      <c r="A2816" s="257" t="s">
        <v>3914</v>
      </c>
      <c r="B2816" s="9">
        <v>9</v>
      </c>
      <c r="C2816" s="257" t="s">
        <v>11089</v>
      </c>
      <c r="D2816" s="9">
        <v>1</v>
      </c>
      <c r="E2816" s="9">
        <v>1721642.4785900116</v>
      </c>
      <c r="F2816" s="257" t="s">
        <v>15217</v>
      </c>
      <c r="G2816" s="9"/>
      <c r="H2816" s="257" t="s">
        <v>20928</v>
      </c>
      <c r="I2816" s="9">
        <v>2</v>
      </c>
    </row>
    <row r="2817" spans="1:9">
      <c r="A2817" s="257" t="s">
        <v>3915</v>
      </c>
      <c r="B2817" s="9">
        <v>9</v>
      </c>
      <c r="C2817" s="257" t="s">
        <v>11090</v>
      </c>
      <c r="D2817" s="9">
        <v>13768.076982810298</v>
      </c>
      <c r="E2817" s="9">
        <v>1721642.4785900116</v>
      </c>
      <c r="F2817" s="257" t="s">
        <v>15217</v>
      </c>
      <c r="G2817" s="9"/>
      <c r="H2817" s="257" t="s">
        <v>20929</v>
      </c>
      <c r="I2817" s="9">
        <v>2</v>
      </c>
    </row>
    <row r="2818" spans="1:9">
      <c r="A2818" s="257" t="s">
        <v>3916</v>
      </c>
      <c r="B2818" s="9">
        <v>9</v>
      </c>
      <c r="C2818" s="257" t="s">
        <v>11091</v>
      </c>
      <c r="D2818" s="9">
        <v>1721642.4785900116</v>
      </c>
      <c r="E2818" s="9">
        <v>1721642.4785900116</v>
      </c>
      <c r="F2818" s="257" t="s">
        <v>15218</v>
      </c>
      <c r="G2818" s="9"/>
      <c r="H2818" s="257" t="s">
        <v>20930</v>
      </c>
      <c r="I2818" s="9">
        <v>2</v>
      </c>
    </row>
    <row r="2819" spans="1:9">
      <c r="A2819" s="257" t="s">
        <v>3917</v>
      </c>
      <c r="B2819" s="9">
        <v>9</v>
      </c>
      <c r="C2819" s="257" t="s">
        <v>11092</v>
      </c>
      <c r="D2819" s="9">
        <v>22926367485.427139</v>
      </c>
      <c r="E2819" s="9">
        <v>1721642.4785900116</v>
      </c>
      <c r="F2819" s="257" t="s">
        <v>15218</v>
      </c>
      <c r="G2819" s="9"/>
      <c r="H2819" s="257" t="s">
        <v>20931</v>
      </c>
      <c r="I2819" s="9">
        <v>2</v>
      </c>
    </row>
    <row r="2820" spans="1:9">
      <c r="A2820" s="257" t="s">
        <v>3918</v>
      </c>
      <c r="B2820" s="9">
        <v>9</v>
      </c>
      <c r="C2820" s="257" t="s">
        <v>11093</v>
      </c>
      <c r="D2820" s="9">
        <v>1</v>
      </c>
      <c r="E2820" s="9">
        <v>1721642.4785900116</v>
      </c>
      <c r="F2820" s="257" t="s">
        <v>15218</v>
      </c>
      <c r="G2820" s="9"/>
      <c r="H2820" s="257" t="s">
        <v>20932</v>
      </c>
      <c r="I2820" s="9">
        <v>2</v>
      </c>
    </row>
    <row r="2821" spans="1:9">
      <c r="A2821" s="257" t="s">
        <v>3919</v>
      </c>
      <c r="B2821" s="9">
        <v>9</v>
      </c>
      <c r="C2821" s="257" t="s">
        <v>11094</v>
      </c>
      <c r="D2821" s="9">
        <v>13316.567040215774</v>
      </c>
      <c r="E2821" s="9">
        <v>1721642.4785900116</v>
      </c>
      <c r="F2821" s="257" t="s">
        <v>15218</v>
      </c>
      <c r="G2821" s="9"/>
      <c r="H2821" s="257" t="s">
        <v>20933</v>
      </c>
      <c r="I2821" s="9">
        <v>2</v>
      </c>
    </row>
    <row r="2822" spans="1:9">
      <c r="A2822" s="257" t="s">
        <v>3920</v>
      </c>
      <c r="B2822" s="9">
        <v>9</v>
      </c>
      <c r="C2822" s="257" t="s">
        <v>11095</v>
      </c>
      <c r="D2822" s="9">
        <v>1721642.4785900116</v>
      </c>
      <c r="E2822" s="9">
        <v>1721642.4785900116</v>
      </c>
      <c r="F2822" s="257" t="s">
        <v>15219</v>
      </c>
      <c r="G2822" s="9"/>
      <c r="H2822" s="257" t="s">
        <v>20934</v>
      </c>
      <c r="I2822" s="9">
        <v>2</v>
      </c>
    </row>
    <row r="2823" spans="1:9">
      <c r="A2823" s="257" t="s">
        <v>3921</v>
      </c>
      <c r="B2823" s="9">
        <v>9</v>
      </c>
      <c r="C2823" s="257" t="s">
        <v>11096</v>
      </c>
      <c r="D2823" s="9">
        <v>23703706182.103611</v>
      </c>
      <c r="E2823" s="9">
        <v>1721642.4785900116</v>
      </c>
      <c r="F2823" s="257" t="s">
        <v>15219</v>
      </c>
      <c r="G2823" s="9"/>
      <c r="H2823" s="257" t="s">
        <v>20935</v>
      </c>
      <c r="I2823" s="9">
        <v>2</v>
      </c>
    </row>
    <row r="2824" spans="1:9">
      <c r="A2824" s="257" t="s">
        <v>3922</v>
      </c>
      <c r="B2824" s="9">
        <v>9</v>
      </c>
      <c r="C2824" s="257" t="s">
        <v>11097</v>
      </c>
      <c r="D2824" s="9">
        <v>1</v>
      </c>
      <c r="E2824" s="9">
        <v>1721642.4785900116</v>
      </c>
      <c r="F2824" s="257" t="s">
        <v>15219</v>
      </c>
      <c r="G2824" s="9"/>
      <c r="H2824" s="257" t="s">
        <v>20936</v>
      </c>
      <c r="I2824" s="9">
        <v>2</v>
      </c>
    </row>
    <row r="2825" spans="1:9">
      <c r="A2825" s="257" t="s">
        <v>3923</v>
      </c>
      <c r="B2825" s="9">
        <v>9</v>
      </c>
      <c r="C2825" s="257" t="s">
        <v>11098</v>
      </c>
      <c r="D2825" s="9">
        <v>13768.076982810298</v>
      </c>
      <c r="E2825" s="9">
        <v>1721642.4785900116</v>
      </c>
      <c r="F2825" s="257" t="s">
        <v>15219</v>
      </c>
      <c r="G2825" s="9"/>
      <c r="H2825" s="257" t="s">
        <v>20937</v>
      </c>
      <c r="I2825" s="9">
        <v>2</v>
      </c>
    </row>
    <row r="2826" spans="1:9">
      <c r="A2826" s="257" t="s">
        <v>3924</v>
      </c>
      <c r="B2826" s="9">
        <v>9</v>
      </c>
      <c r="C2826" s="257" t="s">
        <v>11099</v>
      </c>
      <c r="D2826" s="9">
        <v>1721642.4785900116</v>
      </c>
      <c r="E2826" s="9">
        <v>1721642.4785900116</v>
      </c>
      <c r="F2826" s="257" t="s">
        <v>15220</v>
      </c>
      <c r="G2826" s="9"/>
      <c r="H2826" s="257" t="s">
        <v>20938</v>
      </c>
      <c r="I2826" s="9">
        <v>2</v>
      </c>
    </row>
    <row r="2827" spans="1:9">
      <c r="A2827" s="257" t="s">
        <v>3925</v>
      </c>
      <c r="B2827" s="9">
        <v>9</v>
      </c>
      <c r="C2827" s="257" t="s">
        <v>11100</v>
      </c>
      <c r="D2827" s="9">
        <v>3698515683.3379335</v>
      </c>
      <c r="E2827" s="9">
        <v>1721642.4785900116</v>
      </c>
      <c r="F2827" s="257" t="s">
        <v>15220</v>
      </c>
      <c r="G2827" s="9"/>
      <c r="H2827" s="257" t="s">
        <v>20939</v>
      </c>
      <c r="I2827" s="9">
        <v>2</v>
      </c>
    </row>
    <row r="2828" spans="1:9">
      <c r="A2828" s="257" t="s">
        <v>3926</v>
      </c>
      <c r="B2828" s="9">
        <v>9</v>
      </c>
      <c r="C2828" s="257" t="s">
        <v>11101</v>
      </c>
      <c r="D2828" s="9">
        <v>1</v>
      </c>
      <c r="E2828" s="9">
        <v>1721642.4785900116</v>
      </c>
      <c r="F2828" s="257" t="s">
        <v>15220</v>
      </c>
      <c r="G2828" s="9"/>
      <c r="H2828" s="257" t="s">
        <v>20940</v>
      </c>
      <c r="I2828" s="9">
        <v>2</v>
      </c>
    </row>
    <row r="2829" spans="1:9">
      <c r="A2829" s="257" t="s">
        <v>3927</v>
      </c>
      <c r="B2829" s="9">
        <v>9</v>
      </c>
      <c r="C2829" s="257" t="s">
        <v>11102</v>
      </c>
      <c r="D2829" s="9">
        <v>2148.248390320236</v>
      </c>
      <c r="E2829" s="9">
        <v>1721642.4785900116</v>
      </c>
      <c r="F2829" s="257" t="s">
        <v>15220</v>
      </c>
      <c r="G2829" s="9"/>
      <c r="H2829" s="257" t="s">
        <v>20941</v>
      </c>
      <c r="I2829" s="9">
        <v>2</v>
      </c>
    </row>
    <row r="2830" spans="1:9">
      <c r="A2830" s="257" t="s">
        <v>3928</v>
      </c>
      <c r="B2830" s="9">
        <v>9</v>
      </c>
      <c r="C2830" s="257" t="s">
        <v>11103</v>
      </c>
      <c r="D2830" s="9">
        <v>1559742.609960556</v>
      </c>
      <c r="E2830" s="9">
        <v>1721642.4785900116</v>
      </c>
      <c r="F2830" s="257" t="s">
        <v>15221</v>
      </c>
      <c r="G2830" s="9"/>
      <c r="H2830" s="257" t="s">
        <v>20942</v>
      </c>
      <c r="I2830" s="9">
        <v>2</v>
      </c>
    </row>
    <row r="2831" spans="1:9">
      <c r="A2831" s="257" t="s">
        <v>3929</v>
      </c>
      <c r="B2831" s="9">
        <v>9</v>
      </c>
      <c r="C2831" s="257" t="s">
        <v>11104</v>
      </c>
      <c r="D2831" s="9">
        <v>7299137835.5635614</v>
      </c>
      <c r="E2831" s="9">
        <v>1721642.4785900116</v>
      </c>
      <c r="F2831" s="257" t="s">
        <v>15221</v>
      </c>
      <c r="G2831" s="9"/>
      <c r="H2831" s="257" t="s">
        <v>20943</v>
      </c>
      <c r="I2831" s="9">
        <v>2</v>
      </c>
    </row>
    <row r="2832" spans="1:9">
      <c r="A2832" s="257" t="s">
        <v>3930</v>
      </c>
      <c r="B2832" s="9">
        <v>9</v>
      </c>
      <c r="C2832" s="257" t="s">
        <v>11105</v>
      </c>
      <c r="D2832" s="9">
        <v>0.90596196908312343</v>
      </c>
      <c r="E2832" s="9">
        <v>1721642.4785900116</v>
      </c>
      <c r="F2832" s="257" t="s">
        <v>15221</v>
      </c>
      <c r="G2832" s="9"/>
      <c r="H2832" s="257" t="s">
        <v>20944</v>
      </c>
      <c r="I2832" s="9">
        <v>2</v>
      </c>
    </row>
    <row r="2833" spans="1:9">
      <c r="A2833" s="257" t="s">
        <v>3931</v>
      </c>
      <c r="B2833" s="9">
        <v>9</v>
      </c>
      <c r="C2833" s="257" t="s">
        <v>11106</v>
      </c>
      <c r="D2833" s="9">
        <v>4239.6362347781978</v>
      </c>
      <c r="E2833" s="9">
        <v>1721642.4785900116</v>
      </c>
      <c r="F2833" s="257" t="s">
        <v>15221</v>
      </c>
      <c r="G2833" s="9"/>
      <c r="H2833" s="257" t="s">
        <v>20945</v>
      </c>
      <c r="I2833" s="9">
        <v>2</v>
      </c>
    </row>
    <row r="2834" spans="1:9">
      <c r="A2834" s="257" t="s">
        <v>3932</v>
      </c>
      <c r="B2834" s="9">
        <v>9</v>
      </c>
      <c r="C2834" s="257" t="s">
        <v>11107</v>
      </c>
      <c r="D2834" s="9">
        <v>1721642.4785900116</v>
      </c>
      <c r="E2834" s="9">
        <v>1721642.4785900116</v>
      </c>
      <c r="F2834" s="257" t="s">
        <v>15222</v>
      </c>
      <c r="G2834" s="9"/>
      <c r="H2834" s="257" t="s">
        <v>20946</v>
      </c>
      <c r="I2834" s="9">
        <v>2</v>
      </c>
    </row>
    <row r="2835" spans="1:9">
      <c r="A2835" s="257" t="s">
        <v>3933</v>
      </c>
      <c r="B2835" s="9">
        <v>9</v>
      </c>
      <c r="C2835" s="257" t="s">
        <v>11108</v>
      </c>
      <c r="D2835" s="9">
        <v>30225505320.9907</v>
      </c>
      <c r="E2835" s="9">
        <v>1721642.4785900116</v>
      </c>
      <c r="F2835" s="257" t="s">
        <v>15222</v>
      </c>
      <c r="G2835" s="9"/>
      <c r="H2835" s="257" t="s">
        <v>20947</v>
      </c>
      <c r="I2835" s="9">
        <v>2</v>
      </c>
    </row>
    <row r="2836" spans="1:9">
      <c r="A2836" s="257" t="s">
        <v>3934</v>
      </c>
      <c r="B2836" s="9">
        <v>9</v>
      </c>
      <c r="C2836" s="257" t="s">
        <v>11109</v>
      </c>
      <c r="D2836" s="9">
        <v>1</v>
      </c>
      <c r="E2836" s="9">
        <v>1721642.4785900116</v>
      </c>
      <c r="F2836" s="257" t="s">
        <v>15222</v>
      </c>
      <c r="G2836" s="9"/>
      <c r="H2836" s="257" t="s">
        <v>20948</v>
      </c>
      <c r="I2836" s="9">
        <v>2</v>
      </c>
    </row>
    <row r="2837" spans="1:9">
      <c r="A2837" s="257" t="s">
        <v>3935</v>
      </c>
      <c r="B2837" s="9">
        <v>9</v>
      </c>
      <c r="C2837" s="257" t="s">
        <v>11110</v>
      </c>
      <c r="D2837" s="9">
        <v>17556.203274993972</v>
      </c>
      <c r="E2837" s="9">
        <v>1721642.4785900116</v>
      </c>
      <c r="F2837" s="257" t="s">
        <v>15222</v>
      </c>
      <c r="G2837" s="9"/>
      <c r="H2837" s="257" t="s">
        <v>20949</v>
      </c>
      <c r="I2837" s="9">
        <v>2</v>
      </c>
    </row>
    <row r="2838" spans="1:9">
      <c r="A2838" s="257" t="s">
        <v>3936</v>
      </c>
      <c r="B2838" s="9">
        <v>9</v>
      </c>
      <c r="C2838" s="257" t="s">
        <v>11111</v>
      </c>
      <c r="D2838" s="9">
        <v>1721642.4785900116</v>
      </c>
      <c r="E2838" s="9">
        <v>1721642.4785900116</v>
      </c>
      <c r="F2838" s="257" t="s">
        <v>15223</v>
      </c>
      <c r="G2838" s="9"/>
      <c r="H2838" s="257" t="s">
        <v>20950</v>
      </c>
      <c r="I2838" s="9">
        <v>2</v>
      </c>
    </row>
    <row r="2839" spans="1:9">
      <c r="A2839" s="257" t="s">
        <v>3937</v>
      </c>
      <c r="B2839" s="9">
        <v>9</v>
      </c>
      <c r="C2839" s="257" t="s">
        <v>11112</v>
      </c>
      <c r="D2839" s="9">
        <v>31002844017.667171</v>
      </c>
      <c r="E2839" s="9">
        <v>1721642.4785900116</v>
      </c>
      <c r="F2839" s="257" t="s">
        <v>15223</v>
      </c>
      <c r="G2839" s="9"/>
      <c r="H2839" s="257" t="s">
        <v>20951</v>
      </c>
      <c r="I2839" s="9">
        <v>2</v>
      </c>
    </row>
    <row r="2840" spans="1:9">
      <c r="A2840" s="257" t="s">
        <v>3938</v>
      </c>
      <c r="B2840" s="9">
        <v>9</v>
      </c>
      <c r="C2840" s="257" t="s">
        <v>11113</v>
      </c>
      <c r="D2840" s="9">
        <v>1</v>
      </c>
      <c r="E2840" s="9">
        <v>1721642.4785900116</v>
      </c>
      <c r="F2840" s="257" t="s">
        <v>15223</v>
      </c>
      <c r="G2840" s="9"/>
      <c r="H2840" s="257" t="s">
        <v>20952</v>
      </c>
      <c r="I2840" s="9">
        <v>2</v>
      </c>
    </row>
    <row r="2841" spans="1:9">
      <c r="A2841" s="257" t="s">
        <v>3939</v>
      </c>
      <c r="B2841" s="9">
        <v>9</v>
      </c>
      <c r="C2841" s="257" t="s">
        <v>11114</v>
      </c>
      <c r="D2841" s="9">
        <v>18007.713217588494</v>
      </c>
      <c r="E2841" s="9">
        <v>1721642.4785900116</v>
      </c>
      <c r="F2841" s="257" t="s">
        <v>15223</v>
      </c>
      <c r="G2841" s="9"/>
      <c r="H2841" s="257" t="s">
        <v>20953</v>
      </c>
      <c r="I2841" s="9">
        <v>2</v>
      </c>
    </row>
    <row r="2842" spans="1:9">
      <c r="A2842" s="257" t="s">
        <v>3940</v>
      </c>
      <c r="B2842" s="9">
        <v>9</v>
      </c>
      <c r="C2842" s="257" t="s">
        <v>11115</v>
      </c>
      <c r="D2842" s="9">
        <v>1529271.85546875</v>
      </c>
      <c r="E2842" s="9">
        <v>1721642.4785900116</v>
      </c>
      <c r="F2842" s="257" t="s">
        <v>15224</v>
      </c>
      <c r="G2842" s="9"/>
      <c r="H2842" s="257" t="s">
        <v>20954</v>
      </c>
      <c r="I2842" s="9">
        <v>2</v>
      </c>
    </row>
    <row r="2843" spans="1:9">
      <c r="A2843" s="257" t="s">
        <v>3941</v>
      </c>
      <c r="B2843" s="9">
        <v>9</v>
      </c>
      <c r="C2843" s="257" t="s">
        <v>11116</v>
      </c>
      <c r="D2843" s="9">
        <v>15241987734.111622</v>
      </c>
      <c r="E2843" s="9">
        <v>1721642.4785900116</v>
      </c>
      <c r="F2843" s="257" t="s">
        <v>15224</v>
      </c>
      <c r="G2843" s="9"/>
      <c r="H2843" s="257" t="s">
        <v>20955</v>
      </c>
      <c r="I2843" s="9">
        <v>2</v>
      </c>
    </row>
    <row r="2844" spans="1:9">
      <c r="A2844" s="257" t="s">
        <v>3942</v>
      </c>
      <c r="B2844" s="9">
        <v>9</v>
      </c>
      <c r="C2844" s="257" t="s">
        <v>11117</v>
      </c>
      <c r="D2844" s="9">
        <v>0.88826331511127155</v>
      </c>
      <c r="E2844" s="9">
        <v>1721642.4785900116</v>
      </c>
      <c r="F2844" s="257" t="s">
        <v>15224</v>
      </c>
      <c r="G2844" s="9"/>
      <c r="H2844" s="257" t="s">
        <v>20956</v>
      </c>
      <c r="I2844" s="9">
        <v>2</v>
      </c>
    </row>
    <row r="2845" spans="1:9">
      <c r="A2845" s="257" t="s">
        <v>3943</v>
      </c>
      <c r="B2845" s="9">
        <v>9</v>
      </c>
      <c r="C2845" s="257" t="s">
        <v>11118</v>
      </c>
      <c r="D2845" s="9">
        <v>8853.1666264383093</v>
      </c>
      <c r="E2845" s="9">
        <v>1721642.4785900116</v>
      </c>
      <c r="F2845" s="257" t="s">
        <v>15224</v>
      </c>
      <c r="G2845" s="9"/>
      <c r="H2845" s="257" t="s">
        <v>20957</v>
      </c>
      <c r="I2845" s="9">
        <v>2</v>
      </c>
    </row>
    <row r="2846" spans="1:9">
      <c r="A2846" s="257" t="s">
        <v>3944</v>
      </c>
      <c r="B2846" s="9">
        <v>9</v>
      </c>
      <c r="C2846" s="257" t="s">
        <v>11119</v>
      </c>
      <c r="D2846" s="9">
        <v>1530077.2736816406</v>
      </c>
      <c r="E2846" s="9">
        <v>1721642.4785900116</v>
      </c>
      <c r="F2846" s="257" t="s">
        <v>15225</v>
      </c>
      <c r="G2846" s="9"/>
      <c r="H2846" s="257" t="s">
        <v>20958</v>
      </c>
      <c r="I2846" s="9">
        <v>2</v>
      </c>
    </row>
    <row r="2847" spans="1:9">
      <c r="A2847" s="257" t="s">
        <v>3945</v>
      </c>
      <c r="B2847" s="9">
        <v>9</v>
      </c>
      <c r="C2847" s="257" t="s">
        <v>11120</v>
      </c>
      <c r="D2847" s="9">
        <v>16019326430.788092</v>
      </c>
      <c r="E2847" s="9">
        <v>1721642.4785900116</v>
      </c>
      <c r="F2847" s="257" t="s">
        <v>15225</v>
      </c>
      <c r="G2847" s="9"/>
      <c r="H2847" s="257" t="s">
        <v>20959</v>
      </c>
      <c r="I2847" s="9">
        <v>2</v>
      </c>
    </row>
    <row r="2848" spans="1:9">
      <c r="A2848" s="257" t="s">
        <v>3946</v>
      </c>
      <c r="B2848" s="9">
        <v>9</v>
      </c>
      <c r="C2848" s="257" t="s">
        <v>11121</v>
      </c>
      <c r="D2848" s="9">
        <v>0.88873113477935395</v>
      </c>
      <c r="E2848" s="9">
        <v>1721642.4785900116</v>
      </c>
      <c r="F2848" s="257" t="s">
        <v>15225</v>
      </c>
      <c r="G2848" s="9"/>
      <c r="H2848" s="257" t="s">
        <v>20960</v>
      </c>
      <c r="I2848" s="9">
        <v>2</v>
      </c>
    </row>
    <row r="2849" spans="1:9">
      <c r="A2849" s="257" t="s">
        <v>3947</v>
      </c>
      <c r="B2849" s="9">
        <v>9</v>
      </c>
      <c r="C2849" s="257" t="s">
        <v>11122</v>
      </c>
      <c r="D2849" s="9">
        <v>9304.676569032832</v>
      </c>
      <c r="E2849" s="9">
        <v>1721642.4785900116</v>
      </c>
      <c r="F2849" s="257" t="s">
        <v>15225</v>
      </c>
      <c r="G2849" s="9"/>
      <c r="H2849" s="257" t="s">
        <v>20961</v>
      </c>
      <c r="I2849" s="9">
        <v>2</v>
      </c>
    </row>
    <row r="2850" spans="1:9">
      <c r="A2850" s="257" t="s">
        <v>3948</v>
      </c>
      <c r="B2850" s="9">
        <v>9</v>
      </c>
      <c r="C2850" s="257" t="s">
        <v>11123</v>
      </c>
      <c r="D2850" s="9">
        <v>1721642.4785900116</v>
      </c>
      <c r="E2850" s="9">
        <v>1721642.4785900116</v>
      </c>
      <c r="F2850" s="257" t="s">
        <v>15226</v>
      </c>
      <c r="G2850" s="9"/>
      <c r="H2850" s="257" t="s">
        <v>20962</v>
      </c>
      <c r="I2850" s="9">
        <v>2</v>
      </c>
    </row>
    <row r="2851" spans="1:9">
      <c r="A2851" s="257" t="s">
        <v>3949</v>
      </c>
      <c r="B2851" s="9">
        <v>9</v>
      </c>
      <c r="C2851" s="257" t="s">
        <v>11124</v>
      </c>
      <c r="D2851" s="9">
        <v>7684379751.3155184</v>
      </c>
      <c r="E2851" s="9">
        <v>1721642.4785900116</v>
      </c>
      <c r="F2851" s="257" t="s">
        <v>15226</v>
      </c>
      <c r="G2851" s="9"/>
      <c r="H2851" s="257" t="s">
        <v>20963</v>
      </c>
      <c r="I2851" s="9">
        <v>2</v>
      </c>
    </row>
    <row r="2852" spans="1:9">
      <c r="A2852" s="257" t="s">
        <v>3950</v>
      </c>
      <c r="B2852" s="9">
        <v>9</v>
      </c>
      <c r="C2852" s="257" t="s">
        <v>11125</v>
      </c>
      <c r="D2852" s="9">
        <v>1</v>
      </c>
      <c r="E2852" s="9">
        <v>1721642.4785900116</v>
      </c>
      <c r="F2852" s="257" t="s">
        <v>15226</v>
      </c>
      <c r="G2852" s="9"/>
      <c r="H2852" s="257" t="s">
        <v>20964</v>
      </c>
      <c r="I2852" s="9">
        <v>2</v>
      </c>
    </row>
    <row r="2853" spans="1:9">
      <c r="A2853" s="257" t="s">
        <v>3951</v>
      </c>
      <c r="B2853" s="9">
        <v>9</v>
      </c>
      <c r="C2853" s="257" t="s">
        <v>11126</v>
      </c>
      <c r="D2853" s="9">
        <v>4463.4004137774655</v>
      </c>
      <c r="E2853" s="9">
        <v>1721642.4785900116</v>
      </c>
      <c r="F2853" s="257" t="s">
        <v>15226</v>
      </c>
      <c r="G2853" s="9"/>
      <c r="H2853" s="257" t="s">
        <v>20965</v>
      </c>
      <c r="I2853" s="9">
        <v>2</v>
      </c>
    </row>
    <row r="2854" spans="1:9">
      <c r="A2854" s="257" t="s">
        <v>3952</v>
      </c>
      <c r="B2854" s="9">
        <v>9</v>
      </c>
      <c r="C2854" s="257" t="s">
        <v>11127</v>
      </c>
      <c r="D2854" s="9">
        <v>1721642.4785900116</v>
      </c>
      <c r="E2854" s="9">
        <v>1721642.4785900116</v>
      </c>
      <c r="F2854" s="257" t="s">
        <v>15227</v>
      </c>
      <c r="G2854" s="9"/>
      <c r="H2854" s="257" t="s">
        <v>20966</v>
      </c>
      <c r="I2854" s="9">
        <v>2</v>
      </c>
    </row>
    <row r="2855" spans="1:9">
      <c r="A2855" s="257" t="s">
        <v>3953</v>
      </c>
      <c r="B2855" s="9">
        <v>9</v>
      </c>
      <c r="C2855" s="257" t="s">
        <v>11128</v>
      </c>
      <c r="D2855" s="9">
        <v>13946159932.805191</v>
      </c>
      <c r="E2855" s="9">
        <v>1721642.4785900116</v>
      </c>
      <c r="F2855" s="257" t="s">
        <v>15227</v>
      </c>
      <c r="G2855" s="9"/>
      <c r="H2855" s="257" t="s">
        <v>20967</v>
      </c>
      <c r="I2855" s="9">
        <v>2</v>
      </c>
    </row>
    <row r="2856" spans="1:9">
      <c r="A2856" s="257" t="s">
        <v>3954</v>
      </c>
      <c r="B2856" s="9">
        <v>9</v>
      </c>
      <c r="C2856" s="257" t="s">
        <v>11129</v>
      </c>
      <c r="D2856" s="9">
        <v>1</v>
      </c>
      <c r="E2856" s="9">
        <v>1721642.4785900116</v>
      </c>
      <c r="F2856" s="257" t="s">
        <v>15227</v>
      </c>
      <c r="G2856" s="9"/>
      <c r="H2856" s="257" t="s">
        <v>20968</v>
      </c>
      <c r="I2856" s="9">
        <v>2</v>
      </c>
    </row>
    <row r="2857" spans="1:9">
      <c r="A2857" s="257" t="s">
        <v>3955</v>
      </c>
      <c r="B2857" s="9">
        <v>9</v>
      </c>
      <c r="C2857" s="257" t="s">
        <v>11130</v>
      </c>
      <c r="D2857" s="9">
        <v>8100.497116118323</v>
      </c>
      <c r="E2857" s="9">
        <v>1721642.4785900116</v>
      </c>
      <c r="F2857" s="257" t="s">
        <v>15227</v>
      </c>
      <c r="G2857" s="9"/>
      <c r="H2857" s="257" t="s">
        <v>20969</v>
      </c>
      <c r="I2857" s="9">
        <v>2</v>
      </c>
    </row>
    <row r="2858" spans="1:9">
      <c r="A2858" s="257" t="s">
        <v>3956</v>
      </c>
      <c r="B2858" s="9">
        <v>9</v>
      </c>
      <c r="C2858" s="257" t="s">
        <v>11131</v>
      </c>
      <c r="D2858" s="9">
        <v>1545424.5445251465</v>
      </c>
      <c r="E2858" s="9">
        <v>1721642.4785900116</v>
      </c>
      <c r="F2858" s="257" t="s">
        <v>15228</v>
      </c>
      <c r="G2858" s="9"/>
      <c r="H2858" s="257" t="s">
        <v>20970</v>
      </c>
      <c r="I2858" s="9">
        <v>2</v>
      </c>
    </row>
    <row r="2859" spans="1:9">
      <c r="A2859" s="257" t="s">
        <v>3957</v>
      </c>
      <c r="B2859" s="9">
        <v>9</v>
      </c>
      <c r="C2859" s="257" t="s">
        <v>11132</v>
      </c>
      <c r="D2859" s="9">
        <v>18681268185.874756</v>
      </c>
      <c r="E2859" s="9">
        <v>1721642.4785900116</v>
      </c>
      <c r="F2859" s="257" t="s">
        <v>15228</v>
      </c>
      <c r="G2859" s="9"/>
      <c r="H2859" s="257" t="s">
        <v>20971</v>
      </c>
      <c r="I2859" s="9">
        <v>2</v>
      </c>
    </row>
    <row r="2860" spans="1:9">
      <c r="A2860" s="257" t="s">
        <v>3958</v>
      </c>
      <c r="B2860" s="9">
        <v>9</v>
      </c>
      <c r="C2860" s="257" t="s">
        <v>11133</v>
      </c>
      <c r="D2860" s="9">
        <v>0.89764545411938035</v>
      </c>
      <c r="E2860" s="9">
        <v>1721642.4785900116</v>
      </c>
      <c r="F2860" s="257" t="s">
        <v>15228</v>
      </c>
      <c r="G2860" s="9"/>
      <c r="H2860" s="257" t="s">
        <v>20972</v>
      </c>
      <c r="I2860" s="9">
        <v>2</v>
      </c>
    </row>
    <row r="2861" spans="1:9">
      <c r="A2861" s="257" t="s">
        <v>3959</v>
      </c>
      <c r="B2861" s="9">
        <v>9</v>
      </c>
      <c r="C2861" s="257" t="s">
        <v>11134</v>
      </c>
      <c r="D2861" s="9">
        <v>10850.840646760944</v>
      </c>
      <c r="E2861" s="9">
        <v>1721642.4785900116</v>
      </c>
      <c r="F2861" s="257" t="s">
        <v>15228</v>
      </c>
      <c r="G2861" s="9"/>
      <c r="H2861" s="257" t="s">
        <v>20973</v>
      </c>
      <c r="I2861" s="9">
        <v>2</v>
      </c>
    </row>
    <row r="2862" spans="1:9">
      <c r="A2862" s="257" t="s">
        <v>3960</v>
      </c>
      <c r="B2862" s="9">
        <v>9</v>
      </c>
      <c r="C2862" s="257" t="s">
        <v>11135</v>
      </c>
      <c r="D2862" s="9">
        <v>0</v>
      </c>
      <c r="E2862" s="9">
        <v>1721642.4785900116</v>
      </c>
      <c r="F2862" s="257" t="s">
        <v>15229</v>
      </c>
      <c r="G2862" s="9"/>
      <c r="H2862" s="257" t="s">
        <v>20974</v>
      </c>
      <c r="I2862" s="9">
        <v>2</v>
      </c>
    </row>
    <row r="2863" spans="1:9">
      <c r="A2863" s="257" t="s">
        <v>3961</v>
      </c>
      <c r="B2863" s="9">
        <v>9</v>
      </c>
      <c r="C2863" s="257" t="s">
        <v>11136</v>
      </c>
      <c r="D2863" s="9">
        <v>-1624584101.0127769</v>
      </c>
      <c r="E2863" s="9">
        <v>1721642.4785900116</v>
      </c>
      <c r="F2863" s="257" t="s">
        <v>15229</v>
      </c>
      <c r="G2863" s="9"/>
      <c r="H2863" s="257" t="s">
        <v>20975</v>
      </c>
      <c r="I2863" s="9">
        <v>2</v>
      </c>
    </row>
    <row r="2864" spans="1:9">
      <c r="A2864" s="257" t="s">
        <v>3962</v>
      </c>
      <c r="B2864" s="9">
        <v>9</v>
      </c>
      <c r="C2864" s="257" t="s">
        <v>11137</v>
      </c>
      <c r="D2864" s="9">
        <v>0</v>
      </c>
      <c r="E2864" s="9">
        <v>1721642.4785900116</v>
      </c>
      <c r="F2864" s="257" t="s">
        <v>15229</v>
      </c>
      <c r="G2864" s="9"/>
      <c r="H2864" s="257" t="s">
        <v>20976</v>
      </c>
      <c r="I2864" s="9">
        <v>2</v>
      </c>
    </row>
    <row r="2865" spans="1:9">
      <c r="A2865" s="257" t="s">
        <v>3963</v>
      </c>
      <c r="B2865" s="9">
        <v>9</v>
      </c>
      <c r="C2865" s="257" t="s">
        <v>11138</v>
      </c>
      <c r="D2865" s="9">
        <v>-943.62454529077172</v>
      </c>
      <c r="E2865" s="9">
        <v>1721642.4785900116</v>
      </c>
      <c r="F2865" s="257" t="s">
        <v>15229</v>
      </c>
      <c r="G2865" s="9"/>
      <c r="H2865" s="257" t="s">
        <v>20977</v>
      </c>
      <c r="I2865" s="9">
        <v>2</v>
      </c>
    </row>
    <row r="2866" spans="1:9">
      <c r="A2866" s="257" t="s">
        <v>3964</v>
      </c>
      <c r="B2866" s="9">
        <v>9</v>
      </c>
      <c r="C2866" s="257" t="s">
        <v>11139</v>
      </c>
      <c r="D2866" s="9">
        <v>1532204.875</v>
      </c>
      <c r="E2866" s="9">
        <v>1721642.4785900116</v>
      </c>
      <c r="F2866" s="257" t="s">
        <v>15230</v>
      </c>
      <c r="G2866" s="9"/>
      <c r="H2866" s="257" t="s">
        <v>20978</v>
      </c>
      <c r="I2866" s="9">
        <v>2</v>
      </c>
    </row>
    <row r="2867" spans="1:9">
      <c r="A2867" s="257" t="s">
        <v>3965</v>
      </c>
      <c r="B2867" s="9">
        <v>9</v>
      </c>
      <c r="C2867" s="257" t="s">
        <v>11140</v>
      </c>
      <c r="D2867" s="9">
        <v>17056684084.86198</v>
      </c>
      <c r="E2867" s="9">
        <v>1721642.4785900116</v>
      </c>
      <c r="F2867" s="257" t="s">
        <v>15230</v>
      </c>
      <c r="G2867" s="9"/>
      <c r="H2867" s="257" t="s">
        <v>20979</v>
      </c>
      <c r="I2867" s="9">
        <v>2</v>
      </c>
    </row>
    <row r="2868" spans="1:9">
      <c r="A2868" s="257" t="s">
        <v>3966</v>
      </c>
      <c r="B2868" s="9">
        <v>9</v>
      </c>
      <c r="C2868" s="257" t="s">
        <v>11141</v>
      </c>
      <c r="D2868" s="9">
        <v>0.88996693219073164</v>
      </c>
      <c r="E2868" s="9">
        <v>1721642.4785900116</v>
      </c>
      <c r="F2868" s="257" t="s">
        <v>15230</v>
      </c>
      <c r="G2868" s="9"/>
      <c r="H2868" s="257" t="s">
        <v>20980</v>
      </c>
      <c r="I2868" s="9">
        <v>2</v>
      </c>
    </row>
    <row r="2869" spans="1:9">
      <c r="A2869" s="257" t="s">
        <v>3967</v>
      </c>
      <c r="B2869" s="9">
        <v>9</v>
      </c>
      <c r="C2869" s="257" t="s">
        <v>11142</v>
      </c>
      <c r="D2869" s="9">
        <v>9907.2161014701724</v>
      </c>
      <c r="E2869" s="9">
        <v>1721642.4785900116</v>
      </c>
      <c r="F2869" s="257" t="s">
        <v>15230</v>
      </c>
      <c r="G2869" s="9"/>
      <c r="H2869" s="257" t="s">
        <v>20981</v>
      </c>
      <c r="I2869" s="9">
        <v>2</v>
      </c>
    </row>
    <row r="2870" spans="1:9">
      <c r="A2870" s="257" t="s">
        <v>3968</v>
      </c>
      <c r="B2870" s="9">
        <v>9</v>
      </c>
      <c r="C2870" s="257" t="s">
        <v>11143</v>
      </c>
      <c r="D2870" s="9">
        <v>526238.63017272949</v>
      </c>
      <c r="E2870" s="9">
        <v>1721642.4785900116</v>
      </c>
      <c r="F2870" s="257" t="s">
        <v>15231</v>
      </c>
      <c r="G2870" s="9"/>
      <c r="H2870" s="257" t="s">
        <v>20982</v>
      </c>
      <c r="I2870" s="9">
        <v>2</v>
      </c>
    </row>
    <row r="2871" spans="1:9">
      <c r="A2871" s="257" t="s">
        <v>3969</v>
      </c>
      <c r="B2871" s="9">
        <v>9</v>
      </c>
      <c r="C2871" s="257" t="s">
        <v>11144</v>
      </c>
      <c r="D2871" s="9">
        <v>1037357654.0738885</v>
      </c>
      <c r="E2871" s="9">
        <v>1721642.4785900116</v>
      </c>
      <c r="F2871" s="257" t="s">
        <v>15231</v>
      </c>
      <c r="G2871" s="9"/>
      <c r="H2871" s="257" t="s">
        <v>20983</v>
      </c>
      <c r="I2871" s="9">
        <v>2</v>
      </c>
    </row>
    <row r="2872" spans="1:9">
      <c r="A2872" s="257" t="s">
        <v>3970</v>
      </c>
      <c r="B2872" s="9">
        <v>9</v>
      </c>
      <c r="C2872" s="257" t="s">
        <v>11145</v>
      </c>
      <c r="D2872" s="9">
        <v>0.30566080746550101</v>
      </c>
      <c r="E2872" s="9">
        <v>1721642.4785900116</v>
      </c>
      <c r="F2872" s="257" t="s">
        <v>15231</v>
      </c>
      <c r="G2872" s="9"/>
      <c r="H2872" s="257" t="s">
        <v>20984</v>
      </c>
      <c r="I2872" s="9">
        <v>2</v>
      </c>
    </row>
    <row r="2873" spans="1:9">
      <c r="A2873" s="257" t="s">
        <v>3971</v>
      </c>
      <c r="B2873" s="9">
        <v>9</v>
      </c>
      <c r="C2873" s="257" t="s">
        <v>11146</v>
      </c>
      <c r="D2873" s="9">
        <v>602.53953243733986</v>
      </c>
      <c r="E2873" s="9">
        <v>1721642.4785900116</v>
      </c>
      <c r="F2873" s="257" t="s">
        <v>15231</v>
      </c>
      <c r="G2873" s="9"/>
      <c r="H2873" s="257" t="s">
        <v>20985</v>
      </c>
      <c r="I2873" s="9">
        <v>2</v>
      </c>
    </row>
    <row r="2874" spans="1:9">
      <c r="A2874" s="257" t="s">
        <v>3972</v>
      </c>
      <c r="B2874" s="9">
        <v>9</v>
      </c>
      <c r="C2874" s="257" t="s">
        <v>11147</v>
      </c>
      <c r="D2874" s="9">
        <v>1539397.4216518402</v>
      </c>
      <c r="E2874" s="9">
        <v>1721642.4785900116</v>
      </c>
      <c r="F2874" s="257" t="s">
        <v>15232</v>
      </c>
      <c r="G2874" s="9"/>
      <c r="H2874" s="257" t="s">
        <v>20986</v>
      </c>
      <c r="I2874" s="9">
        <v>2</v>
      </c>
    </row>
    <row r="2875" spans="1:9">
      <c r="A2875" s="257" t="s">
        <v>3973</v>
      </c>
      <c r="B2875" s="9">
        <v>9</v>
      </c>
      <c r="C2875" s="257" t="s">
        <v>11148</v>
      </c>
      <c r="D2875" s="9">
        <v>6261780181.4896736</v>
      </c>
      <c r="E2875" s="9">
        <v>1721642.4785900116</v>
      </c>
      <c r="F2875" s="257" t="s">
        <v>15232</v>
      </c>
      <c r="G2875" s="9"/>
      <c r="H2875" s="257" t="s">
        <v>20987</v>
      </c>
      <c r="I2875" s="9">
        <v>2</v>
      </c>
    </row>
    <row r="2876" spans="1:9">
      <c r="A2876" s="257" t="s">
        <v>3974</v>
      </c>
      <c r="B2876" s="9">
        <v>9</v>
      </c>
      <c r="C2876" s="257" t="s">
        <v>11149</v>
      </c>
      <c r="D2876" s="9">
        <v>0.89414465592912984</v>
      </c>
      <c r="E2876" s="9">
        <v>1721642.4785900116</v>
      </c>
      <c r="F2876" s="257" t="s">
        <v>15232</v>
      </c>
      <c r="G2876" s="9"/>
      <c r="H2876" s="257" t="s">
        <v>20988</v>
      </c>
      <c r="I2876" s="9">
        <v>2</v>
      </c>
    </row>
    <row r="2877" spans="1:9">
      <c r="A2877" s="257" t="s">
        <v>3975</v>
      </c>
      <c r="B2877" s="9">
        <v>9</v>
      </c>
      <c r="C2877" s="257" t="s">
        <v>11150</v>
      </c>
      <c r="D2877" s="9">
        <v>3637.0967023408589</v>
      </c>
      <c r="E2877" s="9">
        <v>1721642.4785900116</v>
      </c>
      <c r="F2877" s="257" t="s">
        <v>15232</v>
      </c>
      <c r="G2877" s="9"/>
      <c r="H2877" s="257" t="s">
        <v>20989</v>
      </c>
      <c r="I2877" s="9">
        <v>2</v>
      </c>
    </row>
    <row r="2878" spans="1:9">
      <c r="A2878" s="257" t="s">
        <v>3976</v>
      </c>
      <c r="B2878" s="9">
        <v>9</v>
      </c>
      <c r="C2878" s="257" t="s">
        <v>11151</v>
      </c>
      <c r="D2878" s="9">
        <v>0</v>
      </c>
      <c r="E2878" s="9">
        <v>1721642.4785900116</v>
      </c>
      <c r="F2878" s="257" t="s">
        <v>15233</v>
      </c>
      <c r="G2878" s="9"/>
      <c r="H2878" s="257" t="s">
        <v>20990</v>
      </c>
      <c r="I2878" s="9">
        <v>2</v>
      </c>
    </row>
    <row r="2879" spans="1:9">
      <c r="A2879" s="257" t="s">
        <v>3977</v>
      </c>
      <c r="B2879" s="9">
        <v>9</v>
      </c>
      <c r="C2879" s="257" t="s">
        <v>11152</v>
      </c>
      <c r="D2879" s="9">
        <v>0</v>
      </c>
      <c r="E2879" s="9">
        <v>1721642.4785900116</v>
      </c>
      <c r="F2879" s="257" t="s">
        <v>15233</v>
      </c>
      <c r="G2879" s="9"/>
      <c r="H2879" s="257" t="s">
        <v>20991</v>
      </c>
      <c r="I2879" s="9">
        <v>2</v>
      </c>
    </row>
    <row r="2880" spans="1:9">
      <c r="A2880" s="257" t="s">
        <v>3978</v>
      </c>
      <c r="B2880" s="9">
        <v>9</v>
      </c>
      <c r="C2880" s="257" t="s">
        <v>11153</v>
      </c>
      <c r="D2880" s="9">
        <v>0</v>
      </c>
      <c r="E2880" s="9">
        <v>1721642.4785900116</v>
      </c>
      <c r="F2880" s="257" t="s">
        <v>15233</v>
      </c>
      <c r="G2880" s="9"/>
      <c r="H2880" s="257" t="s">
        <v>20992</v>
      </c>
      <c r="I2880" s="9">
        <v>2</v>
      </c>
    </row>
    <row r="2881" spans="1:9">
      <c r="A2881" s="257" t="s">
        <v>3979</v>
      </c>
      <c r="B2881" s="9">
        <v>9</v>
      </c>
      <c r="C2881" s="257" t="s">
        <v>11154</v>
      </c>
      <c r="D2881" s="9">
        <v>0</v>
      </c>
      <c r="E2881" s="9">
        <v>1721642.4785900116</v>
      </c>
      <c r="F2881" s="257" t="s">
        <v>15233</v>
      </c>
      <c r="G2881" s="9"/>
      <c r="H2881" s="257" t="s">
        <v>20993</v>
      </c>
      <c r="I2881" s="9">
        <v>2</v>
      </c>
    </row>
    <row r="2882" spans="1:9">
      <c r="A2882" s="257" t="s">
        <v>3980</v>
      </c>
      <c r="B2882" s="9">
        <v>10</v>
      </c>
      <c r="C2882" s="257" t="s">
        <v>11155</v>
      </c>
      <c r="D2882" s="9">
        <v>1585486.8079090118</v>
      </c>
      <c r="E2882" s="9">
        <v>1732307.5169143677</v>
      </c>
      <c r="F2882" s="257" t="s">
        <v>15234</v>
      </c>
      <c r="G2882" s="9"/>
      <c r="H2882" s="257" t="s">
        <v>20994</v>
      </c>
      <c r="I2882" s="9">
        <v>2</v>
      </c>
    </row>
    <row r="2883" spans="1:9">
      <c r="A2883" s="257" t="s">
        <v>3981</v>
      </c>
      <c r="B2883" s="9">
        <v>10</v>
      </c>
      <c r="C2883" s="257" t="s">
        <v>11156</v>
      </c>
      <c r="D2883" s="9">
        <v>24274121047.014233</v>
      </c>
      <c r="E2883" s="9">
        <v>1732307.5169143677</v>
      </c>
      <c r="F2883" s="257" t="s">
        <v>15234</v>
      </c>
      <c r="G2883" s="9"/>
      <c r="H2883" s="257" t="s">
        <v>20995</v>
      </c>
      <c r="I2883" s="9">
        <v>2</v>
      </c>
    </row>
    <row r="2884" spans="1:9">
      <c r="A2884" s="257" t="s">
        <v>3982</v>
      </c>
      <c r="B2884" s="9">
        <v>10</v>
      </c>
      <c r="C2884" s="257" t="s">
        <v>11157</v>
      </c>
      <c r="D2884" s="9">
        <v>0.91524558568742065</v>
      </c>
      <c r="E2884" s="9">
        <v>1732307.5169143677</v>
      </c>
      <c r="F2884" s="257" t="s">
        <v>15234</v>
      </c>
      <c r="G2884" s="9"/>
      <c r="H2884" s="257" t="s">
        <v>20996</v>
      </c>
      <c r="I2884" s="9">
        <v>2</v>
      </c>
    </row>
    <row r="2885" spans="1:9">
      <c r="A2885" s="257" t="s">
        <v>3983</v>
      </c>
      <c r="B2885" s="9">
        <v>10</v>
      </c>
      <c r="C2885" s="257" t="s">
        <v>11158</v>
      </c>
      <c r="D2885" s="9">
        <v>14012.593497401631</v>
      </c>
      <c r="E2885" s="9">
        <v>1732307.5169143677</v>
      </c>
      <c r="F2885" s="257" t="s">
        <v>15234</v>
      </c>
      <c r="G2885" s="9"/>
      <c r="H2885" s="257" t="s">
        <v>20997</v>
      </c>
      <c r="I2885" s="9">
        <v>2</v>
      </c>
    </row>
    <row r="2886" spans="1:9">
      <c r="A2886" s="257" t="s">
        <v>3984</v>
      </c>
      <c r="B2886" s="9">
        <v>10</v>
      </c>
      <c r="C2886" s="257" t="s">
        <v>11159</v>
      </c>
      <c r="D2886" s="9">
        <v>0</v>
      </c>
      <c r="E2886" s="9">
        <v>1732307.5169143677</v>
      </c>
      <c r="F2886" s="257" t="s">
        <v>15235</v>
      </c>
      <c r="G2886" s="9"/>
      <c r="H2886" s="257" t="s">
        <v>20998</v>
      </c>
      <c r="I2886" s="9">
        <v>2</v>
      </c>
    </row>
    <row r="2887" spans="1:9">
      <c r="A2887" s="257" t="s">
        <v>3985</v>
      </c>
      <c r="B2887" s="9">
        <v>10</v>
      </c>
      <c r="C2887" s="257" t="s">
        <v>11160</v>
      </c>
      <c r="D2887" s="9">
        <v>0</v>
      </c>
      <c r="E2887" s="9">
        <v>1732307.5169143677</v>
      </c>
      <c r="F2887" s="257" t="s">
        <v>15235</v>
      </c>
      <c r="G2887" s="9"/>
      <c r="H2887" s="257" t="s">
        <v>20999</v>
      </c>
      <c r="I2887" s="9">
        <v>2</v>
      </c>
    </row>
    <row r="2888" spans="1:9">
      <c r="A2888" s="257" t="s">
        <v>3986</v>
      </c>
      <c r="B2888" s="9">
        <v>10</v>
      </c>
      <c r="C2888" s="257" t="s">
        <v>11161</v>
      </c>
      <c r="D2888" s="9">
        <v>0</v>
      </c>
      <c r="E2888" s="9">
        <v>1732307.5169143677</v>
      </c>
      <c r="F2888" s="257" t="s">
        <v>15235</v>
      </c>
      <c r="G2888" s="9"/>
      <c r="H2888" s="257" t="s">
        <v>21000</v>
      </c>
      <c r="I2888" s="9">
        <v>2</v>
      </c>
    </row>
    <row r="2889" spans="1:9">
      <c r="A2889" s="257" t="s">
        <v>3987</v>
      </c>
      <c r="B2889" s="9">
        <v>10</v>
      </c>
      <c r="C2889" s="257" t="s">
        <v>11162</v>
      </c>
      <c r="D2889" s="9">
        <v>0</v>
      </c>
      <c r="E2889" s="9">
        <v>1732307.5169143677</v>
      </c>
      <c r="F2889" s="257" t="s">
        <v>15235</v>
      </c>
      <c r="G2889" s="9"/>
      <c r="H2889" s="257" t="s">
        <v>21001</v>
      </c>
      <c r="I2889" s="9">
        <v>2</v>
      </c>
    </row>
    <row r="2890" spans="1:9">
      <c r="A2890" s="257" t="s">
        <v>3988</v>
      </c>
      <c r="B2890" s="9">
        <v>10</v>
      </c>
      <c r="C2890" s="257" t="s">
        <v>11163</v>
      </c>
      <c r="D2890" s="9">
        <v>1597492.4035892487</v>
      </c>
      <c r="E2890" s="9">
        <v>1732307.5169143677</v>
      </c>
      <c r="F2890" s="257" t="s">
        <v>15236</v>
      </c>
      <c r="G2890" s="9"/>
      <c r="H2890" s="257" t="s">
        <v>21002</v>
      </c>
      <c r="I2890" s="9">
        <v>2</v>
      </c>
    </row>
    <row r="2891" spans="1:9">
      <c r="A2891" s="257" t="s">
        <v>3989</v>
      </c>
      <c r="B2891" s="9">
        <v>10</v>
      </c>
      <c r="C2891" s="257" t="s">
        <v>11164</v>
      </c>
      <c r="D2891" s="9">
        <v>1298413407.8624628</v>
      </c>
      <c r="E2891" s="9">
        <v>1732307.5169143677</v>
      </c>
      <c r="F2891" s="257" t="s">
        <v>15236</v>
      </c>
      <c r="G2891" s="9"/>
      <c r="H2891" s="257" t="s">
        <v>21003</v>
      </c>
      <c r="I2891" s="9">
        <v>2</v>
      </c>
    </row>
    <row r="2892" spans="1:9">
      <c r="A2892" s="257" t="s">
        <v>3990</v>
      </c>
      <c r="B2892" s="9">
        <v>10</v>
      </c>
      <c r="C2892" s="257" t="s">
        <v>11165</v>
      </c>
      <c r="D2892" s="9">
        <v>0.92217599242122128</v>
      </c>
      <c r="E2892" s="9">
        <v>1732307.5169143677</v>
      </c>
      <c r="F2892" s="257" t="s">
        <v>15236</v>
      </c>
      <c r="G2892" s="9"/>
      <c r="H2892" s="257" t="s">
        <v>21004</v>
      </c>
      <c r="I2892" s="9">
        <v>2</v>
      </c>
    </row>
    <row r="2893" spans="1:9">
      <c r="A2893" s="257" t="s">
        <v>3991</v>
      </c>
      <c r="B2893" s="9">
        <v>10</v>
      </c>
      <c r="C2893" s="257" t="s">
        <v>11166</v>
      </c>
      <c r="D2893" s="9">
        <v>749.52824206133528</v>
      </c>
      <c r="E2893" s="9">
        <v>1732307.5169143677</v>
      </c>
      <c r="F2893" s="257" t="s">
        <v>15236</v>
      </c>
      <c r="G2893" s="9"/>
      <c r="H2893" s="257" t="s">
        <v>21005</v>
      </c>
      <c r="I2893" s="9">
        <v>2</v>
      </c>
    </row>
    <row r="2894" spans="1:9">
      <c r="A2894" s="257" t="s">
        <v>3992</v>
      </c>
      <c r="B2894" s="9">
        <v>10</v>
      </c>
      <c r="C2894" s="257" t="s">
        <v>11167</v>
      </c>
      <c r="D2894" s="9">
        <v>0</v>
      </c>
      <c r="E2894" s="9">
        <v>1732307.5169143677</v>
      </c>
      <c r="F2894" s="257" t="s">
        <v>15237</v>
      </c>
      <c r="G2894" s="9"/>
      <c r="H2894" s="257" t="s">
        <v>21006</v>
      </c>
      <c r="I2894" s="9">
        <v>2</v>
      </c>
    </row>
    <row r="2895" spans="1:9">
      <c r="A2895" s="257" t="s">
        <v>3993</v>
      </c>
      <c r="B2895" s="9">
        <v>10</v>
      </c>
      <c r="C2895" s="257" t="s">
        <v>11168</v>
      </c>
      <c r="D2895" s="9">
        <v>0</v>
      </c>
      <c r="E2895" s="9">
        <v>1732307.5169143677</v>
      </c>
      <c r="F2895" s="257" t="s">
        <v>15237</v>
      </c>
      <c r="G2895" s="9"/>
      <c r="H2895" s="257" t="s">
        <v>21007</v>
      </c>
      <c r="I2895" s="9">
        <v>2</v>
      </c>
    </row>
    <row r="2896" spans="1:9">
      <c r="A2896" s="257" t="s">
        <v>3994</v>
      </c>
      <c r="B2896" s="9">
        <v>10</v>
      </c>
      <c r="C2896" s="257" t="s">
        <v>11169</v>
      </c>
      <c r="D2896" s="9">
        <v>0</v>
      </c>
      <c r="E2896" s="9">
        <v>1732307.5169143677</v>
      </c>
      <c r="F2896" s="257" t="s">
        <v>15237</v>
      </c>
      <c r="G2896" s="9"/>
      <c r="H2896" s="257" t="s">
        <v>21008</v>
      </c>
      <c r="I2896" s="9">
        <v>2</v>
      </c>
    </row>
    <row r="2897" spans="1:9">
      <c r="A2897" s="257" t="s">
        <v>3995</v>
      </c>
      <c r="B2897" s="9">
        <v>10</v>
      </c>
      <c r="C2897" s="257" t="s">
        <v>11170</v>
      </c>
      <c r="D2897" s="9">
        <v>0</v>
      </c>
      <c r="E2897" s="9">
        <v>1732307.5169143677</v>
      </c>
      <c r="F2897" s="257" t="s">
        <v>15237</v>
      </c>
      <c r="G2897" s="9"/>
      <c r="H2897" s="257" t="s">
        <v>21009</v>
      </c>
      <c r="I2897" s="9">
        <v>2</v>
      </c>
    </row>
    <row r="2898" spans="1:9">
      <c r="A2898" s="257" t="s">
        <v>3996</v>
      </c>
      <c r="B2898" s="9">
        <v>10</v>
      </c>
      <c r="C2898" s="257" t="s">
        <v>11171</v>
      </c>
      <c r="D2898" s="9">
        <v>0</v>
      </c>
      <c r="E2898" s="9">
        <v>1732307.5169143677</v>
      </c>
      <c r="F2898" s="257" t="s">
        <v>15238</v>
      </c>
      <c r="G2898" s="9"/>
      <c r="H2898" s="257" t="s">
        <v>21010</v>
      </c>
      <c r="I2898" s="9">
        <v>2</v>
      </c>
    </row>
    <row r="2899" spans="1:9">
      <c r="A2899" s="257" t="s">
        <v>3997</v>
      </c>
      <c r="B2899" s="9">
        <v>10</v>
      </c>
      <c r="C2899" s="257" t="s">
        <v>11172</v>
      </c>
      <c r="D2899" s="9">
        <v>0</v>
      </c>
      <c r="E2899" s="9">
        <v>1732307.5169143677</v>
      </c>
      <c r="F2899" s="257" t="s">
        <v>15238</v>
      </c>
      <c r="G2899" s="9"/>
      <c r="H2899" s="257" t="s">
        <v>21011</v>
      </c>
      <c r="I2899" s="9">
        <v>2</v>
      </c>
    </row>
    <row r="2900" spans="1:9">
      <c r="A2900" s="257" t="s">
        <v>3998</v>
      </c>
      <c r="B2900" s="9">
        <v>10</v>
      </c>
      <c r="C2900" s="257" t="s">
        <v>11173</v>
      </c>
      <c r="D2900" s="9">
        <v>0</v>
      </c>
      <c r="E2900" s="9">
        <v>1732307.5169143677</v>
      </c>
      <c r="F2900" s="257" t="s">
        <v>15238</v>
      </c>
      <c r="G2900" s="9"/>
      <c r="H2900" s="257" t="s">
        <v>21012</v>
      </c>
      <c r="I2900" s="9">
        <v>2</v>
      </c>
    </row>
    <row r="2901" spans="1:9">
      <c r="A2901" s="257" t="s">
        <v>3999</v>
      </c>
      <c r="B2901" s="9">
        <v>10</v>
      </c>
      <c r="C2901" s="257" t="s">
        <v>11174</v>
      </c>
      <c r="D2901" s="9">
        <v>0</v>
      </c>
      <c r="E2901" s="9">
        <v>1732307.5169143677</v>
      </c>
      <c r="F2901" s="257" t="s">
        <v>15238</v>
      </c>
      <c r="G2901" s="9"/>
      <c r="H2901" s="257" t="s">
        <v>21013</v>
      </c>
      <c r="I2901" s="9">
        <v>2</v>
      </c>
    </row>
    <row r="2902" spans="1:9">
      <c r="A2902" s="257" t="s">
        <v>4000</v>
      </c>
      <c r="B2902" s="9">
        <v>10</v>
      </c>
      <c r="C2902" s="257" t="s">
        <v>11175</v>
      </c>
      <c r="D2902" s="9">
        <v>0</v>
      </c>
      <c r="E2902" s="9">
        <v>1732307.5169143677</v>
      </c>
      <c r="F2902" s="257" t="s">
        <v>15239</v>
      </c>
      <c r="G2902" s="9"/>
      <c r="H2902" s="257" t="s">
        <v>21014</v>
      </c>
      <c r="I2902" s="9">
        <v>2</v>
      </c>
    </row>
    <row r="2903" spans="1:9">
      <c r="A2903" s="257" t="s">
        <v>4001</v>
      </c>
      <c r="B2903" s="9">
        <v>10</v>
      </c>
      <c r="C2903" s="257" t="s">
        <v>11176</v>
      </c>
      <c r="D2903" s="9">
        <v>0</v>
      </c>
      <c r="E2903" s="9">
        <v>1732307.5169143677</v>
      </c>
      <c r="F2903" s="257" t="s">
        <v>15239</v>
      </c>
      <c r="G2903" s="9"/>
      <c r="H2903" s="257" t="s">
        <v>21015</v>
      </c>
      <c r="I2903" s="9">
        <v>2</v>
      </c>
    </row>
    <row r="2904" spans="1:9">
      <c r="A2904" s="257" t="s">
        <v>4002</v>
      </c>
      <c r="B2904" s="9">
        <v>10</v>
      </c>
      <c r="C2904" s="257" t="s">
        <v>11177</v>
      </c>
      <c r="D2904" s="9">
        <v>0</v>
      </c>
      <c r="E2904" s="9">
        <v>1732307.5169143677</v>
      </c>
      <c r="F2904" s="257" t="s">
        <v>15239</v>
      </c>
      <c r="G2904" s="9"/>
      <c r="H2904" s="257" t="s">
        <v>21016</v>
      </c>
      <c r="I2904" s="9">
        <v>2</v>
      </c>
    </row>
    <row r="2905" spans="1:9">
      <c r="A2905" s="257" t="s">
        <v>4003</v>
      </c>
      <c r="B2905" s="9">
        <v>10</v>
      </c>
      <c r="C2905" s="257" t="s">
        <v>11178</v>
      </c>
      <c r="D2905" s="9">
        <v>0</v>
      </c>
      <c r="E2905" s="9">
        <v>1732307.5169143677</v>
      </c>
      <c r="F2905" s="257" t="s">
        <v>15239</v>
      </c>
      <c r="G2905" s="9"/>
      <c r="H2905" s="257" t="s">
        <v>21017</v>
      </c>
      <c r="I2905" s="9">
        <v>2</v>
      </c>
    </row>
    <row r="2906" spans="1:9">
      <c r="A2906" s="257" t="s">
        <v>4004</v>
      </c>
      <c r="B2906" s="9">
        <v>10</v>
      </c>
      <c r="C2906" s="257" t="s">
        <v>11179</v>
      </c>
      <c r="D2906" s="9">
        <v>1597492.4035892487</v>
      </c>
      <c r="E2906" s="9">
        <v>1732307.5169143677</v>
      </c>
      <c r="F2906" s="257" t="s">
        <v>15240</v>
      </c>
      <c r="G2906" s="9"/>
      <c r="H2906" s="257" t="s">
        <v>21018</v>
      </c>
      <c r="I2906" s="9">
        <v>2</v>
      </c>
    </row>
    <row r="2907" spans="1:9">
      <c r="A2907" s="257" t="s">
        <v>4005</v>
      </c>
      <c r="B2907" s="9">
        <v>10</v>
      </c>
      <c r="C2907" s="257" t="s">
        <v>11180</v>
      </c>
      <c r="D2907" s="9">
        <v>1298413407.8624628</v>
      </c>
      <c r="E2907" s="9">
        <v>1732307.5169143677</v>
      </c>
      <c r="F2907" s="257" t="s">
        <v>15240</v>
      </c>
      <c r="G2907" s="9"/>
      <c r="H2907" s="257" t="s">
        <v>21019</v>
      </c>
      <c r="I2907" s="9">
        <v>2</v>
      </c>
    </row>
    <row r="2908" spans="1:9">
      <c r="A2908" s="257" t="s">
        <v>4006</v>
      </c>
      <c r="B2908" s="9">
        <v>10</v>
      </c>
      <c r="C2908" s="257" t="s">
        <v>11181</v>
      </c>
      <c r="D2908" s="9">
        <v>0.92217599242122128</v>
      </c>
      <c r="E2908" s="9">
        <v>1732307.5169143677</v>
      </c>
      <c r="F2908" s="257" t="s">
        <v>15240</v>
      </c>
      <c r="G2908" s="9"/>
      <c r="H2908" s="257" t="s">
        <v>21020</v>
      </c>
      <c r="I2908" s="9">
        <v>2</v>
      </c>
    </row>
    <row r="2909" spans="1:9">
      <c r="A2909" s="257" t="s">
        <v>4007</v>
      </c>
      <c r="B2909" s="9">
        <v>10</v>
      </c>
      <c r="C2909" s="257" t="s">
        <v>11182</v>
      </c>
      <c r="D2909" s="9">
        <v>749.52824206133528</v>
      </c>
      <c r="E2909" s="9">
        <v>1732307.5169143677</v>
      </c>
      <c r="F2909" s="257" t="s">
        <v>15240</v>
      </c>
      <c r="G2909" s="9"/>
      <c r="H2909" s="257" t="s">
        <v>21021</v>
      </c>
      <c r="I2909" s="9">
        <v>2</v>
      </c>
    </row>
    <row r="2910" spans="1:9">
      <c r="A2910" s="257" t="s">
        <v>4008</v>
      </c>
      <c r="B2910" s="9">
        <v>10</v>
      </c>
      <c r="C2910" s="257" t="s">
        <v>11183</v>
      </c>
      <c r="D2910" s="9">
        <v>0</v>
      </c>
      <c r="E2910" s="9">
        <v>1732307.5169143677</v>
      </c>
      <c r="F2910" s="257" t="s">
        <v>15241</v>
      </c>
      <c r="G2910" s="9"/>
      <c r="H2910" s="257" t="s">
        <v>21022</v>
      </c>
      <c r="I2910" s="9">
        <v>2</v>
      </c>
    </row>
    <row r="2911" spans="1:9">
      <c r="A2911" s="257" t="s">
        <v>4009</v>
      </c>
      <c r="B2911" s="9">
        <v>10</v>
      </c>
      <c r="C2911" s="257" t="s">
        <v>11184</v>
      </c>
      <c r="D2911" s="9">
        <v>0</v>
      </c>
      <c r="E2911" s="9">
        <v>1732307.5169143677</v>
      </c>
      <c r="F2911" s="257" t="s">
        <v>15241</v>
      </c>
      <c r="G2911" s="9"/>
      <c r="H2911" s="257" t="s">
        <v>21023</v>
      </c>
      <c r="I2911" s="9">
        <v>2</v>
      </c>
    </row>
    <row r="2912" spans="1:9">
      <c r="A2912" s="257" t="s">
        <v>4010</v>
      </c>
      <c r="B2912" s="9">
        <v>10</v>
      </c>
      <c r="C2912" s="257" t="s">
        <v>11185</v>
      </c>
      <c r="D2912" s="9">
        <v>0</v>
      </c>
      <c r="E2912" s="9">
        <v>1732307.5169143677</v>
      </c>
      <c r="F2912" s="257" t="s">
        <v>15241</v>
      </c>
      <c r="G2912" s="9"/>
      <c r="H2912" s="257" t="s">
        <v>21024</v>
      </c>
      <c r="I2912" s="9">
        <v>2</v>
      </c>
    </row>
    <row r="2913" spans="1:9">
      <c r="A2913" s="257" t="s">
        <v>4011</v>
      </c>
      <c r="B2913" s="9">
        <v>10</v>
      </c>
      <c r="C2913" s="257" t="s">
        <v>11186</v>
      </c>
      <c r="D2913" s="9">
        <v>0</v>
      </c>
      <c r="E2913" s="9">
        <v>1732307.5169143677</v>
      </c>
      <c r="F2913" s="257" t="s">
        <v>15241</v>
      </c>
      <c r="G2913" s="9"/>
      <c r="H2913" s="257" t="s">
        <v>21025</v>
      </c>
      <c r="I2913" s="9">
        <v>2</v>
      </c>
    </row>
    <row r="2914" spans="1:9">
      <c r="A2914" s="257" t="s">
        <v>4012</v>
      </c>
      <c r="B2914" s="9">
        <v>10</v>
      </c>
      <c r="C2914" s="257" t="s">
        <v>11187</v>
      </c>
      <c r="D2914" s="9">
        <v>1730067.4812698364</v>
      </c>
      <c r="E2914" s="9">
        <v>1732307.5169143677</v>
      </c>
      <c r="F2914" s="257" t="s">
        <v>15242</v>
      </c>
      <c r="G2914" s="9"/>
      <c r="H2914" s="257" t="s">
        <v>21026</v>
      </c>
      <c r="I2914" s="9">
        <v>2</v>
      </c>
    </row>
    <row r="2915" spans="1:9">
      <c r="A2915" s="257" t="s">
        <v>4013</v>
      </c>
      <c r="B2915" s="9">
        <v>10</v>
      </c>
      <c r="C2915" s="257" t="s">
        <v>11188</v>
      </c>
      <c r="D2915" s="9">
        <v>40641372559.515472</v>
      </c>
      <c r="E2915" s="9">
        <v>1732307.5169143677</v>
      </c>
      <c r="F2915" s="257" t="s">
        <v>15242</v>
      </c>
      <c r="G2915" s="9"/>
      <c r="H2915" s="257" t="s">
        <v>21027</v>
      </c>
      <c r="I2915" s="9">
        <v>2</v>
      </c>
    </row>
    <row r="2916" spans="1:9">
      <c r="A2916" s="257" t="s">
        <v>4014</v>
      </c>
      <c r="B2916" s="9">
        <v>10</v>
      </c>
      <c r="C2916" s="257" t="s">
        <v>11189</v>
      </c>
      <c r="D2916" s="9">
        <v>0.99870690646859206</v>
      </c>
      <c r="E2916" s="9">
        <v>1732307.5169143677</v>
      </c>
      <c r="F2916" s="257" t="s">
        <v>15242</v>
      </c>
      <c r="G2916" s="9"/>
      <c r="H2916" s="257" t="s">
        <v>21028</v>
      </c>
      <c r="I2916" s="9">
        <v>2</v>
      </c>
    </row>
    <row r="2917" spans="1:9">
      <c r="A2917" s="257" t="s">
        <v>4015</v>
      </c>
      <c r="B2917" s="9">
        <v>10</v>
      </c>
      <c r="C2917" s="257" t="s">
        <v>11190</v>
      </c>
      <c r="D2917" s="9">
        <v>23460.83022944273</v>
      </c>
      <c r="E2917" s="9">
        <v>1732307.5169143677</v>
      </c>
      <c r="F2917" s="257" t="s">
        <v>15242</v>
      </c>
      <c r="G2917" s="9"/>
      <c r="H2917" s="257" t="s">
        <v>21029</v>
      </c>
      <c r="I2917" s="9">
        <v>2</v>
      </c>
    </row>
    <row r="2918" spans="1:9">
      <c r="A2918" s="257" t="s">
        <v>4016</v>
      </c>
      <c r="B2918" s="9">
        <v>10</v>
      </c>
      <c r="C2918" s="257" t="s">
        <v>11191</v>
      </c>
      <c r="D2918" s="9">
        <v>1730067.4812698364</v>
      </c>
      <c r="E2918" s="9">
        <v>1732307.5169143677</v>
      </c>
      <c r="F2918" s="257" t="s">
        <v>15243</v>
      </c>
      <c r="G2918" s="9"/>
      <c r="H2918" s="257" t="s">
        <v>21030</v>
      </c>
      <c r="I2918" s="9">
        <v>2</v>
      </c>
    </row>
    <row r="2919" spans="1:9">
      <c r="A2919" s="257" t="s">
        <v>4017</v>
      </c>
      <c r="B2919" s="9">
        <v>10</v>
      </c>
      <c r="C2919" s="257" t="s">
        <v>11192</v>
      </c>
      <c r="D2919" s="9">
        <v>39342959151.653008</v>
      </c>
      <c r="E2919" s="9">
        <v>1732307.5169143677</v>
      </c>
      <c r="F2919" s="257" t="s">
        <v>15243</v>
      </c>
      <c r="G2919" s="9"/>
      <c r="H2919" s="257" t="s">
        <v>21031</v>
      </c>
      <c r="I2919" s="9">
        <v>2</v>
      </c>
    </row>
    <row r="2920" spans="1:9">
      <c r="A2920" s="257" t="s">
        <v>4018</v>
      </c>
      <c r="B2920" s="9">
        <v>10</v>
      </c>
      <c r="C2920" s="257" t="s">
        <v>11193</v>
      </c>
      <c r="D2920" s="9">
        <v>0.99870690646859206</v>
      </c>
      <c r="E2920" s="9">
        <v>1732307.5169143677</v>
      </c>
      <c r="F2920" s="257" t="s">
        <v>15243</v>
      </c>
      <c r="G2920" s="9"/>
      <c r="H2920" s="257" t="s">
        <v>21032</v>
      </c>
      <c r="I2920" s="9">
        <v>2</v>
      </c>
    </row>
    <row r="2921" spans="1:9">
      <c r="A2921" s="257" t="s">
        <v>4019</v>
      </c>
      <c r="B2921" s="9">
        <v>10</v>
      </c>
      <c r="C2921" s="257" t="s">
        <v>11194</v>
      </c>
      <c r="D2921" s="9">
        <v>22711.301987381394</v>
      </c>
      <c r="E2921" s="9">
        <v>1732307.5169143677</v>
      </c>
      <c r="F2921" s="257" t="s">
        <v>15243</v>
      </c>
      <c r="G2921" s="9"/>
      <c r="H2921" s="257" t="s">
        <v>21033</v>
      </c>
      <c r="I2921" s="9">
        <v>2</v>
      </c>
    </row>
    <row r="2922" spans="1:9">
      <c r="A2922" s="257" t="s">
        <v>4020</v>
      </c>
      <c r="B2922" s="9">
        <v>10</v>
      </c>
      <c r="C2922" s="257" t="s">
        <v>11195</v>
      </c>
      <c r="D2922" s="9">
        <v>1730067.4812698364</v>
      </c>
      <c r="E2922" s="9">
        <v>1732307.5169143677</v>
      </c>
      <c r="F2922" s="257" t="s">
        <v>15244</v>
      </c>
      <c r="G2922" s="9"/>
      <c r="H2922" s="257" t="s">
        <v>21034</v>
      </c>
      <c r="I2922" s="9">
        <v>2</v>
      </c>
    </row>
    <row r="2923" spans="1:9">
      <c r="A2923" s="257" t="s">
        <v>4021</v>
      </c>
      <c r="B2923" s="9">
        <v>10</v>
      </c>
      <c r="C2923" s="257" t="s">
        <v>11196</v>
      </c>
      <c r="D2923" s="9">
        <v>40641372559.515472</v>
      </c>
      <c r="E2923" s="9">
        <v>1732307.5169143677</v>
      </c>
      <c r="F2923" s="257" t="s">
        <v>15244</v>
      </c>
      <c r="G2923" s="9"/>
      <c r="H2923" s="257" t="s">
        <v>21035</v>
      </c>
      <c r="I2923" s="9">
        <v>2</v>
      </c>
    </row>
    <row r="2924" spans="1:9">
      <c r="A2924" s="257" t="s">
        <v>4022</v>
      </c>
      <c r="B2924" s="9">
        <v>10</v>
      </c>
      <c r="C2924" s="257" t="s">
        <v>11197</v>
      </c>
      <c r="D2924" s="9">
        <v>0.99870690646859206</v>
      </c>
      <c r="E2924" s="9">
        <v>1732307.5169143677</v>
      </c>
      <c r="F2924" s="257" t="s">
        <v>15244</v>
      </c>
      <c r="G2924" s="9"/>
      <c r="H2924" s="257" t="s">
        <v>21036</v>
      </c>
      <c r="I2924" s="9">
        <v>2</v>
      </c>
    </row>
    <row r="2925" spans="1:9">
      <c r="A2925" s="257" t="s">
        <v>4023</v>
      </c>
      <c r="B2925" s="9">
        <v>10</v>
      </c>
      <c r="C2925" s="257" t="s">
        <v>11198</v>
      </c>
      <c r="D2925" s="9">
        <v>23460.83022944273</v>
      </c>
      <c r="E2925" s="9">
        <v>1732307.5169143677</v>
      </c>
      <c r="F2925" s="257" t="s">
        <v>15244</v>
      </c>
      <c r="G2925" s="9"/>
      <c r="H2925" s="257" t="s">
        <v>21037</v>
      </c>
      <c r="I2925" s="9">
        <v>2</v>
      </c>
    </row>
    <row r="2926" spans="1:9">
      <c r="A2926" s="257" t="s">
        <v>4024</v>
      </c>
      <c r="B2926" s="9">
        <v>10</v>
      </c>
      <c r="C2926" s="257" t="s">
        <v>11199</v>
      </c>
      <c r="D2926" s="9">
        <v>1732307.5169143677</v>
      </c>
      <c r="E2926" s="9">
        <v>1732307.5169143677</v>
      </c>
      <c r="F2926" s="257" t="s">
        <v>15245</v>
      </c>
      <c r="G2926" s="9"/>
      <c r="H2926" s="257" t="s">
        <v>21038</v>
      </c>
      <c r="I2926" s="9">
        <v>2</v>
      </c>
    </row>
    <row r="2927" spans="1:9">
      <c r="A2927" s="257" t="s">
        <v>4025</v>
      </c>
      <c r="B2927" s="9">
        <v>10</v>
      </c>
      <c r="C2927" s="257" t="s">
        <v>11200</v>
      </c>
      <c r="D2927" s="9">
        <v>7261489986.4833231</v>
      </c>
      <c r="E2927" s="9">
        <v>1732307.5169143677</v>
      </c>
      <c r="F2927" s="257" t="s">
        <v>15245</v>
      </c>
      <c r="G2927" s="9"/>
      <c r="H2927" s="257" t="s">
        <v>21039</v>
      </c>
      <c r="I2927" s="9">
        <v>2</v>
      </c>
    </row>
    <row r="2928" spans="1:9">
      <c r="A2928" s="257" t="s">
        <v>4026</v>
      </c>
      <c r="B2928" s="9">
        <v>10</v>
      </c>
      <c r="C2928" s="257" t="s">
        <v>11201</v>
      </c>
      <c r="D2928" s="9">
        <v>1</v>
      </c>
      <c r="E2928" s="9">
        <v>1732307.5169143677</v>
      </c>
      <c r="F2928" s="257" t="s">
        <v>15245</v>
      </c>
      <c r="G2928" s="9"/>
      <c r="H2928" s="257" t="s">
        <v>21040</v>
      </c>
      <c r="I2928" s="9">
        <v>2</v>
      </c>
    </row>
    <row r="2929" spans="1:9">
      <c r="A2929" s="257" t="s">
        <v>4027</v>
      </c>
      <c r="B2929" s="9">
        <v>10</v>
      </c>
      <c r="C2929" s="257" t="s">
        <v>11202</v>
      </c>
      <c r="D2929" s="9">
        <v>4191.8019263794931</v>
      </c>
      <c r="E2929" s="9">
        <v>1732307.5169143677</v>
      </c>
      <c r="F2929" s="257" t="s">
        <v>15245</v>
      </c>
      <c r="G2929" s="9"/>
      <c r="H2929" s="257" t="s">
        <v>21041</v>
      </c>
      <c r="I2929" s="9">
        <v>2</v>
      </c>
    </row>
    <row r="2930" spans="1:9">
      <c r="A2930" s="257" t="s">
        <v>4028</v>
      </c>
      <c r="B2930" s="9">
        <v>10</v>
      </c>
      <c r="C2930" s="257" t="s">
        <v>11203</v>
      </c>
      <c r="D2930" s="9">
        <v>1613816.9870243073</v>
      </c>
      <c r="E2930" s="9">
        <v>1732307.5169143677</v>
      </c>
      <c r="F2930" s="257" t="s">
        <v>15246</v>
      </c>
      <c r="G2930" s="9"/>
      <c r="H2930" s="257" t="s">
        <v>21042</v>
      </c>
      <c r="I2930" s="9">
        <v>2</v>
      </c>
    </row>
    <row r="2931" spans="1:9">
      <c r="A2931" s="257" t="s">
        <v>4029</v>
      </c>
      <c r="B2931" s="9">
        <v>10</v>
      </c>
      <c r="C2931" s="257" t="s">
        <v>11204</v>
      </c>
      <c r="D2931" s="9">
        <v>21293276052.341278</v>
      </c>
      <c r="E2931" s="9">
        <v>1732307.5169143677</v>
      </c>
      <c r="F2931" s="257" t="s">
        <v>15246</v>
      </c>
      <c r="G2931" s="9"/>
      <c r="H2931" s="257" t="s">
        <v>21043</v>
      </c>
      <c r="I2931" s="9">
        <v>2</v>
      </c>
    </row>
    <row r="2932" spans="1:9">
      <c r="A2932" s="257" t="s">
        <v>4030</v>
      </c>
      <c r="B2932" s="9">
        <v>10</v>
      </c>
      <c r="C2932" s="257" t="s">
        <v>11205</v>
      </c>
      <c r="D2932" s="9">
        <v>0.93159959837782214</v>
      </c>
      <c r="E2932" s="9">
        <v>1732307.5169143677</v>
      </c>
      <c r="F2932" s="257" t="s">
        <v>15246</v>
      </c>
      <c r="G2932" s="9"/>
      <c r="H2932" s="257" t="s">
        <v>21044</v>
      </c>
      <c r="I2932" s="9">
        <v>2</v>
      </c>
    </row>
    <row r="2933" spans="1:9">
      <c r="A2933" s="257" t="s">
        <v>4031</v>
      </c>
      <c r="B2933" s="9">
        <v>10</v>
      </c>
      <c r="C2933" s="257" t="s">
        <v>11206</v>
      </c>
      <c r="D2933" s="9">
        <v>12291.856869771846</v>
      </c>
      <c r="E2933" s="9">
        <v>1732307.5169143677</v>
      </c>
      <c r="F2933" s="257" t="s">
        <v>15246</v>
      </c>
      <c r="G2933" s="9"/>
      <c r="H2933" s="257" t="s">
        <v>21045</v>
      </c>
      <c r="I2933" s="9">
        <v>2</v>
      </c>
    </row>
    <row r="2934" spans="1:9">
      <c r="A2934" s="257" t="s">
        <v>4032</v>
      </c>
      <c r="B2934" s="9">
        <v>10</v>
      </c>
      <c r="C2934" s="257" t="s">
        <v>11207</v>
      </c>
      <c r="D2934" s="9">
        <v>1732307.5169143677</v>
      </c>
      <c r="E2934" s="9">
        <v>1732307.5169143677</v>
      </c>
      <c r="F2934" s="257" t="s">
        <v>15247</v>
      </c>
      <c r="G2934" s="9"/>
      <c r="H2934" s="257" t="s">
        <v>21046</v>
      </c>
      <c r="I2934" s="9">
        <v>2</v>
      </c>
    </row>
    <row r="2935" spans="1:9">
      <c r="A2935" s="257" t="s">
        <v>4033</v>
      </c>
      <c r="B2935" s="9">
        <v>10</v>
      </c>
      <c r="C2935" s="257" t="s">
        <v>11208</v>
      </c>
      <c r="D2935" s="9">
        <v>60636235203.994286</v>
      </c>
      <c r="E2935" s="9">
        <v>1732307.5169143677</v>
      </c>
      <c r="F2935" s="257" t="s">
        <v>15247</v>
      </c>
      <c r="G2935" s="9"/>
      <c r="H2935" s="257" t="s">
        <v>21047</v>
      </c>
      <c r="I2935" s="9">
        <v>2</v>
      </c>
    </row>
    <row r="2936" spans="1:9">
      <c r="A2936" s="257" t="s">
        <v>4034</v>
      </c>
      <c r="B2936" s="9">
        <v>10</v>
      </c>
      <c r="C2936" s="257" t="s">
        <v>11209</v>
      </c>
      <c r="D2936" s="9">
        <v>1</v>
      </c>
      <c r="E2936" s="9">
        <v>1732307.5169143677</v>
      </c>
      <c r="F2936" s="257" t="s">
        <v>15247</v>
      </c>
      <c r="G2936" s="9"/>
      <c r="H2936" s="257" t="s">
        <v>21048</v>
      </c>
      <c r="I2936" s="9">
        <v>2</v>
      </c>
    </row>
    <row r="2937" spans="1:9">
      <c r="A2937" s="257" t="s">
        <v>4035</v>
      </c>
      <c r="B2937" s="9">
        <v>10</v>
      </c>
      <c r="C2937" s="257" t="s">
        <v>11210</v>
      </c>
      <c r="D2937" s="9">
        <v>35003.158857153241</v>
      </c>
      <c r="E2937" s="9">
        <v>1732307.5169143677</v>
      </c>
      <c r="F2937" s="257" t="s">
        <v>15247</v>
      </c>
      <c r="G2937" s="9"/>
      <c r="H2937" s="257" t="s">
        <v>21049</v>
      </c>
      <c r="I2937" s="9">
        <v>2</v>
      </c>
    </row>
    <row r="2938" spans="1:9">
      <c r="A2938" s="257" t="s">
        <v>4036</v>
      </c>
      <c r="B2938" s="9">
        <v>10</v>
      </c>
      <c r="C2938" s="257" t="s">
        <v>11211</v>
      </c>
      <c r="D2938" s="9">
        <v>1732307.5169143677</v>
      </c>
      <c r="E2938" s="9">
        <v>1732307.5169143677</v>
      </c>
      <c r="F2938" s="257" t="s">
        <v>15248</v>
      </c>
      <c r="G2938" s="9"/>
      <c r="H2938" s="257" t="s">
        <v>21050</v>
      </c>
      <c r="I2938" s="9">
        <v>2</v>
      </c>
    </row>
    <row r="2939" spans="1:9">
      <c r="A2939" s="257" t="s">
        <v>4037</v>
      </c>
      <c r="B2939" s="9">
        <v>10</v>
      </c>
      <c r="C2939" s="257" t="s">
        <v>11212</v>
      </c>
      <c r="D2939" s="9">
        <v>61934648611.85675</v>
      </c>
      <c r="E2939" s="9">
        <v>1732307.5169143677</v>
      </c>
      <c r="F2939" s="257" t="s">
        <v>15248</v>
      </c>
      <c r="G2939" s="9"/>
      <c r="H2939" s="257" t="s">
        <v>21051</v>
      </c>
      <c r="I2939" s="9">
        <v>2</v>
      </c>
    </row>
    <row r="2940" spans="1:9">
      <c r="A2940" s="257" t="s">
        <v>4038</v>
      </c>
      <c r="B2940" s="9">
        <v>10</v>
      </c>
      <c r="C2940" s="257" t="s">
        <v>11213</v>
      </c>
      <c r="D2940" s="9">
        <v>1</v>
      </c>
      <c r="E2940" s="9">
        <v>1732307.5169143677</v>
      </c>
      <c r="F2940" s="257" t="s">
        <v>15248</v>
      </c>
      <c r="G2940" s="9"/>
      <c r="H2940" s="257" t="s">
        <v>21052</v>
      </c>
      <c r="I2940" s="9">
        <v>2</v>
      </c>
    </row>
    <row r="2941" spans="1:9">
      <c r="A2941" s="257" t="s">
        <v>4039</v>
      </c>
      <c r="B2941" s="9">
        <v>10</v>
      </c>
      <c r="C2941" s="257" t="s">
        <v>11214</v>
      </c>
      <c r="D2941" s="9">
        <v>35752.687099214578</v>
      </c>
      <c r="E2941" s="9">
        <v>1732307.5169143677</v>
      </c>
      <c r="F2941" s="257" t="s">
        <v>15248</v>
      </c>
      <c r="G2941" s="9"/>
      <c r="H2941" s="257" t="s">
        <v>21053</v>
      </c>
      <c r="I2941" s="9">
        <v>2</v>
      </c>
    </row>
    <row r="2942" spans="1:9">
      <c r="A2942" s="257" t="s">
        <v>4040</v>
      </c>
      <c r="B2942" s="9">
        <v>10</v>
      </c>
      <c r="C2942" s="257" t="s">
        <v>11215</v>
      </c>
      <c r="D2942" s="9">
        <v>1627888.5609302521</v>
      </c>
      <c r="E2942" s="9">
        <v>1732307.5169143677</v>
      </c>
      <c r="F2942" s="257" t="s">
        <v>15249</v>
      </c>
      <c r="G2942" s="9"/>
      <c r="H2942" s="257" t="s">
        <v>21054</v>
      </c>
      <c r="I2942" s="9">
        <v>2</v>
      </c>
    </row>
    <row r="2943" spans="1:9">
      <c r="A2943" s="257" t="s">
        <v>4041</v>
      </c>
      <c r="B2943" s="9">
        <v>10</v>
      </c>
      <c r="C2943" s="257" t="s">
        <v>11216</v>
      </c>
      <c r="D2943" s="9">
        <v>23818493156.638382</v>
      </c>
      <c r="E2943" s="9">
        <v>1732307.5169143677</v>
      </c>
      <c r="F2943" s="257" t="s">
        <v>15249</v>
      </c>
      <c r="G2943" s="9"/>
      <c r="H2943" s="257" t="s">
        <v>21055</v>
      </c>
      <c r="I2943" s="9">
        <v>2</v>
      </c>
    </row>
    <row r="2944" spans="1:9">
      <c r="A2944" s="257" t="s">
        <v>4042</v>
      </c>
      <c r="B2944" s="9">
        <v>10</v>
      </c>
      <c r="C2944" s="257" t="s">
        <v>11217</v>
      </c>
      <c r="D2944" s="9">
        <v>0.93972262143726681</v>
      </c>
      <c r="E2944" s="9">
        <v>1732307.5169143677</v>
      </c>
      <c r="F2944" s="257" t="s">
        <v>15249</v>
      </c>
      <c r="G2944" s="9"/>
      <c r="H2944" s="257" t="s">
        <v>21056</v>
      </c>
      <c r="I2944" s="9">
        <v>2</v>
      </c>
    </row>
    <row r="2945" spans="1:9">
      <c r="A2945" s="257" t="s">
        <v>4043</v>
      </c>
      <c r="B2945" s="9">
        <v>10</v>
      </c>
      <c r="C2945" s="257" t="s">
        <v>11218</v>
      </c>
      <c r="D2945" s="9">
        <v>13749.575594444408</v>
      </c>
      <c r="E2945" s="9">
        <v>1732307.5169143677</v>
      </c>
      <c r="F2945" s="257" t="s">
        <v>15249</v>
      </c>
      <c r="G2945" s="9"/>
      <c r="H2945" s="257" t="s">
        <v>21057</v>
      </c>
      <c r="I2945" s="9">
        <v>2</v>
      </c>
    </row>
    <row r="2946" spans="1:9">
      <c r="A2946" s="257" t="s">
        <v>4044</v>
      </c>
      <c r="B2946" s="9">
        <v>10</v>
      </c>
      <c r="C2946" s="257" t="s">
        <v>11219</v>
      </c>
      <c r="D2946" s="9">
        <v>1629617.237077713</v>
      </c>
      <c r="E2946" s="9">
        <v>1732307.5169143677</v>
      </c>
      <c r="F2946" s="257" t="s">
        <v>15250</v>
      </c>
      <c r="G2946" s="9"/>
      <c r="H2946" s="257" t="s">
        <v>21058</v>
      </c>
      <c r="I2946" s="9">
        <v>2</v>
      </c>
    </row>
    <row r="2947" spans="1:9">
      <c r="A2947" s="257" t="s">
        <v>4045</v>
      </c>
      <c r="B2947" s="9">
        <v>10</v>
      </c>
      <c r="C2947" s="257" t="s">
        <v>11220</v>
      </c>
      <c r="D2947" s="9">
        <v>25116906564.500843</v>
      </c>
      <c r="E2947" s="9">
        <v>1732307.5169143677</v>
      </c>
      <c r="F2947" s="257" t="s">
        <v>15250</v>
      </c>
      <c r="G2947" s="9"/>
      <c r="H2947" s="257" t="s">
        <v>21059</v>
      </c>
      <c r="I2947" s="9">
        <v>2</v>
      </c>
    </row>
    <row r="2948" spans="1:9">
      <c r="A2948" s="257" t="s">
        <v>4046</v>
      </c>
      <c r="B2948" s="9">
        <v>10</v>
      </c>
      <c r="C2948" s="257" t="s">
        <v>11221</v>
      </c>
      <c r="D2948" s="9">
        <v>0.94072052517582483</v>
      </c>
      <c r="E2948" s="9">
        <v>1732307.5169143677</v>
      </c>
      <c r="F2948" s="257" t="s">
        <v>15250</v>
      </c>
      <c r="G2948" s="9"/>
      <c r="H2948" s="257" t="s">
        <v>21060</v>
      </c>
      <c r="I2948" s="9">
        <v>2</v>
      </c>
    </row>
    <row r="2949" spans="1:9">
      <c r="A2949" s="257" t="s">
        <v>4047</v>
      </c>
      <c r="B2949" s="9">
        <v>10</v>
      </c>
      <c r="C2949" s="257" t="s">
        <v>11222</v>
      </c>
      <c r="D2949" s="9">
        <v>14499.103836505741</v>
      </c>
      <c r="E2949" s="9">
        <v>1732307.5169143677</v>
      </c>
      <c r="F2949" s="257" t="s">
        <v>15250</v>
      </c>
      <c r="G2949" s="9"/>
      <c r="H2949" s="257" t="s">
        <v>21061</v>
      </c>
      <c r="I2949" s="9">
        <v>2</v>
      </c>
    </row>
    <row r="2950" spans="1:9">
      <c r="A2950" s="257" t="s">
        <v>4048</v>
      </c>
      <c r="B2950" s="9">
        <v>10</v>
      </c>
      <c r="C2950" s="257" t="s">
        <v>11223</v>
      </c>
      <c r="D2950" s="9">
        <v>1732307.5169143677</v>
      </c>
      <c r="E2950" s="9">
        <v>1732307.5169143677</v>
      </c>
      <c r="F2950" s="257" t="s">
        <v>15251</v>
      </c>
      <c r="G2950" s="9"/>
      <c r="H2950" s="257" t="s">
        <v>21062</v>
      </c>
      <c r="I2950" s="9">
        <v>2</v>
      </c>
    </row>
    <row r="2951" spans="1:9">
      <c r="A2951" s="257" t="s">
        <v>4049</v>
      </c>
      <c r="B2951" s="9">
        <v>10</v>
      </c>
      <c r="C2951" s="257" t="s">
        <v>11224</v>
      </c>
      <c r="D2951" s="9">
        <v>15524465995.014627</v>
      </c>
      <c r="E2951" s="9">
        <v>1732307.5169143677</v>
      </c>
      <c r="F2951" s="257" t="s">
        <v>15251</v>
      </c>
      <c r="G2951" s="9"/>
      <c r="H2951" s="257" t="s">
        <v>21063</v>
      </c>
      <c r="I2951" s="9">
        <v>2</v>
      </c>
    </row>
    <row r="2952" spans="1:9">
      <c r="A2952" s="257" t="s">
        <v>4050</v>
      </c>
      <c r="B2952" s="9">
        <v>10</v>
      </c>
      <c r="C2952" s="257" t="s">
        <v>11225</v>
      </c>
      <c r="D2952" s="9">
        <v>1</v>
      </c>
      <c r="E2952" s="9">
        <v>1732307.5169143677</v>
      </c>
      <c r="F2952" s="257" t="s">
        <v>15251</v>
      </c>
      <c r="G2952" s="9"/>
      <c r="H2952" s="257" t="s">
        <v>21064</v>
      </c>
      <c r="I2952" s="9">
        <v>2</v>
      </c>
    </row>
    <row r="2953" spans="1:9">
      <c r="A2953" s="257" t="s">
        <v>4051</v>
      </c>
      <c r="B2953" s="9">
        <v>10</v>
      </c>
      <c r="C2953" s="257" t="s">
        <v>11226</v>
      </c>
      <c r="D2953" s="9">
        <v>8961.7263929369892</v>
      </c>
      <c r="E2953" s="9">
        <v>1732307.5169143677</v>
      </c>
      <c r="F2953" s="257" t="s">
        <v>15251</v>
      </c>
      <c r="G2953" s="9"/>
      <c r="H2953" s="257" t="s">
        <v>21065</v>
      </c>
      <c r="I2953" s="9">
        <v>2</v>
      </c>
    </row>
    <row r="2954" spans="1:9">
      <c r="A2954" s="257" t="s">
        <v>4052</v>
      </c>
      <c r="B2954" s="9">
        <v>10</v>
      </c>
      <c r="C2954" s="257" t="s">
        <v>11227</v>
      </c>
      <c r="D2954" s="9">
        <v>1732307.5169143677</v>
      </c>
      <c r="E2954" s="9">
        <v>1732307.5169143677</v>
      </c>
      <c r="F2954" s="257" t="s">
        <v>15252</v>
      </c>
      <c r="G2954" s="9"/>
      <c r="H2954" s="257" t="s">
        <v>21066</v>
      </c>
      <c r="I2954" s="9">
        <v>2</v>
      </c>
    </row>
    <row r="2955" spans="1:9">
      <c r="A2955" s="257" t="s">
        <v>4053</v>
      </c>
      <c r="B2955" s="9">
        <v>10</v>
      </c>
      <c r="C2955" s="257" t="s">
        <v>11228</v>
      </c>
      <c r="D2955" s="9">
        <v>31535611033.497555</v>
      </c>
      <c r="E2955" s="9">
        <v>1732307.5169143677</v>
      </c>
      <c r="F2955" s="257" t="s">
        <v>15252</v>
      </c>
      <c r="G2955" s="9"/>
      <c r="H2955" s="257" t="s">
        <v>21067</v>
      </c>
      <c r="I2955" s="9">
        <v>2</v>
      </c>
    </row>
    <row r="2956" spans="1:9">
      <c r="A2956" s="257" t="s">
        <v>4054</v>
      </c>
      <c r="B2956" s="9">
        <v>10</v>
      </c>
      <c r="C2956" s="257" t="s">
        <v>11229</v>
      </c>
      <c r="D2956" s="9">
        <v>1</v>
      </c>
      <c r="E2956" s="9">
        <v>1732307.5169143677</v>
      </c>
      <c r="F2956" s="257" t="s">
        <v>15252</v>
      </c>
      <c r="G2956" s="9"/>
      <c r="H2956" s="257" t="s">
        <v>21068</v>
      </c>
      <c r="I2956" s="9">
        <v>2</v>
      </c>
    </row>
    <row r="2957" spans="1:9">
      <c r="A2957" s="257" t="s">
        <v>4055</v>
      </c>
      <c r="B2957" s="9">
        <v>10</v>
      </c>
      <c r="C2957" s="257" t="s">
        <v>11230</v>
      </c>
      <c r="D2957" s="9">
        <v>18204.395423781123</v>
      </c>
      <c r="E2957" s="9">
        <v>1732307.5169143677</v>
      </c>
      <c r="F2957" s="257" t="s">
        <v>15252</v>
      </c>
      <c r="G2957" s="9"/>
      <c r="H2957" s="257" t="s">
        <v>21069</v>
      </c>
      <c r="I2957" s="9">
        <v>2</v>
      </c>
    </row>
    <row r="2958" spans="1:9">
      <c r="A2958" s="257" t="s">
        <v>4056</v>
      </c>
      <c r="B2958" s="9">
        <v>10</v>
      </c>
      <c r="C2958" s="257" t="s">
        <v>11231</v>
      </c>
      <c r="D2958" s="9">
        <v>1650453.2440738678</v>
      </c>
      <c r="E2958" s="9">
        <v>1732307.5169143677</v>
      </c>
      <c r="F2958" s="257" t="s">
        <v>15253</v>
      </c>
      <c r="G2958" s="9"/>
      <c r="H2958" s="257" t="s">
        <v>21070</v>
      </c>
      <c r="I2958" s="9">
        <v>2</v>
      </c>
    </row>
    <row r="2959" spans="1:9">
      <c r="A2959" s="257" t="s">
        <v>4057</v>
      </c>
      <c r="B2959" s="9">
        <v>10</v>
      </c>
      <c r="C2959" s="257" t="s">
        <v>11232</v>
      </c>
      <c r="D2959" s="9">
        <v>33537243154.939873</v>
      </c>
      <c r="E2959" s="9">
        <v>1732307.5169143677</v>
      </c>
      <c r="F2959" s="257" t="s">
        <v>15253</v>
      </c>
      <c r="G2959" s="9"/>
      <c r="H2959" s="257" t="s">
        <v>21071</v>
      </c>
      <c r="I2959" s="9">
        <v>2</v>
      </c>
    </row>
    <row r="2960" spans="1:9">
      <c r="A2960" s="257" t="s">
        <v>4058</v>
      </c>
      <c r="B2960" s="9">
        <v>10</v>
      </c>
      <c r="C2960" s="257" t="s">
        <v>11233</v>
      </c>
      <c r="D2960" s="9">
        <v>0.95274841675553024</v>
      </c>
      <c r="E2960" s="9">
        <v>1732307.5169143677</v>
      </c>
      <c r="F2960" s="257" t="s">
        <v>15253</v>
      </c>
      <c r="G2960" s="9"/>
      <c r="H2960" s="257" t="s">
        <v>21072</v>
      </c>
      <c r="I2960" s="9">
        <v>2</v>
      </c>
    </row>
    <row r="2961" spans="1:9">
      <c r="A2961" s="257" t="s">
        <v>4059</v>
      </c>
      <c r="B2961" s="9">
        <v>10</v>
      </c>
      <c r="C2961" s="257" t="s">
        <v>11234</v>
      </c>
      <c r="D2961" s="9">
        <v>19359.86701407225</v>
      </c>
      <c r="E2961" s="9">
        <v>1732307.5169143677</v>
      </c>
      <c r="F2961" s="257" t="s">
        <v>15253</v>
      </c>
      <c r="G2961" s="9"/>
      <c r="H2961" s="257" t="s">
        <v>21073</v>
      </c>
      <c r="I2961" s="9">
        <v>2</v>
      </c>
    </row>
    <row r="2962" spans="1:9">
      <c r="A2962" s="257" t="s">
        <v>4060</v>
      </c>
      <c r="B2962" s="9">
        <v>10</v>
      </c>
      <c r="C2962" s="257" t="s">
        <v>11235</v>
      </c>
      <c r="D2962" s="9">
        <v>0</v>
      </c>
      <c r="E2962" s="9">
        <v>1732307.5169143677</v>
      </c>
      <c r="F2962" s="257" t="s">
        <v>15254</v>
      </c>
      <c r="G2962" s="9"/>
      <c r="H2962" s="257" t="s">
        <v>21074</v>
      </c>
      <c r="I2962" s="9">
        <v>2</v>
      </c>
    </row>
    <row r="2963" spans="1:9">
      <c r="A2963" s="257" t="s">
        <v>4061</v>
      </c>
      <c r="B2963" s="9">
        <v>10</v>
      </c>
      <c r="C2963" s="257" t="s">
        <v>11236</v>
      </c>
      <c r="D2963" s="9">
        <v>-3138205576.580678</v>
      </c>
      <c r="E2963" s="9">
        <v>1732307.5169143677</v>
      </c>
      <c r="F2963" s="257" t="s">
        <v>15254</v>
      </c>
      <c r="G2963" s="9"/>
      <c r="H2963" s="257" t="s">
        <v>21075</v>
      </c>
      <c r="I2963" s="9">
        <v>2</v>
      </c>
    </row>
    <row r="2964" spans="1:9">
      <c r="A2964" s="257" t="s">
        <v>4062</v>
      </c>
      <c r="B2964" s="9">
        <v>10</v>
      </c>
      <c r="C2964" s="257" t="s">
        <v>11237</v>
      </c>
      <c r="D2964" s="9">
        <v>0</v>
      </c>
      <c r="E2964" s="9">
        <v>1732307.5169143677</v>
      </c>
      <c r="F2964" s="257" t="s">
        <v>15254</v>
      </c>
      <c r="G2964" s="9"/>
      <c r="H2964" s="257" t="s">
        <v>21076</v>
      </c>
      <c r="I2964" s="9">
        <v>2</v>
      </c>
    </row>
    <row r="2965" spans="1:9">
      <c r="A2965" s="257" t="s">
        <v>4063</v>
      </c>
      <c r="B2965" s="9">
        <v>10</v>
      </c>
      <c r="C2965" s="257" t="s">
        <v>11238</v>
      </c>
      <c r="D2965" s="9">
        <v>-1811.5753386387962</v>
      </c>
      <c r="E2965" s="9">
        <v>1732307.5169143677</v>
      </c>
      <c r="F2965" s="257" t="s">
        <v>15254</v>
      </c>
      <c r="G2965" s="9"/>
      <c r="H2965" s="257" t="s">
        <v>21077</v>
      </c>
      <c r="I2965" s="9">
        <v>2</v>
      </c>
    </row>
    <row r="2966" spans="1:9">
      <c r="A2966" s="257" t="s">
        <v>4064</v>
      </c>
      <c r="B2966" s="9">
        <v>10</v>
      </c>
      <c r="C2966" s="257" t="s">
        <v>11239</v>
      </c>
      <c r="D2966" s="9">
        <v>1641412.0193653107</v>
      </c>
      <c r="E2966" s="9">
        <v>1732307.5169143677</v>
      </c>
      <c r="F2966" s="257" t="s">
        <v>15255</v>
      </c>
      <c r="G2966" s="9"/>
      <c r="H2966" s="257" t="s">
        <v>21078</v>
      </c>
      <c r="I2966" s="9">
        <v>2</v>
      </c>
    </row>
    <row r="2967" spans="1:9">
      <c r="A2967" s="257" t="s">
        <v>4065</v>
      </c>
      <c r="B2967" s="9">
        <v>10</v>
      </c>
      <c r="C2967" s="257" t="s">
        <v>11240</v>
      </c>
      <c r="D2967" s="9">
        <v>30399037578.359196</v>
      </c>
      <c r="E2967" s="9">
        <v>1732307.5169143677</v>
      </c>
      <c r="F2967" s="257" t="s">
        <v>15255</v>
      </c>
      <c r="G2967" s="9"/>
      <c r="H2967" s="257" t="s">
        <v>21079</v>
      </c>
      <c r="I2967" s="9">
        <v>2</v>
      </c>
    </row>
    <row r="2968" spans="1:9">
      <c r="A2968" s="257" t="s">
        <v>4066</v>
      </c>
      <c r="B2968" s="9">
        <v>10</v>
      </c>
      <c r="C2968" s="257" t="s">
        <v>11241</v>
      </c>
      <c r="D2968" s="9">
        <v>0.94752923677721923</v>
      </c>
      <c r="E2968" s="9">
        <v>1732307.5169143677</v>
      </c>
      <c r="F2968" s="257" t="s">
        <v>15255</v>
      </c>
      <c r="G2968" s="9"/>
      <c r="H2968" s="257" t="s">
        <v>21080</v>
      </c>
      <c r="I2968" s="9">
        <v>2</v>
      </c>
    </row>
    <row r="2969" spans="1:9">
      <c r="A2969" s="257" t="s">
        <v>4067</v>
      </c>
      <c r="B2969" s="9">
        <v>10</v>
      </c>
      <c r="C2969" s="257" t="s">
        <v>11242</v>
      </c>
      <c r="D2969" s="9">
        <v>17548.291675433455</v>
      </c>
      <c r="E2969" s="9">
        <v>1732307.5169143677</v>
      </c>
      <c r="F2969" s="257" t="s">
        <v>15255</v>
      </c>
      <c r="G2969" s="9"/>
      <c r="H2969" s="257" t="s">
        <v>21081</v>
      </c>
      <c r="I2969" s="9">
        <v>2</v>
      </c>
    </row>
    <row r="2970" spans="1:9">
      <c r="A2970" s="257" t="s">
        <v>4068</v>
      </c>
      <c r="B2970" s="9">
        <v>10</v>
      </c>
      <c r="C2970" s="257" t="s">
        <v>11243</v>
      </c>
      <c r="D2970" s="9">
        <v>773112.82204818726</v>
      </c>
      <c r="E2970" s="9">
        <v>1732307.5169143677</v>
      </c>
      <c r="F2970" s="257" t="s">
        <v>15256</v>
      </c>
      <c r="G2970" s="9"/>
      <c r="H2970" s="257" t="s">
        <v>21082</v>
      </c>
      <c r="I2970" s="9">
        <v>2</v>
      </c>
    </row>
    <row r="2971" spans="1:9">
      <c r="A2971" s="257" t="s">
        <v>4069</v>
      </c>
      <c r="B2971" s="9">
        <v>10</v>
      </c>
      <c r="C2971" s="257" t="s">
        <v>11244</v>
      </c>
      <c r="D2971" s="9">
        <v>5282131013.8583517</v>
      </c>
      <c r="E2971" s="9">
        <v>1732307.5169143677</v>
      </c>
      <c r="F2971" s="257" t="s">
        <v>15256</v>
      </c>
      <c r="G2971" s="9"/>
      <c r="H2971" s="257" t="s">
        <v>21083</v>
      </c>
      <c r="I2971" s="9">
        <v>2</v>
      </c>
    </row>
    <row r="2972" spans="1:9">
      <c r="A2972" s="257" t="s">
        <v>4070</v>
      </c>
      <c r="B2972" s="9">
        <v>10</v>
      </c>
      <c r="C2972" s="257" t="s">
        <v>11245</v>
      </c>
      <c r="D2972" s="9">
        <v>0.44629075063143314</v>
      </c>
      <c r="E2972" s="9">
        <v>1732307.5169143677</v>
      </c>
      <c r="F2972" s="257" t="s">
        <v>15256</v>
      </c>
      <c r="G2972" s="9"/>
      <c r="H2972" s="257" t="s">
        <v>21084</v>
      </c>
      <c r="I2972" s="9">
        <v>2</v>
      </c>
    </row>
    <row r="2973" spans="1:9">
      <c r="A2973" s="257" t="s">
        <v>4071</v>
      </c>
      <c r="B2973" s="9">
        <v>10</v>
      </c>
      <c r="C2973" s="257" t="s">
        <v>11246</v>
      </c>
      <c r="D2973" s="9">
        <v>3049.1878389277122</v>
      </c>
      <c r="E2973" s="9">
        <v>1732307.5169143677</v>
      </c>
      <c r="F2973" s="257" t="s">
        <v>15256</v>
      </c>
      <c r="G2973" s="9"/>
      <c r="H2973" s="257" t="s">
        <v>21085</v>
      </c>
      <c r="I2973" s="9">
        <v>2</v>
      </c>
    </row>
    <row r="2974" spans="1:9">
      <c r="A2974" s="257" t="s">
        <v>4072</v>
      </c>
      <c r="B2974" s="9">
        <v>10</v>
      </c>
      <c r="C2974" s="257" t="s">
        <v>11247</v>
      </c>
      <c r="D2974" s="9">
        <v>1585486.8079090118</v>
      </c>
      <c r="E2974" s="9">
        <v>1732307.5169143677</v>
      </c>
      <c r="F2974" s="257" t="s">
        <v>15257</v>
      </c>
      <c r="G2974" s="9"/>
      <c r="H2974" s="257" t="s">
        <v>21086</v>
      </c>
      <c r="I2974" s="9">
        <v>2</v>
      </c>
    </row>
    <row r="2975" spans="1:9">
      <c r="A2975" s="257" t="s">
        <v>4073</v>
      </c>
      <c r="B2975" s="9">
        <v>10</v>
      </c>
      <c r="C2975" s="257" t="s">
        <v>11248</v>
      </c>
      <c r="D2975" s="9">
        <v>16011145038.482927</v>
      </c>
      <c r="E2975" s="9">
        <v>1732307.5169143677</v>
      </c>
      <c r="F2975" s="257" t="s">
        <v>15257</v>
      </c>
      <c r="G2975" s="9"/>
      <c r="H2975" s="257" t="s">
        <v>21087</v>
      </c>
      <c r="I2975" s="9">
        <v>2</v>
      </c>
    </row>
    <row r="2976" spans="1:9">
      <c r="A2976" s="257" t="s">
        <v>4074</v>
      </c>
      <c r="B2976" s="9">
        <v>10</v>
      </c>
      <c r="C2976" s="257" t="s">
        <v>11249</v>
      </c>
      <c r="D2976" s="9">
        <v>0.91524558568742065</v>
      </c>
      <c r="E2976" s="9">
        <v>1732307.5169143677</v>
      </c>
      <c r="F2976" s="257" t="s">
        <v>15257</v>
      </c>
      <c r="G2976" s="9"/>
      <c r="H2976" s="257" t="s">
        <v>21088</v>
      </c>
      <c r="I2976" s="9">
        <v>2</v>
      </c>
    </row>
    <row r="2977" spans="1:9">
      <c r="A2977" s="257" t="s">
        <v>4075</v>
      </c>
      <c r="B2977" s="9">
        <v>10</v>
      </c>
      <c r="C2977" s="257" t="s">
        <v>11250</v>
      </c>
      <c r="D2977" s="9">
        <v>9242.6690308441339</v>
      </c>
      <c r="E2977" s="9">
        <v>1732307.5169143677</v>
      </c>
      <c r="F2977" s="257" t="s">
        <v>15257</v>
      </c>
      <c r="G2977" s="9"/>
      <c r="H2977" s="257" t="s">
        <v>21089</v>
      </c>
      <c r="I2977" s="9">
        <v>2</v>
      </c>
    </row>
    <row r="2978" spans="1:9">
      <c r="A2978" s="257" t="s">
        <v>4076</v>
      </c>
      <c r="B2978" s="9">
        <v>10</v>
      </c>
      <c r="C2978" s="257" t="s">
        <v>11251</v>
      </c>
      <c r="D2978" s="9">
        <v>0</v>
      </c>
      <c r="E2978" s="9">
        <v>1732307.5169143677</v>
      </c>
      <c r="F2978" s="257" t="s">
        <v>15258</v>
      </c>
      <c r="G2978" s="9"/>
      <c r="H2978" s="257" t="s">
        <v>21090</v>
      </c>
      <c r="I2978" s="9">
        <v>2</v>
      </c>
    </row>
    <row r="2979" spans="1:9">
      <c r="A2979" s="257" t="s">
        <v>4077</v>
      </c>
      <c r="B2979" s="9">
        <v>10</v>
      </c>
      <c r="C2979" s="257" t="s">
        <v>11252</v>
      </c>
      <c r="D2979" s="9">
        <v>0</v>
      </c>
      <c r="E2979" s="9">
        <v>1732307.5169143677</v>
      </c>
      <c r="F2979" s="257" t="s">
        <v>15258</v>
      </c>
      <c r="G2979" s="9"/>
      <c r="H2979" s="257" t="s">
        <v>21091</v>
      </c>
      <c r="I2979" s="9">
        <v>2</v>
      </c>
    </row>
    <row r="2980" spans="1:9">
      <c r="A2980" s="257" t="s">
        <v>4078</v>
      </c>
      <c r="B2980" s="9">
        <v>10</v>
      </c>
      <c r="C2980" s="257" t="s">
        <v>11253</v>
      </c>
      <c r="D2980" s="9">
        <v>0</v>
      </c>
      <c r="E2980" s="9">
        <v>1732307.5169143677</v>
      </c>
      <c r="F2980" s="257" t="s">
        <v>15258</v>
      </c>
      <c r="G2980" s="9"/>
      <c r="H2980" s="257" t="s">
        <v>21092</v>
      </c>
      <c r="I2980" s="9">
        <v>2</v>
      </c>
    </row>
    <row r="2981" spans="1:9">
      <c r="A2981" s="257" t="s">
        <v>4079</v>
      </c>
      <c r="B2981" s="9">
        <v>10</v>
      </c>
      <c r="C2981" s="257" t="s">
        <v>11254</v>
      </c>
      <c r="D2981" s="9">
        <v>0</v>
      </c>
      <c r="E2981" s="9">
        <v>1732307.5169143677</v>
      </c>
      <c r="F2981" s="257" t="s">
        <v>15258</v>
      </c>
      <c r="G2981" s="9"/>
      <c r="H2981" s="257" t="s">
        <v>21093</v>
      </c>
      <c r="I2981" s="9">
        <v>2</v>
      </c>
    </row>
    <row r="2982" spans="1:9">
      <c r="A2982" s="257" t="s">
        <v>4080</v>
      </c>
      <c r="B2982" s="9">
        <v>1</v>
      </c>
      <c r="C2982" s="257" t="s">
        <v>11255</v>
      </c>
      <c r="D2982" s="9">
        <v>1.9764980969256378E-3</v>
      </c>
      <c r="E2982" s="9"/>
      <c r="F2982" s="257" t="s">
        <v>15259</v>
      </c>
      <c r="G2982" s="9"/>
      <c r="H2982" s="257" t="s">
        <v>21094</v>
      </c>
      <c r="I2982" s="9">
        <v>2</v>
      </c>
    </row>
    <row r="2983" spans="1:9">
      <c r="A2983" s="257" t="s">
        <v>4081</v>
      </c>
      <c r="B2983" s="9">
        <v>1</v>
      </c>
      <c r="C2983" s="257" t="s">
        <v>11255</v>
      </c>
      <c r="D2983" s="9">
        <v>2.1106273089406815E-3</v>
      </c>
      <c r="E2983" s="9"/>
      <c r="F2983" s="257" t="s">
        <v>15260</v>
      </c>
      <c r="G2983" s="9"/>
      <c r="H2983" s="257" t="s">
        <v>21095</v>
      </c>
      <c r="I2983" s="9">
        <v>2</v>
      </c>
    </row>
    <row r="2984" spans="1:9">
      <c r="A2984" s="257" t="s">
        <v>4082</v>
      </c>
      <c r="B2984" s="9">
        <v>1</v>
      </c>
      <c r="C2984" s="257" t="s">
        <v>11255</v>
      </c>
      <c r="D2984" s="9">
        <v>2.4232546992600931E-3</v>
      </c>
      <c r="E2984" s="9"/>
      <c r="F2984" s="257" t="s">
        <v>15261</v>
      </c>
      <c r="G2984" s="9"/>
      <c r="H2984" s="257" t="s">
        <v>21096</v>
      </c>
      <c r="I2984" s="9">
        <v>2</v>
      </c>
    </row>
    <row r="2985" spans="1:9">
      <c r="A2985" s="257" t="s">
        <v>4083</v>
      </c>
      <c r="B2985" s="9">
        <v>1</v>
      </c>
      <c r="C2985" s="257" t="s">
        <v>11255</v>
      </c>
      <c r="D2985" s="9">
        <v>0</v>
      </c>
      <c r="E2985" s="9"/>
      <c r="F2985" s="257" t="s">
        <v>15262</v>
      </c>
      <c r="G2985" s="9"/>
      <c r="H2985" s="257" t="s">
        <v>21097</v>
      </c>
      <c r="I2985" s="9">
        <v>2</v>
      </c>
    </row>
    <row r="2986" spans="1:9">
      <c r="A2986" s="257" t="s">
        <v>4084</v>
      </c>
      <c r="B2986" s="9">
        <v>1</v>
      </c>
      <c r="C2986" s="257" t="s">
        <v>11255</v>
      </c>
      <c r="D2986" s="9">
        <v>1.341292120150436E-4</v>
      </c>
      <c r="E2986" s="9"/>
      <c r="F2986" s="257" t="s">
        <v>15263</v>
      </c>
      <c r="G2986" s="9"/>
      <c r="H2986" s="257" t="s">
        <v>21098</v>
      </c>
      <c r="I2986" s="9">
        <v>2</v>
      </c>
    </row>
    <row r="2987" spans="1:9">
      <c r="A2987" s="257" t="s">
        <v>4085</v>
      </c>
      <c r="B2987" s="9">
        <v>1</v>
      </c>
      <c r="C2987" s="257" t="s">
        <v>11255</v>
      </c>
      <c r="D2987" s="9">
        <v>4.5338820082007755E-3</v>
      </c>
      <c r="E2987" s="9"/>
      <c r="F2987" s="257" t="s">
        <v>15264</v>
      </c>
      <c r="G2987" s="9"/>
      <c r="H2987" s="257" t="s">
        <v>21099</v>
      </c>
      <c r="I2987" s="9">
        <v>2</v>
      </c>
    </row>
    <row r="2988" spans="1:9">
      <c r="A2988" s="257" t="s">
        <v>4086</v>
      </c>
      <c r="B2988" s="9">
        <v>1</v>
      </c>
      <c r="C2988" s="257" t="s">
        <v>11255</v>
      </c>
      <c r="D2988" s="9">
        <v>4.3997527961857309E-3</v>
      </c>
      <c r="E2988" s="9"/>
      <c r="F2988" s="257" t="s">
        <v>15265</v>
      </c>
      <c r="G2988" s="9"/>
      <c r="H2988" s="257" t="s">
        <v>21100</v>
      </c>
      <c r="I2988" s="9">
        <v>2</v>
      </c>
    </row>
    <row r="2989" spans="1:9">
      <c r="A2989" s="257" t="s">
        <v>4087</v>
      </c>
      <c r="B2989" s="9">
        <v>1</v>
      </c>
      <c r="C2989" s="257" t="s">
        <v>11255</v>
      </c>
      <c r="D2989" s="9">
        <v>4.5338820082007755E-3</v>
      </c>
      <c r="E2989" s="9"/>
      <c r="F2989" s="257" t="s">
        <v>15266</v>
      </c>
      <c r="G2989" s="9"/>
      <c r="H2989" s="257" t="s">
        <v>21101</v>
      </c>
      <c r="I2989" s="9">
        <v>2</v>
      </c>
    </row>
    <row r="2990" spans="1:9">
      <c r="A2990" s="257" t="s">
        <v>4088</v>
      </c>
      <c r="B2990" s="9">
        <v>1</v>
      </c>
      <c r="C2990" s="257" t="s">
        <v>11255</v>
      </c>
      <c r="D2990" s="9">
        <v>5.8260644026284199E-3</v>
      </c>
      <c r="E2990" s="9"/>
      <c r="F2990" s="257" t="s">
        <v>15267</v>
      </c>
      <c r="G2990" s="9"/>
      <c r="H2990" s="257" t="s">
        <v>21102</v>
      </c>
      <c r="I2990" s="9">
        <v>2</v>
      </c>
    </row>
    <row r="2991" spans="1:9">
      <c r="A2991" s="257" t="s">
        <v>4089</v>
      </c>
      <c r="B2991" s="9">
        <v>1</v>
      </c>
      <c r="C2991" s="257" t="s">
        <v>11255</v>
      </c>
      <c r="D2991" s="9">
        <v>5.9601936146434628E-3</v>
      </c>
      <c r="E2991" s="9"/>
      <c r="F2991" s="257" t="s">
        <v>15268</v>
      </c>
      <c r="G2991" s="9"/>
      <c r="H2991" s="257" t="s">
        <v>21103</v>
      </c>
      <c r="I2991" s="9">
        <v>2</v>
      </c>
    </row>
    <row r="2992" spans="1:9">
      <c r="A2992" s="257" t="s">
        <v>4090</v>
      </c>
      <c r="B2992" s="9">
        <v>1</v>
      </c>
      <c r="C2992" s="257" t="s">
        <v>11255</v>
      </c>
      <c r="D2992" s="9">
        <v>-1.4263116064426882E-3</v>
      </c>
      <c r="E2992" s="9"/>
      <c r="F2992" s="257" t="s">
        <v>15269</v>
      </c>
      <c r="G2992" s="9"/>
      <c r="H2992" s="257" t="s">
        <v>21104</v>
      </c>
      <c r="I2992" s="9">
        <v>2</v>
      </c>
    </row>
    <row r="2993" spans="1:9">
      <c r="A2993" s="257" t="s">
        <v>4091</v>
      </c>
      <c r="B2993" s="9">
        <v>1</v>
      </c>
      <c r="C2993" s="257" t="s">
        <v>11255</v>
      </c>
      <c r="D2993" s="9">
        <v>0</v>
      </c>
      <c r="E2993" s="9"/>
      <c r="F2993" s="257" t="s">
        <v>15270</v>
      </c>
      <c r="G2993" s="9"/>
      <c r="H2993" s="257" t="s">
        <v>21105</v>
      </c>
      <c r="I2993" s="9">
        <v>2</v>
      </c>
    </row>
    <row r="2994" spans="1:9">
      <c r="A2994" s="257" t="s">
        <v>4092</v>
      </c>
      <c r="B2994" s="9">
        <v>1</v>
      </c>
      <c r="C2994" s="257" t="s">
        <v>11255</v>
      </c>
      <c r="D2994" s="9">
        <v>0</v>
      </c>
      <c r="E2994" s="9"/>
      <c r="F2994" s="257" t="s">
        <v>15271</v>
      </c>
      <c r="G2994" s="9"/>
      <c r="H2994" s="257" t="s">
        <v>21106</v>
      </c>
      <c r="I2994" s="9">
        <v>2</v>
      </c>
    </row>
    <row r="2995" spans="1:9">
      <c r="A2995" s="257" t="s">
        <v>4093</v>
      </c>
      <c r="B2995" s="9">
        <v>1</v>
      </c>
      <c r="C2995" s="257" t="s">
        <v>11255</v>
      </c>
      <c r="D2995" s="9">
        <v>0</v>
      </c>
      <c r="E2995" s="9"/>
      <c r="F2995" s="257" t="s">
        <v>15272</v>
      </c>
      <c r="G2995" s="9"/>
      <c r="H2995" s="257" t="s">
        <v>21107</v>
      </c>
      <c r="I2995" s="9">
        <v>2</v>
      </c>
    </row>
    <row r="2996" spans="1:9">
      <c r="A2996" s="257" t="s">
        <v>4094</v>
      </c>
      <c r="B2996" s="9">
        <v>1</v>
      </c>
      <c r="C2996" s="257" t="s">
        <v>11255</v>
      </c>
      <c r="D2996" s="9">
        <v>0</v>
      </c>
      <c r="E2996" s="9"/>
      <c r="F2996" s="257" t="s">
        <v>15273</v>
      </c>
      <c r="G2996" s="9"/>
      <c r="H2996" s="257" t="s">
        <v>21108</v>
      </c>
      <c r="I2996" s="9">
        <v>2</v>
      </c>
    </row>
    <row r="2997" spans="1:9">
      <c r="A2997" s="257" t="s">
        <v>4095</v>
      </c>
      <c r="B2997" s="9">
        <v>1</v>
      </c>
      <c r="C2997" s="257" t="s">
        <v>11255</v>
      </c>
      <c r="D2997" s="9">
        <v>1.341292120150436E-4</v>
      </c>
      <c r="E2997" s="9"/>
      <c r="F2997" s="257" t="s">
        <v>15274</v>
      </c>
      <c r="G2997" s="9"/>
      <c r="H2997" s="257" t="s">
        <v>21109</v>
      </c>
      <c r="I2997" s="9">
        <v>2</v>
      </c>
    </row>
    <row r="2998" spans="1:9">
      <c r="A2998" s="257" t="s">
        <v>4096</v>
      </c>
      <c r="B2998" s="9">
        <v>1</v>
      </c>
      <c r="C2998" s="257" t="s">
        <v>11255</v>
      </c>
      <c r="D2998" s="9">
        <v>0</v>
      </c>
      <c r="E2998" s="9"/>
      <c r="F2998" s="257" t="s">
        <v>15275</v>
      </c>
      <c r="G2998" s="9"/>
      <c r="H2998" s="257" t="s">
        <v>21110</v>
      </c>
      <c r="I2998" s="9">
        <v>2</v>
      </c>
    </row>
    <row r="2999" spans="1:9">
      <c r="A2999" s="257" t="s">
        <v>4097</v>
      </c>
      <c r="B2999" s="9">
        <v>1</v>
      </c>
      <c r="C2999" s="257" t="s">
        <v>11255</v>
      </c>
      <c r="D2999" s="9">
        <v>2.9637684958593105E-3</v>
      </c>
      <c r="E2999" s="9"/>
      <c r="F2999" s="257" t="s">
        <v>15276</v>
      </c>
      <c r="G2999" s="9"/>
      <c r="H2999" s="257" t="s">
        <v>21111</v>
      </c>
      <c r="I2999" s="9">
        <v>2</v>
      </c>
    </row>
    <row r="3000" spans="1:9">
      <c r="A3000" s="257" t="s">
        <v>4098</v>
      </c>
      <c r="B3000" s="9">
        <v>1</v>
      </c>
      <c r="C3000" s="257" t="s">
        <v>11255</v>
      </c>
      <c r="D3000" s="9">
        <v>-8.2106312216385544E-4</v>
      </c>
      <c r="E3000" s="9"/>
      <c r="F3000" s="257" t="s">
        <v>15277</v>
      </c>
      <c r="G3000" s="9"/>
      <c r="H3000" s="257" t="s">
        <v>21112</v>
      </c>
      <c r="I3000" s="9">
        <v>2</v>
      </c>
    </row>
    <row r="3001" spans="1:9">
      <c r="A3001" s="257" t="s">
        <v>4099</v>
      </c>
      <c r="B3001" s="9">
        <v>1</v>
      </c>
      <c r="C3001" s="257" t="s">
        <v>11255</v>
      </c>
      <c r="D3001" s="9">
        <v>2.1427053736954547E-3</v>
      </c>
      <c r="E3001" s="9"/>
      <c r="F3001" s="257" t="s">
        <v>15278</v>
      </c>
      <c r="G3001" s="9"/>
      <c r="H3001" s="257" t="s">
        <v>21113</v>
      </c>
      <c r="I3001" s="9">
        <v>2</v>
      </c>
    </row>
    <row r="3002" spans="1:9">
      <c r="A3002" s="257" t="s">
        <v>4100</v>
      </c>
      <c r="B3002" s="9">
        <v>1</v>
      </c>
      <c r="C3002" s="257" t="s">
        <v>11255</v>
      </c>
      <c r="D3002" s="9">
        <v>1.935870185192383E-3</v>
      </c>
      <c r="E3002" s="9"/>
      <c r="F3002" s="257" t="s">
        <v>15279</v>
      </c>
      <c r="G3002" s="9"/>
      <c r="H3002" s="257" t="s">
        <v>21114</v>
      </c>
      <c r="I3002" s="9">
        <v>2</v>
      </c>
    </row>
    <row r="3003" spans="1:9">
      <c r="A3003" s="257" t="s">
        <v>4101</v>
      </c>
      <c r="B3003" s="9">
        <v>1</v>
      </c>
      <c r="C3003" s="257" t="s">
        <v>11255</v>
      </c>
      <c r="D3003" s="9">
        <v>1.8816180557556252E-3</v>
      </c>
      <c r="E3003" s="9"/>
      <c r="F3003" s="257" t="s">
        <v>15280</v>
      </c>
      <c r="G3003" s="9"/>
      <c r="H3003" s="257" t="s">
        <v>21115</v>
      </c>
      <c r="I3003" s="9">
        <v>2</v>
      </c>
    </row>
    <row r="3004" spans="1:9">
      <c r="A3004" s="257" t="s">
        <v>4102</v>
      </c>
      <c r="B3004" s="9">
        <v>1</v>
      </c>
      <c r="C3004" s="257" t="s">
        <v>11255</v>
      </c>
      <c r="D3004" s="9">
        <v>3.8174882409480085E-3</v>
      </c>
      <c r="E3004" s="9"/>
      <c r="F3004" s="257" t="s">
        <v>15281</v>
      </c>
      <c r="G3004" s="9"/>
      <c r="H3004" s="257" t="s">
        <v>21116</v>
      </c>
      <c r="I3004" s="9">
        <v>2</v>
      </c>
    </row>
    <row r="3005" spans="1:9">
      <c r="A3005" s="257" t="s">
        <v>4103</v>
      </c>
      <c r="B3005" s="9">
        <v>1</v>
      </c>
      <c r="C3005" s="257" t="s">
        <v>11255</v>
      </c>
      <c r="D3005" s="9">
        <v>-3.2078064754773199E-5</v>
      </c>
      <c r="E3005" s="9"/>
      <c r="F3005" s="257" t="s">
        <v>15282</v>
      </c>
      <c r="G3005" s="9"/>
      <c r="H3005" s="257" t="s">
        <v>21117</v>
      </c>
      <c r="I3005" s="9">
        <v>2</v>
      </c>
    </row>
    <row r="3006" spans="1:9">
      <c r="A3006" s="257" t="s">
        <v>4104</v>
      </c>
      <c r="B3006" s="9">
        <v>1</v>
      </c>
      <c r="C3006" s="257" t="s">
        <v>11255</v>
      </c>
      <c r="D3006" s="9">
        <v>-1.3942335416879149E-3</v>
      </c>
      <c r="E3006" s="9"/>
      <c r="F3006" s="257" t="s">
        <v>15283</v>
      </c>
      <c r="G3006" s="9"/>
      <c r="H3006" s="257" t="s">
        <v>21118</v>
      </c>
      <c r="I3006" s="9">
        <v>2</v>
      </c>
    </row>
    <row r="3007" spans="1:9">
      <c r="A3007" s="257" t="s">
        <v>4105</v>
      </c>
      <c r="B3007" s="9">
        <v>2</v>
      </c>
      <c r="C3007" s="257" t="s">
        <v>11255</v>
      </c>
      <c r="D3007" s="9">
        <v>2.7813114261299753E-3</v>
      </c>
      <c r="E3007" s="9"/>
      <c r="F3007" s="257" t="s">
        <v>15284</v>
      </c>
      <c r="G3007" s="9"/>
      <c r="H3007" s="257" t="s">
        <v>21119</v>
      </c>
      <c r="I3007" s="9">
        <v>2</v>
      </c>
    </row>
    <row r="3008" spans="1:9">
      <c r="A3008" s="257" t="s">
        <v>4106</v>
      </c>
      <c r="B3008" s="9">
        <v>2</v>
      </c>
      <c r="C3008" s="257" t="s">
        <v>11255</v>
      </c>
      <c r="D3008" s="9">
        <v>2.9572171706611985E-3</v>
      </c>
      <c r="E3008" s="9"/>
      <c r="F3008" s="257" t="s">
        <v>15285</v>
      </c>
      <c r="G3008" s="9"/>
      <c r="H3008" s="257" t="s">
        <v>21120</v>
      </c>
      <c r="I3008" s="9">
        <v>2</v>
      </c>
    </row>
    <row r="3009" spans="1:9">
      <c r="A3009" s="257" t="s">
        <v>4107</v>
      </c>
      <c r="B3009" s="9">
        <v>2</v>
      </c>
      <c r="C3009" s="257" t="s">
        <v>11255</v>
      </c>
      <c r="D3009" s="9">
        <v>2.9511846795462243E-3</v>
      </c>
      <c r="E3009" s="9"/>
      <c r="F3009" s="257" t="s">
        <v>15286</v>
      </c>
      <c r="G3009" s="9"/>
      <c r="H3009" s="257" t="s">
        <v>21121</v>
      </c>
      <c r="I3009" s="9">
        <v>2</v>
      </c>
    </row>
    <row r="3010" spans="1:9">
      <c r="A3010" s="257" t="s">
        <v>4108</v>
      </c>
      <c r="B3010" s="9">
        <v>2</v>
      </c>
      <c r="C3010" s="257" t="s">
        <v>11255</v>
      </c>
      <c r="D3010" s="9">
        <v>0</v>
      </c>
      <c r="E3010" s="9"/>
      <c r="F3010" s="257" t="s">
        <v>15287</v>
      </c>
      <c r="G3010" s="9"/>
      <c r="H3010" s="257" t="s">
        <v>21122</v>
      </c>
      <c r="I3010" s="9">
        <v>2</v>
      </c>
    </row>
    <row r="3011" spans="1:9">
      <c r="A3011" s="257" t="s">
        <v>4109</v>
      </c>
      <c r="B3011" s="9">
        <v>2</v>
      </c>
      <c r="C3011" s="257" t="s">
        <v>11255</v>
      </c>
      <c r="D3011" s="9">
        <v>1.7590574453122358E-4</v>
      </c>
      <c r="E3011" s="9"/>
      <c r="F3011" s="257" t="s">
        <v>15288</v>
      </c>
      <c r="G3011" s="9"/>
      <c r="H3011" s="257" t="s">
        <v>21123</v>
      </c>
      <c r="I3011" s="9">
        <v>2</v>
      </c>
    </row>
    <row r="3012" spans="1:9">
      <c r="A3012" s="257" t="s">
        <v>4110</v>
      </c>
      <c r="B3012" s="9">
        <v>2</v>
      </c>
      <c r="C3012" s="257" t="s">
        <v>11255</v>
      </c>
      <c r="D3012" s="9">
        <v>5.9084018502074233E-3</v>
      </c>
      <c r="E3012" s="9"/>
      <c r="F3012" s="257" t="s">
        <v>15289</v>
      </c>
      <c r="G3012" s="9"/>
      <c r="H3012" s="257" t="s">
        <v>21124</v>
      </c>
      <c r="I3012" s="9">
        <v>2</v>
      </c>
    </row>
    <row r="3013" spans="1:9">
      <c r="A3013" s="257" t="s">
        <v>4111</v>
      </c>
      <c r="B3013" s="9">
        <v>2</v>
      </c>
      <c r="C3013" s="257" t="s">
        <v>11255</v>
      </c>
      <c r="D3013" s="9">
        <v>5.7324961056761997E-3</v>
      </c>
      <c r="E3013" s="9"/>
      <c r="F3013" s="257" t="s">
        <v>15290</v>
      </c>
      <c r="G3013" s="9"/>
      <c r="H3013" s="257" t="s">
        <v>21125</v>
      </c>
      <c r="I3013" s="9">
        <v>2</v>
      </c>
    </row>
    <row r="3014" spans="1:9">
      <c r="A3014" s="257" t="s">
        <v>4112</v>
      </c>
      <c r="B3014" s="9">
        <v>2</v>
      </c>
      <c r="C3014" s="257" t="s">
        <v>11255</v>
      </c>
      <c r="D3014" s="9">
        <v>5.9084018502074233E-3</v>
      </c>
      <c r="E3014" s="9"/>
      <c r="F3014" s="257" t="s">
        <v>15291</v>
      </c>
      <c r="G3014" s="9"/>
      <c r="H3014" s="257" t="s">
        <v>21126</v>
      </c>
      <c r="I3014" s="9">
        <v>2</v>
      </c>
    </row>
    <row r="3015" spans="1:9">
      <c r="A3015" s="257" t="s">
        <v>4113</v>
      </c>
      <c r="B3015" s="9">
        <v>2</v>
      </c>
      <c r="C3015" s="257" t="s">
        <v>11255</v>
      </c>
      <c r="D3015" s="9">
        <v>7.8395020184062383E-3</v>
      </c>
      <c r="E3015" s="9"/>
      <c r="F3015" s="257" t="s">
        <v>15292</v>
      </c>
      <c r="G3015" s="9"/>
      <c r="H3015" s="257" t="s">
        <v>21127</v>
      </c>
      <c r="I3015" s="9">
        <v>2</v>
      </c>
    </row>
    <row r="3016" spans="1:9">
      <c r="A3016" s="257" t="s">
        <v>4114</v>
      </c>
      <c r="B3016" s="9">
        <v>2</v>
      </c>
      <c r="C3016" s="257" t="s">
        <v>11255</v>
      </c>
      <c r="D3016" s="9">
        <v>8.0154077629374619E-3</v>
      </c>
      <c r="E3016" s="9"/>
      <c r="F3016" s="257" t="s">
        <v>15293</v>
      </c>
      <c r="G3016" s="9"/>
      <c r="H3016" s="257" t="s">
        <v>21128</v>
      </c>
      <c r="I3016" s="9">
        <v>2</v>
      </c>
    </row>
    <row r="3017" spans="1:9">
      <c r="A3017" s="257" t="s">
        <v>4115</v>
      </c>
      <c r="B3017" s="9">
        <v>2</v>
      </c>
      <c r="C3017" s="257" t="s">
        <v>11255</v>
      </c>
      <c r="D3017" s="9">
        <v>-2.1070059127300382E-3</v>
      </c>
      <c r="E3017" s="9"/>
      <c r="F3017" s="257" t="s">
        <v>15294</v>
      </c>
      <c r="G3017" s="9"/>
      <c r="H3017" s="257" t="s">
        <v>21129</v>
      </c>
      <c r="I3017" s="9">
        <v>2</v>
      </c>
    </row>
    <row r="3018" spans="1:9">
      <c r="A3018" s="257" t="s">
        <v>4116</v>
      </c>
      <c r="B3018" s="9">
        <v>2</v>
      </c>
      <c r="C3018" s="257" t="s">
        <v>11255</v>
      </c>
      <c r="D3018" s="9">
        <v>0</v>
      </c>
      <c r="E3018" s="9"/>
      <c r="F3018" s="257" t="s">
        <v>15295</v>
      </c>
      <c r="G3018" s="9"/>
      <c r="H3018" s="257" t="s">
        <v>21130</v>
      </c>
      <c r="I3018" s="9">
        <v>2</v>
      </c>
    </row>
    <row r="3019" spans="1:9">
      <c r="A3019" s="257" t="s">
        <v>4117</v>
      </c>
      <c r="B3019" s="9">
        <v>2</v>
      </c>
      <c r="C3019" s="257" t="s">
        <v>11255</v>
      </c>
      <c r="D3019" s="9">
        <v>0</v>
      </c>
      <c r="E3019" s="9"/>
      <c r="F3019" s="257" t="s">
        <v>15296</v>
      </c>
      <c r="G3019" s="9"/>
      <c r="H3019" s="257" t="s">
        <v>21131</v>
      </c>
      <c r="I3019" s="9">
        <v>2</v>
      </c>
    </row>
    <row r="3020" spans="1:9">
      <c r="A3020" s="257" t="s">
        <v>4118</v>
      </c>
      <c r="B3020" s="9">
        <v>2</v>
      </c>
      <c r="C3020" s="257" t="s">
        <v>11255</v>
      </c>
      <c r="D3020" s="9">
        <v>0</v>
      </c>
      <c r="E3020" s="9"/>
      <c r="F3020" s="257" t="s">
        <v>15297</v>
      </c>
      <c r="G3020" s="9"/>
      <c r="H3020" s="257" t="s">
        <v>21132</v>
      </c>
      <c r="I3020" s="9">
        <v>2</v>
      </c>
    </row>
    <row r="3021" spans="1:9">
      <c r="A3021" s="257" t="s">
        <v>4119</v>
      </c>
      <c r="B3021" s="9">
        <v>2</v>
      </c>
      <c r="C3021" s="257" t="s">
        <v>11255</v>
      </c>
      <c r="D3021" s="9">
        <v>0</v>
      </c>
      <c r="E3021" s="9"/>
      <c r="F3021" s="257" t="s">
        <v>15298</v>
      </c>
      <c r="G3021" s="9"/>
      <c r="H3021" s="257" t="s">
        <v>21133</v>
      </c>
      <c r="I3021" s="9">
        <v>2</v>
      </c>
    </row>
    <row r="3022" spans="1:9">
      <c r="A3022" s="257" t="s">
        <v>4120</v>
      </c>
      <c r="B3022" s="9">
        <v>2</v>
      </c>
      <c r="C3022" s="257" t="s">
        <v>11255</v>
      </c>
      <c r="D3022" s="9">
        <v>1.7590574453122358E-4</v>
      </c>
      <c r="E3022" s="9"/>
      <c r="F3022" s="257" t="s">
        <v>15299</v>
      </c>
      <c r="G3022" s="9"/>
      <c r="H3022" s="257" t="s">
        <v>21134</v>
      </c>
      <c r="I3022" s="9">
        <v>2</v>
      </c>
    </row>
    <row r="3023" spans="1:9">
      <c r="A3023" s="257" t="s">
        <v>4121</v>
      </c>
      <c r="B3023" s="9">
        <v>2</v>
      </c>
      <c r="C3023" s="257" t="s">
        <v>11255</v>
      </c>
      <c r="D3023" s="9">
        <v>0</v>
      </c>
      <c r="E3023" s="9"/>
      <c r="F3023" s="257" t="s">
        <v>15300</v>
      </c>
      <c r="G3023" s="9"/>
      <c r="H3023" s="257" t="s">
        <v>21135</v>
      </c>
      <c r="I3023" s="9">
        <v>2</v>
      </c>
    </row>
    <row r="3024" spans="1:9">
      <c r="A3024" s="257" t="s">
        <v>4122</v>
      </c>
      <c r="B3024" s="9">
        <v>2</v>
      </c>
      <c r="C3024" s="257" t="s">
        <v>11255</v>
      </c>
      <c r="D3024" s="9">
        <v>4.0050521392123737E-3</v>
      </c>
      <c r="E3024" s="9"/>
      <c r="F3024" s="257" t="s">
        <v>15301</v>
      </c>
      <c r="G3024" s="9"/>
      <c r="H3024" s="257" t="s">
        <v>21136</v>
      </c>
      <c r="I3024" s="9">
        <v>2</v>
      </c>
    </row>
    <row r="3025" spans="1:9">
      <c r="A3025" s="257" t="s">
        <v>4123</v>
      </c>
      <c r="B3025" s="9">
        <v>2</v>
      </c>
      <c r="C3025" s="257" t="s">
        <v>11255</v>
      </c>
      <c r="D3025" s="9">
        <v>-8.8912283985990786E-4</v>
      </c>
      <c r="E3025" s="9"/>
      <c r="F3025" s="257" t="s">
        <v>15302</v>
      </c>
      <c r="G3025" s="9"/>
      <c r="H3025" s="257" t="s">
        <v>21137</v>
      </c>
      <c r="I3025" s="9">
        <v>2</v>
      </c>
    </row>
    <row r="3026" spans="1:9">
      <c r="A3026" s="257" t="s">
        <v>4124</v>
      </c>
      <c r="B3026" s="9">
        <v>2</v>
      </c>
      <c r="C3026" s="257" t="s">
        <v>11255</v>
      </c>
      <c r="D3026" s="9">
        <v>3.1159292993524655E-3</v>
      </c>
      <c r="E3026" s="9"/>
      <c r="F3026" s="257" t="s">
        <v>15303</v>
      </c>
      <c r="G3026" s="9"/>
      <c r="H3026" s="257" t="s">
        <v>21138</v>
      </c>
      <c r="I3026" s="9">
        <v>2</v>
      </c>
    </row>
    <row r="3027" spans="1:9">
      <c r="A3027" s="257" t="s">
        <v>4125</v>
      </c>
      <c r="B3027" s="9">
        <v>2</v>
      </c>
      <c r="C3027" s="257" t="s">
        <v>11255</v>
      </c>
      <c r="D3027" s="9">
        <v>2.8384549789996832E-3</v>
      </c>
      <c r="E3027" s="9"/>
      <c r="F3027" s="257" t="s">
        <v>15304</v>
      </c>
      <c r="G3027" s="9"/>
      <c r="H3027" s="257" t="s">
        <v>21139</v>
      </c>
      <c r="I3027" s="9">
        <v>2</v>
      </c>
    </row>
    <row r="3028" spans="1:9">
      <c r="A3028" s="257" t="s">
        <v>4126</v>
      </c>
      <c r="B3028" s="9">
        <v>2</v>
      </c>
      <c r="C3028" s="257" t="s">
        <v>11255</v>
      </c>
      <c r="D3028" s="9">
        <v>2.0610234845853132E-3</v>
      </c>
      <c r="E3028" s="9"/>
      <c r="F3028" s="257" t="s">
        <v>15305</v>
      </c>
      <c r="G3028" s="9"/>
      <c r="H3028" s="257" t="s">
        <v>21140</v>
      </c>
      <c r="I3028" s="9">
        <v>2</v>
      </c>
    </row>
    <row r="3029" spans="1:9">
      <c r="A3029" s="257" t="s">
        <v>4127</v>
      </c>
      <c r="B3029" s="9">
        <v>2</v>
      </c>
      <c r="C3029" s="257" t="s">
        <v>11255</v>
      </c>
      <c r="D3029" s="9">
        <v>4.8994784635849964E-3</v>
      </c>
      <c r="E3029" s="9"/>
      <c r="F3029" s="257" t="s">
        <v>15306</v>
      </c>
      <c r="G3029" s="9"/>
      <c r="H3029" s="257" t="s">
        <v>21141</v>
      </c>
      <c r="I3029" s="9">
        <v>2</v>
      </c>
    </row>
    <row r="3030" spans="1:9">
      <c r="A3030" s="257" t="s">
        <v>4128</v>
      </c>
      <c r="B3030" s="9">
        <v>2</v>
      </c>
      <c r="C3030" s="257" t="s">
        <v>11255</v>
      </c>
      <c r="D3030" s="9">
        <v>-1.587121286912665E-4</v>
      </c>
      <c r="E3030" s="9"/>
      <c r="F3030" s="257" t="s">
        <v>15307</v>
      </c>
      <c r="G3030" s="9"/>
      <c r="H3030" s="257" t="s">
        <v>21142</v>
      </c>
      <c r="I3030" s="9">
        <v>2</v>
      </c>
    </row>
    <row r="3031" spans="1:9">
      <c r="A3031" s="257" t="s">
        <v>4129</v>
      </c>
      <c r="B3031" s="9">
        <v>2</v>
      </c>
      <c r="C3031" s="257" t="s">
        <v>11255</v>
      </c>
      <c r="D3031" s="9">
        <v>-1.9482937840387717E-3</v>
      </c>
      <c r="E3031" s="9"/>
      <c r="F3031" s="257" t="s">
        <v>15308</v>
      </c>
      <c r="G3031" s="9"/>
      <c r="H3031" s="257" t="s">
        <v>21143</v>
      </c>
      <c r="I3031" s="9">
        <v>2</v>
      </c>
    </row>
    <row r="3032" spans="1:9">
      <c r="A3032" s="257" t="s">
        <v>4130</v>
      </c>
      <c r="B3032" s="9">
        <v>3</v>
      </c>
      <c r="C3032" s="257" t="s">
        <v>11255</v>
      </c>
      <c r="D3032" s="9">
        <v>3.899709480543231E-3</v>
      </c>
      <c r="E3032" s="9"/>
      <c r="F3032" s="257" t="s">
        <v>15309</v>
      </c>
      <c r="G3032" s="9"/>
      <c r="H3032" s="257" t="s">
        <v>21144</v>
      </c>
      <c r="I3032" s="9">
        <v>2</v>
      </c>
    </row>
    <row r="3033" spans="1:9">
      <c r="A3033" s="257" t="s">
        <v>4131</v>
      </c>
      <c r="B3033" s="9">
        <v>3</v>
      </c>
      <c r="C3033" s="257" t="s">
        <v>11255</v>
      </c>
      <c r="D3033" s="9">
        <v>4.1264241545953427E-3</v>
      </c>
      <c r="E3033" s="9"/>
      <c r="F3033" s="257" t="s">
        <v>15310</v>
      </c>
      <c r="G3033" s="9"/>
      <c r="H3033" s="257" t="s">
        <v>21145</v>
      </c>
      <c r="I3033" s="9">
        <v>2</v>
      </c>
    </row>
    <row r="3034" spans="1:9">
      <c r="A3034" s="257" t="s">
        <v>4132</v>
      </c>
      <c r="B3034" s="9">
        <v>3</v>
      </c>
      <c r="C3034" s="257" t="s">
        <v>11255</v>
      </c>
      <c r="D3034" s="9">
        <v>2.9871158285149357E-3</v>
      </c>
      <c r="E3034" s="9"/>
      <c r="F3034" s="257" t="s">
        <v>15311</v>
      </c>
      <c r="G3034" s="9"/>
      <c r="H3034" s="257" t="s">
        <v>21146</v>
      </c>
      <c r="I3034" s="9">
        <v>2</v>
      </c>
    </row>
    <row r="3035" spans="1:9">
      <c r="A3035" s="257" t="s">
        <v>4133</v>
      </c>
      <c r="B3035" s="9">
        <v>3</v>
      </c>
      <c r="C3035" s="257" t="s">
        <v>11255</v>
      </c>
      <c r="D3035" s="9">
        <v>0</v>
      </c>
      <c r="E3035" s="9"/>
      <c r="F3035" s="257" t="s">
        <v>15312</v>
      </c>
      <c r="G3035" s="9"/>
      <c r="H3035" s="257" t="s">
        <v>21147</v>
      </c>
      <c r="I3035" s="9">
        <v>2</v>
      </c>
    </row>
    <row r="3036" spans="1:9">
      <c r="A3036" s="257" t="s">
        <v>4134</v>
      </c>
      <c r="B3036" s="9">
        <v>3</v>
      </c>
      <c r="C3036" s="257" t="s">
        <v>11255</v>
      </c>
      <c r="D3036" s="9">
        <v>2.2671467405211101E-4</v>
      </c>
      <c r="E3036" s="9"/>
      <c r="F3036" s="257" t="s">
        <v>15313</v>
      </c>
      <c r="G3036" s="9"/>
      <c r="H3036" s="257" t="s">
        <v>21148</v>
      </c>
      <c r="I3036" s="9">
        <v>2</v>
      </c>
    </row>
    <row r="3037" spans="1:9">
      <c r="A3037" s="257" t="s">
        <v>4135</v>
      </c>
      <c r="B3037" s="9">
        <v>3</v>
      </c>
      <c r="C3037" s="257" t="s">
        <v>11255</v>
      </c>
      <c r="D3037" s="9">
        <v>7.1135399831102775E-3</v>
      </c>
      <c r="E3037" s="9"/>
      <c r="F3037" s="257" t="s">
        <v>15314</v>
      </c>
      <c r="G3037" s="9"/>
      <c r="H3037" s="257" t="s">
        <v>21149</v>
      </c>
      <c r="I3037" s="9">
        <v>2</v>
      </c>
    </row>
    <row r="3038" spans="1:9">
      <c r="A3038" s="257" t="s">
        <v>4136</v>
      </c>
      <c r="B3038" s="9">
        <v>3</v>
      </c>
      <c r="C3038" s="257" t="s">
        <v>11255</v>
      </c>
      <c r="D3038" s="9">
        <v>6.8868253090581671E-3</v>
      </c>
      <c r="E3038" s="9"/>
      <c r="F3038" s="257" t="s">
        <v>15315</v>
      </c>
      <c r="G3038" s="9"/>
      <c r="H3038" s="257" t="s">
        <v>21150</v>
      </c>
      <c r="I3038" s="9">
        <v>2</v>
      </c>
    </row>
    <row r="3039" spans="1:9">
      <c r="A3039" s="257" t="s">
        <v>4137</v>
      </c>
      <c r="B3039" s="9">
        <v>3</v>
      </c>
      <c r="C3039" s="257" t="s">
        <v>11255</v>
      </c>
      <c r="D3039" s="9">
        <v>7.1135399831102775E-3</v>
      </c>
      <c r="E3039" s="9"/>
      <c r="F3039" s="257" t="s">
        <v>15316</v>
      </c>
      <c r="G3039" s="9"/>
      <c r="H3039" s="257" t="s">
        <v>21151</v>
      </c>
      <c r="I3039" s="9">
        <v>2</v>
      </c>
    </row>
    <row r="3040" spans="1:9">
      <c r="A3040" s="257" t="s">
        <v>4138</v>
      </c>
      <c r="B3040" s="9">
        <v>3</v>
      </c>
      <c r="C3040" s="257" t="s">
        <v>11255</v>
      </c>
      <c r="D3040" s="9">
        <v>8.7559282459016598E-3</v>
      </c>
      <c r="E3040" s="9"/>
      <c r="F3040" s="257" t="s">
        <v>15317</v>
      </c>
      <c r="G3040" s="9"/>
      <c r="H3040" s="257" t="s">
        <v>21152</v>
      </c>
      <c r="I3040" s="9">
        <v>2</v>
      </c>
    </row>
    <row r="3041" spans="1:9">
      <c r="A3041" s="257" t="s">
        <v>4139</v>
      </c>
      <c r="B3041" s="9">
        <v>3</v>
      </c>
      <c r="C3041" s="257" t="s">
        <v>11255</v>
      </c>
      <c r="D3041" s="9">
        <v>8.9826429199537719E-3</v>
      </c>
      <c r="E3041" s="9"/>
      <c r="F3041" s="257" t="s">
        <v>15318</v>
      </c>
      <c r="G3041" s="9"/>
      <c r="H3041" s="257" t="s">
        <v>21153</v>
      </c>
      <c r="I3041" s="9">
        <v>2</v>
      </c>
    </row>
    <row r="3042" spans="1:9">
      <c r="A3042" s="257" t="s">
        <v>4140</v>
      </c>
      <c r="B3042" s="9">
        <v>3</v>
      </c>
      <c r="C3042" s="257" t="s">
        <v>11255</v>
      </c>
      <c r="D3042" s="9">
        <v>-1.8691029368434935E-3</v>
      </c>
      <c r="E3042" s="9"/>
      <c r="F3042" s="257" t="s">
        <v>15319</v>
      </c>
      <c r="G3042" s="9"/>
      <c r="H3042" s="257" t="s">
        <v>21154</v>
      </c>
      <c r="I3042" s="9">
        <v>2</v>
      </c>
    </row>
    <row r="3043" spans="1:9">
      <c r="A3043" s="257" t="s">
        <v>4141</v>
      </c>
      <c r="B3043" s="9">
        <v>3</v>
      </c>
      <c r="C3043" s="257" t="s">
        <v>11255</v>
      </c>
      <c r="D3043" s="9">
        <v>0</v>
      </c>
      <c r="E3043" s="9"/>
      <c r="F3043" s="257" t="s">
        <v>15320</v>
      </c>
      <c r="G3043" s="9"/>
      <c r="H3043" s="257" t="s">
        <v>21155</v>
      </c>
      <c r="I3043" s="9">
        <v>2</v>
      </c>
    </row>
    <row r="3044" spans="1:9">
      <c r="A3044" s="257" t="s">
        <v>4142</v>
      </c>
      <c r="B3044" s="9">
        <v>3</v>
      </c>
      <c r="C3044" s="257" t="s">
        <v>11255</v>
      </c>
      <c r="D3044" s="9">
        <v>0</v>
      </c>
      <c r="E3044" s="9"/>
      <c r="F3044" s="257" t="s">
        <v>15321</v>
      </c>
      <c r="G3044" s="9"/>
      <c r="H3044" s="257" t="s">
        <v>21156</v>
      </c>
      <c r="I3044" s="9">
        <v>2</v>
      </c>
    </row>
    <row r="3045" spans="1:9">
      <c r="A3045" s="257" t="s">
        <v>4143</v>
      </c>
      <c r="B3045" s="9">
        <v>3</v>
      </c>
      <c r="C3045" s="257" t="s">
        <v>11255</v>
      </c>
      <c r="D3045" s="9">
        <v>0</v>
      </c>
      <c r="E3045" s="9"/>
      <c r="F3045" s="257" t="s">
        <v>15322</v>
      </c>
      <c r="G3045" s="9"/>
      <c r="H3045" s="257" t="s">
        <v>21157</v>
      </c>
      <c r="I3045" s="9">
        <v>2</v>
      </c>
    </row>
    <row r="3046" spans="1:9">
      <c r="A3046" s="257" t="s">
        <v>4144</v>
      </c>
      <c r="B3046" s="9">
        <v>3</v>
      </c>
      <c r="C3046" s="257" t="s">
        <v>11255</v>
      </c>
      <c r="D3046" s="9">
        <v>0</v>
      </c>
      <c r="E3046" s="9"/>
      <c r="F3046" s="257" t="s">
        <v>15323</v>
      </c>
      <c r="G3046" s="9"/>
      <c r="H3046" s="257" t="s">
        <v>21158</v>
      </c>
      <c r="I3046" s="9">
        <v>2</v>
      </c>
    </row>
    <row r="3047" spans="1:9">
      <c r="A3047" s="257" t="s">
        <v>4145</v>
      </c>
      <c r="B3047" s="9">
        <v>3</v>
      </c>
      <c r="C3047" s="257" t="s">
        <v>11255</v>
      </c>
      <c r="D3047" s="9">
        <v>2.2671467405211101E-4</v>
      </c>
      <c r="E3047" s="9"/>
      <c r="F3047" s="257" t="s">
        <v>15324</v>
      </c>
      <c r="G3047" s="9"/>
      <c r="H3047" s="257" t="s">
        <v>21159</v>
      </c>
      <c r="I3047" s="9">
        <v>2</v>
      </c>
    </row>
    <row r="3048" spans="1:9">
      <c r="A3048" s="257" t="s">
        <v>4146</v>
      </c>
      <c r="B3048" s="9">
        <v>3</v>
      </c>
      <c r="C3048" s="257" t="s">
        <v>11255</v>
      </c>
      <c r="D3048" s="9">
        <v>0</v>
      </c>
      <c r="E3048" s="9"/>
      <c r="F3048" s="257" t="s">
        <v>15325</v>
      </c>
      <c r="G3048" s="9"/>
      <c r="H3048" s="257" t="s">
        <v>21160</v>
      </c>
      <c r="I3048" s="9">
        <v>2</v>
      </c>
    </row>
    <row r="3049" spans="1:9">
      <c r="A3049" s="257" t="s">
        <v>4147</v>
      </c>
      <c r="B3049" s="9">
        <v>3</v>
      </c>
      <c r="C3049" s="257" t="s">
        <v>11255</v>
      </c>
      <c r="D3049" s="9">
        <v>5.2428860190884699E-3</v>
      </c>
      <c r="E3049" s="9"/>
      <c r="F3049" s="257" t="s">
        <v>15326</v>
      </c>
      <c r="G3049" s="9"/>
      <c r="H3049" s="257" t="s">
        <v>21161</v>
      </c>
      <c r="I3049" s="9">
        <v>2</v>
      </c>
    </row>
    <row r="3050" spans="1:9">
      <c r="A3050" s="257" t="s">
        <v>4148</v>
      </c>
      <c r="B3050" s="9">
        <v>3</v>
      </c>
      <c r="C3050" s="257" t="s">
        <v>11255</v>
      </c>
      <c r="D3050" s="9">
        <v>-8.9397089418065466E-4</v>
      </c>
      <c r="E3050" s="9"/>
      <c r="F3050" s="257" t="s">
        <v>15327</v>
      </c>
      <c r="G3050" s="9"/>
      <c r="H3050" s="257" t="s">
        <v>21162</v>
      </c>
      <c r="I3050" s="9">
        <v>2</v>
      </c>
    </row>
    <row r="3051" spans="1:9">
      <c r="A3051" s="257" t="s">
        <v>4149</v>
      </c>
      <c r="B3051" s="9">
        <v>3</v>
      </c>
      <c r="C3051" s="257" t="s">
        <v>11255</v>
      </c>
      <c r="D3051" s="9">
        <v>4.3489151249078151E-3</v>
      </c>
      <c r="E3051" s="9"/>
      <c r="F3051" s="257" t="s">
        <v>15328</v>
      </c>
      <c r="G3051" s="9"/>
      <c r="H3051" s="257" t="s">
        <v>21163</v>
      </c>
      <c r="I3051" s="9">
        <v>2</v>
      </c>
    </row>
    <row r="3052" spans="1:9">
      <c r="A3052" s="257" t="s">
        <v>4150</v>
      </c>
      <c r="B3052" s="9">
        <v>3</v>
      </c>
      <c r="C3052" s="257" t="s">
        <v>11255</v>
      </c>
      <c r="D3052" s="9">
        <v>2.5339738319654381E-3</v>
      </c>
      <c r="E3052" s="9"/>
      <c r="F3052" s="257" t="s">
        <v>15329</v>
      </c>
      <c r="G3052" s="9"/>
      <c r="H3052" s="257" t="s">
        <v>21164</v>
      </c>
      <c r="I3052" s="9">
        <v>2</v>
      </c>
    </row>
    <row r="3053" spans="1:9">
      <c r="A3053" s="257" t="s">
        <v>4151</v>
      </c>
      <c r="B3053" s="9">
        <v>3</v>
      </c>
      <c r="C3053" s="257" t="s">
        <v>11255</v>
      </c>
      <c r="D3053" s="9">
        <v>2.0997539630805183E-3</v>
      </c>
      <c r="E3053" s="9"/>
      <c r="F3053" s="257" t="s">
        <v>15330</v>
      </c>
      <c r="G3053" s="9"/>
      <c r="H3053" s="257" t="s">
        <v>21165</v>
      </c>
      <c r="I3053" s="9">
        <v>2</v>
      </c>
    </row>
    <row r="3054" spans="1:9">
      <c r="A3054" s="257" t="s">
        <v>4152</v>
      </c>
      <c r="B3054" s="9">
        <v>3</v>
      </c>
      <c r="C3054" s="257" t="s">
        <v>11255</v>
      </c>
      <c r="D3054" s="9">
        <v>4.633727795045956E-3</v>
      </c>
      <c r="E3054" s="9"/>
      <c r="F3054" s="257" t="s">
        <v>15331</v>
      </c>
      <c r="G3054" s="9"/>
      <c r="H3054" s="257" t="s">
        <v>21166</v>
      </c>
      <c r="I3054" s="9">
        <v>2</v>
      </c>
    </row>
    <row r="3055" spans="1:9">
      <c r="A3055" s="257" t="s">
        <v>4153</v>
      </c>
      <c r="B3055" s="9">
        <v>3</v>
      </c>
      <c r="C3055" s="257" t="s">
        <v>11255</v>
      </c>
      <c r="D3055" s="9">
        <v>-2.2249097031247289E-4</v>
      </c>
      <c r="E3055" s="9"/>
      <c r="F3055" s="257" t="s">
        <v>15332</v>
      </c>
      <c r="G3055" s="9"/>
      <c r="H3055" s="257" t="s">
        <v>21167</v>
      </c>
      <c r="I3055" s="9">
        <v>2</v>
      </c>
    </row>
    <row r="3056" spans="1:9">
      <c r="A3056" s="257" t="s">
        <v>4154</v>
      </c>
      <c r="B3056" s="9">
        <v>3</v>
      </c>
      <c r="C3056" s="257" t="s">
        <v>11255</v>
      </c>
      <c r="D3056" s="9">
        <v>-1.6466119665310207E-3</v>
      </c>
      <c r="E3056" s="9"/>
      <c r="F3056" s="257" t="s">
        <v>15333</v>
      </c>
      <c r="G3056" s="9"/>
      <c r="H3056" s="257" t="s">
        <v>21168</v>
      </c>
      <c r="I3056" s="9">
        <v>2</v>
      </c>
    </row>
    <row r="3057" spans="1:9">
      <c r="A3057" s="257" t="s">
        <v>4155</v>
      </c>
      <c r="B3057" s="9">
        <v>4</v>
      </c>
      <c r="C3057" s="257" t="s">
        <v>11255</v>
      </c>
      <c r="D3057" s="9">
        <v>5.4099944038939049E-3</v>
      </c>
      <c r="E3057" s="9"/>
      <c r="F3057" s="257" t="s">
        <v>15334</v>
      </c>
      <c r="G3057" s="9"/>
      <c r="H3057" s="257" t="s">
        <v>21169</v>
      </c>
      <c r="I3057" s="9">
        <v>2</v>
      </c>
    </row>
    <row r="3058" spans="1:9">
      <c r="A3058" s="257" t="s">
        <v>4156</v>
      </c>
      <c r="B3058" s="9">
        <v>4</v>
      </c>
      <c r="C3058" s="257" t="s">
        <v>11255</v>
      </c>
      <c r="D3058" s="9">
        <v>5.7059838028331008E-3</v>
      </c>
      <c r="E3058" s="9"/>
      <c r="F3058" s="257" t="s">
        <v>15335</v>
      </c>
      <c r="G3058" s="9"/>
      <c r="H3058" s="257" t="s">
        <v>21170</v>
      </c>
      <c r="I3058" s="9">
        <v>2</v>
      </c>
    </row>
    <row r="3059" spans="1:9">
      <c r="A3059" s="257" t="s">
        <v>4157</v>
      </c>
      <c r="B3059" s="9">
        <v>4</v>
      </c>
      <c r="C3059" s="257" t="s">
        <v>11255</v>
      </c>
      <c r="D3059" s="9">
        <v>3.2942724857201646E-3</v>
      </c>
      <c r="E3059" s="9"/>
      <c r="F3059" s="257" t="s">
        <v>15336</v>
      </c>
      <c r="G3059" s="9"/>
      <c r="H3059" s="257" t="s">
        <v>21171</v>
      </c>
      <c r="I3059" s="9">
        <v>2</v>
      </c>
    </row>
    <row r="3060" spans="1:9">
      <c r="A3060" s="257" t="s">
        <v>4158</v>
      </c>
      <c r="B3060" s="9">
        <v>4</v>
      </c>
      <c r="C3060" s="257" t="s">
        <v>11255</v>
      </c>
      <c r="D3060" s="9">
        <v>0</v>
      </c>
      <c r="E3060" s="9"/>
      <c r="F3060" s="257" t="s">
        <v>15337</v>
      </c>
      <c r="G3060" s="9"/>
      <c r="H3060" s="257" t="s">
        <v>21172</v>
      </c>
      <c r="I3060" s="9">
        <v>2</v>
      </c>
    </row>
    <row r="3061" spans="1:9">
      <c r="A3061" s="257" t="s">
        <v>4159</v>
      </c>
      <c r="B3061" s="9">
        <v>4</v>
      </c>
      <c r="C3061" s="257" t="s">
        <v>11255</v>
      </c>
      <c r="D3061" s="9">
        <v>2.9598939893919627E-4</v>
      </c>
      <c r="E3061" s="9"/>
      <c r="F3061" s="257" t="s">
        <v>15338</v>
      </c>
      <c r="G3061" s="9"/>
      <c r="H3061" s="257" t="s">
        <v>21173</v>
      </c>
      <c r="I3061" s="9">
        <v>2</v>
      </c>
    </row>
    <row r="3062" spans="1:9">
      <c r="A3062" s="257" t="s">
        <v>4160</v>
      </c>
      <c r="B3062" s="9">
        <v>4</v>
      </c>
      <c r="C3062" s="257" t="s">
        <v>11255</v>
      </c>
      <c r="D3062" s="9">
        <v>9.0002562885532645E-3</v>
      </c>
      <c r="E3062" s="9"/>
      <c r="F3062" s="257" t="s">
        <v>15339</v>
      </c>
      <c r="G3062" s="9"/>
      <c r="H3062" s="257" t="s">
        <v>21174</v>
      </c>
      <c r="I3062" s="9">
        <v>2</v>
      </c>
    </row>
    <row r="3063" spans="1:9">
      <c r="A3063" s="257" t="s">
        <v>4161</v>
      </c>
      <c r="B3063" s="9">
        <v>4</v>
      </c>
      <c r="C3063" s="257" t="s">
        <v>11255</v>
      </c>
      <c r="D3063" s="9">
        <v>8.7042668896140686E-3</v>
      </c>
      <c r="E3063" s="9"/>
      <c r="F3063" s="257" t="s">
        <v>15340</v>
      </c>
      <c r="G3063" s="9"/>
      <c r="H3063" s="257" t="s">
        <v>21175</v>
      </c>
      <c r="I3063" s="9">
        <v>2</v>
      </c>
    </row>
    <row r="3064" spans="1:9">
      <c r="A3064" s="257" t="s">
        <v>4162</v>
      </c>
      <c r="B3064" s="9">
        <v>4</v>
      </c>
      <c r="C3064" s="257" t="s">
        <v>11255</v>
      </c>
      <c r="D3064" s="9">
        <v>9.0002562885532645E-3</v>
      </c>
      <c r="E3064" s="9"/>
      <c r="F3064" s="257" t="s">
        <v>15341</v>
      </c>
      <c r="G3064" s="9"/>
      <c r="H3064" s="257" t="s">
        <v>21176</v>
      </c>
      <c r="I3064" s="9">
        <v>2</v>
      </c>
    </row>
    <row r="3065" spans="1:9">
      <c r="A3065" s="257" t="s">
        <v>4163</v>
      </c>
      <c r="B3065" s="9">
        <v>4</v>
      </c>
      <c r="C3065" s="257" t="s">
        <v>11255</v>
      </c>
      <c r="D3065" s="9">
        <v>1.0696211122465653E-2</v>
      </c>
      <c r="E3065" s="9"/>
      <c r="F3065" s="257" t="s">
        <v>15342</v>
      </c>
      <c r="G3065" s="9"/>
      <c r="H3065" s="257" t="s">
        <v>21177</v>
      </c>
      <c r="I3065" s="9">
        <v>2</v>
      </c>
    </row>
    <row r="3066" spans="1:9">
      <c r="A3066" s="257" t="s">
        <v>4164</v>
      </c>
      <c r="B3066" s="9">
        <v>4</v>
      </c>
      <c r="C3066" s="257" t="s">
        <v>11255</v>
      </c>
      <c r="D3066" s="9">
        <v>1.0992200521404849E-2</v>
      </c>
      <c r="E3066" s="9"/>
      <c r="F3066" s="257" t="s">
        <v>15343</v>
      </c>
      <c r="G3066" s="9"/>
      <c r="H3066" s="257" t="s">
        <v>21178</v>
      </c>
      <c r="I3066" s="9">
        <v>2</v>
      </c>
    </row>
    <row r="3067" spans="1:9">
      <c r="A3067" s="257" t="s">
        <v>4165</v>
      </c>
      <c r="B3067" s="9">
        <v>4</v>
      </c>
      <c r="C3067" s="257" t="s">
        <v>11255</v>
      </c>
      <c r="D3067" s="9">
        <v>-1.9919442328515838E-3</v>
      </c>
      <c r="E3067" s="9"/>
      <c r="F3067" s="257" t="s">
        <v>15344</v>
      </c>
      <c r="G3067" s="9"/>
      <c r="H3067" s="257" t="s">
        <v>21179</v>
      </c>
      <c r="I3067" s="9">
        <v>2</v>
      </c>
    </row>
    <row r="3068" spans="1:9">
      <c r="A3068" s="257" t="s">
        <v>4166</v>
      </c>
      <c r="B3068" s="9">
        <v>4</v>
      </c>
      <c r="C3068" s="257" t="s">
        <v>11255</v>
      </c>
      <c r="D3068" s="9">
        <v>0</v>
      </c>
      <c r="E3068" s="9"/>
      <c r="F3068" s="257" t="s">
        <v>15345</v>
      </c>
      <c r="G3068" s="9"/>
      <c r="H3068" s="257" t="s">
        <v>21180</v>
      </c>
      <c r="I3068" s="9">
        <v>2</v>
      </c>
    </row>
    <row r="3069" spans="1:9">
      <c r="A3069" s="257" t="s">
        <v>4167</v>
      </c>
      <c r="B3069" s="9">
        <v>4</v>
      </c>
      <c r="C3069" s="257" t="s">
        <v>11255</v>
      </c>
      <c r="D3069" s="9">
        <v>0</v>
      </c>
      <c r="E3069" s="9"/>
      <c r="F3069" s="257" t="s">
        <v>15346</v>
      </c>
      <c r="G3069" s="9"/>
      <c r="H3069" s="257" t="s">
        <v>21181</v>
      </c>
      <c r="I3069" s="9">
        <v>2</v>
      </c>
    </row>
    <row r="3070" spans="1:9">
      <c r="A3070" s="257" t="s">
        <v>4168</v>
      </c>
      <c r="B3070" s="9">
        <v>4</v>
      </c>
      <c r="C3070" s="257" t="s">
        <v>11255</v>
      </c>
      <c r="D3070" s="9">
        <v>0</v>
      </c>
      <c r="E3070" s="9"/>
      <c r="F3070" s="257" t="s">
        <v>15347</v>
      </c>
      <c r="G3070" s="9"/>
      <c r="H3070" s="257" t="s">
        <v>21182</v>
      </c>
      <c r="I3070" s="9">
        <v>2</v>
      </c>
    </row>
    <row r="3071" spans="1:9">
      <c r="A3071" s="257" t="s">
        <v>4169</v>
      </c>
      <c r="B3071" s="9">
        <v>4</v>
      </c>
      <c r="C3071" s="257" t="s">
        <v>11255</v>
      </c>
      <c r="D3071" s="9">
        <v>0</v>
      </c>
      <c r="E3071" s="9"/>
      <c r="F3071" s="257" t="s">
        <v>15348</v>
      </c>
      <c r="G3071" s="9"/>
      <c r="H3071" s="257" t="s">
        <v>21183</v>
      </c>
      <c r="I3071" s="9">
        <v>2</v>
      </c>
    </row>
    <row r="3072" spans="1:9">
      <c r="A3072" s="257" t="s">
        <v>4170</v>
      </c>
      <c r="B3072" s="9">
        <v>4</v>
      </c>
      <c r="C3072" s="257" t="s">
        <v>11255</v>
      </c>
      <c r="D3072" s="9">
        <v>2.9598939893919627E-4</v>
      </c>
      <c r="E3072" s="9"/>
      <c r="F3072" s="257" t="s">
        <v>15349</v>
      </c>
      <c r="G3072" s="9"/>
      <c r="H3072" s="257" t="s">
        <v>21184</v>
      </c>
      <c r="I3072" s="9">
        <v>2</v>
      </c>
    </row>
    <row r="3073" spans="1:9">
      <c r="A3073" s="257" t="s">
        <v>4171</v>
      </c>
      <c r="B3073" s="9">
        <v>4</v>
      </c>
      <c r="C3073" s="257" t="s">
        <v>11255</v>
      </c>
      <c r="D3073" s="9">
        <v>0</v>
      </c>
      <c r="E3073" s="9"/>
      <c r="F3073" s="257" t="s">
        <v>15350</v>
      </c>
      <c r="G3073" s="9"/>
      <c r="H3073" s="257" t="s">
        <v>21185</v>
      </c>
      <c r="I3073" s="9">
        <v>2</v>
      </c>
    </row>
    <row r="3074" spans="1:9">
      <c r="A3074" s="257" t="s">
        <v>4172</v>
      </c>
      <c r="B3074" s="9">
        <v>4</v>
      </c>
      <c r="C3074" s="257" t="s">
        <v>11255</v>
      </c>
      <c r="D3074" s="9">
        <v>6.7684156643176164E-3</v>
      </c>
      <c r="E3074" s="9"/>
      <c r="F3074" s="257" t="s">
        <v>15351</v>
      </c>
      <c r="G3074" s="9"/>
      <c r="H3074" s="257" t="s">
        <v>21186</v>
      </c>
      <c r="I3074" s="9">
        <v>2</v>
      </c>
    </row>
    <row r="3075" spans="1:9">
      <c r="A3075" s="257" t="s">
        <v>4173</v>
      </c>
      <c r="B3075" s="9">
        <v>4</v>
      </c>
      <c r="C3075" s="257" t="s">
        <v>11255</v>
      </c>
      <c r="D3075" s="9">
        <v>-9.1553955325509955E-4</v>
      </c>
      <c r="E3075" s="9"/>
      <c r="F3075" s="257" t="s">
        <v>15352</v>
      </c>
      <c r="G3075" s="9"/>
      <c r="H3075" s="257" t="s">
        <v>21187</v>
      </c>
      <c r="I3075" s="9">
        <v>2</v>
      </c>
    </row>
    <row r="3076" spans="1:9">
      <c r="A3076" s="257" t="s">
        <v>4174</v>
      </c>
      <c r="B3076" s="9">
        <v>4</v>
      </c>
      <c r="C3076" s="257" t="s">
        <v>11255</v>
      </c>
      <c r="D3076" s="9">
        <v>5.8528761110625167E-3</v>
      </c>
      <c r="E3076" s="9"/>
      <c r="F3076" s="257" t="s">
        <v>15353</v>
      </c>
      <c r="G3076" s="9"/>
      <c r="H3076" s="257" t="s">
        <v>21188</v>
      </c>
      <c r="I3076" s="9">
        <v>2</v>
      </c>
    </row>
    <row r="3077" spans="1:9">
      <c r="A3077" s="257" t="s">
        <v>4175</v>
      </c>
      <c r="B3077" s="9">
        <v>4</v>
      </c>
      <c r="C3077" s="257" t="s">
        <v>11255</v>
      </c>
      <c r="D3077" s="9">
        <v>2.9160058561436661E-3</v>
      </c>
      <c r="E3077" s="9"/>
      <c r="F3077" s="257" t="s">
        <v>15354</v>
      </c>
      <c r="G3077" s="9"/>
      <c r="H3077" s="257" t="s">
        <v>21189</v>
      </c>
      <c r="I3077" s="9">
        <v>2</v>
      </c>
    </row>
    <row r="3078" spans="1:9">
      <c r="A3078" s="257" t="s">
        <v>4176</v>
      </c>
      <c r="B3078" s="9">
        <v>4</v>
      </c>
      <c r="C3078" s="257" t="s">
        <v>11255</v>
      </c>
      <c r="D3078" s="9">
        <v>2.2233185541986667E-3</v>
      </c>
      <c r="E3078" s="9"/>
      <c r="F3078" s="257" t="s">
        <v>15355</v>
      </c>
      <c r="G3078" s="9"/>
      <c r="H3078" s="257" t="s">
        <v>21190</v>
      </c>
      <c r="I3078" s="9">
        <v>2</v>
      </c>
    </row>
    <row r="3079" spans="1:9">
      <c r="A3079" s="257" t="s">
        <v>4177</v>
      </c>
      <c r="B3079" s="9">
        <v>4</v>
      </c>
      <c r="C3079" s="257" t="s">
        <v>11255</v>
      </c>
      <c r="D3079" s="9">
        <v>5.1393244103423328E-3</v>
      </c>
      <c r="E3079" s="9"/>
      <c r="F3079" s="257" t="s">
        <v>15356</v>
      </c>
      <c r="G3079" s="9"/>
      <c r="H3079" s="257" t="s">
        <v>21191</v>
      </c>
      <c r="I3079" s="9">
        <v>2</v>
      </c>
    </row>
    <row r="3080" spans="1:9">
      <c r="A3080" s="257" t="s">
        <v>4178</v>
      </c>
      <c r="B3080" s="9">
        <v>4</v>
      </c>
      <c r="C3080" s="257" t="s">
        <v>11255</v>
      </c>
      <c r="D3080" s="9">
        <v>-1.4689230822941571E-4</v>
      </c>
      <c r="E3080" s="9"/>
      <c r="F3080" s="257" t="s">
        <v>15357</v>
      </c>
      <c r="G3080" s="9"/>
      <c r="H3080" s="257" t="s">
        <v>21192</v>
      </c>
      <c r="I3080" s="9">
        <v>2</v>
      </c>
    </row>
    <row r="3081" spans="1:9">
      <c r="A3081" s="257" t="s">
        <v>4179</v>
      </c>
      <c r="B3081" s="9">
        <v>4</v>
      </c>
      <c r="C3081" s="257" t="s">
        <v>11255</v>
      </c>
      <c r="D3081" s="9">
        <v>-1.845051924622168E-3</v>
      </c>
      <c r="E3081" s="9"/>
      <c r="F3081" s="257" t="s">
        <v>15358</v>
      </c>
      <c r="G3081" s="9"/>
      <c r="H3081" s="257" t="s">
        <v>21193</v>
      </c>
      <c r="I3081" s="9">
        <v>2</v>
      </c>
    </row>
    <row r="3082" spans="1:9">
      <c r="A3082" s="257" t="s">
        <v>4180</v>
      </c>
      <c r="B3082" s="9">
        <v>5</v>
      </c>
      <c r="C3082" s="257" t="s">
        <v>11255</v>
      </c>
      <c r="D3082" s="9">
        <v>5.9083327215293238E-3</v>
      </c>
      <c r="E3082" s="9"/>
      <c r="F3082" s="257" t="s">
        <v>15359</v>
      </c>
      <c r="G3082" s="9"/>
      <c r="H3082" s="257" t="s">
        <v>21194</v>
      </c>
      <c r="I3082" s="9">
        <v>2</v>
      </c>
    </row>
    <row r="3083" spans="1:9">
      <c r="A3083" s="257" t="s">
        <v>4181</v>
      </c>
      <c r="B3083" s="9">
        <v>5</v>
      </c>
      <c r="C3083" s="257" t="s">
        <v>11255</v>
      </c>
      <c r="D3083" s="9">
        <v>6.2312586399705019E-3</v>
      </c>
      <c r="E3083" s="9"/>
      <c r="F3083" s="257" t="s">
        <v>15360</v>
      </c>
      <c r="G3083" s="9"/>
      <c r="H3083" s="257" t="s">
        <v>21195</v>
      </c>
      <c r="I3083" s="9">
        <v>2</v>
      </c>
    </row>
    <row r="3084" spans="1:9">
      <c r="A3084" s="257" t="s">
        <v>4182</v>
      </c>
      <c r="B3084" s="9">
        <v>5</v>
      </c>
      <c r="C3084" s="257" t="s">
        <v>11255</v>
      </c>
      <c r="D3084" s="9">
        <v>3.600501282664384E-3</v>
      </c>
      <c r="E3084" s="9"/>
      <c r="F3084" s="257" t="s">
        <v>15361</v>
      </c>
      <c r="G3084" s="9"/>
      <c r="H3084" s="257" t="s">
        <v>21196</v>
      </c>
      <c r="I3084" s="9">
        <v>2</v>
      </c>
    </row>
    <row r="3085" spans="1:9">
      <c r="A3085" s="257" t="s">
        <v>4183</v>
      </c>
      <c r="B3085" s="9">
        <v>5</v>
      </c>
      <c r="C3085" s="257" t="s">
        <v>11255</v>
      </c>
      <c r="D3085" s="9">
        <v>0</v>
      </c>
      <c r="E3085" s="9"/>
      <c r="F3085" s="257" t="s">
        <v>15362</v>
      </c>
      <c r="G3085" s="9"/>
      <c r="H3085" s="257" t="s">
        <v>21197</v>
      </c>
      <c r="I3085" s="9">
        <v>2</v>
      </c>
    </row>
    <row r="3086" spans="1:9">
      <c r="A3086" s="257" t="s">
        <v>4184</v>
      </c>
      <c r="B3086" s="9">
        <v>5</v>
      </c>
      <c r="C3086" s="257" t="s">
        <v>11255</v>
      </c>
      <c r="D3086" s="9">
        <v>3.2292591844117853E-4</v>
      </c>
      <c r="E3086" s="9"/>
      <c r="F3086" s="257" t="s">
        <v>15363</v>
      </c>
      <c r="G3086" s="9"/>
      <c r="H3086" s="257" t="s">
        <v>21198</v>
      </c>
      <c r="I3086" s="9">
        <v>2</v>
      </c>
    </row>
    <row r="3087" spans="1:9">
      <c r="A3087" s="257" t="s">
        <v>4185</v>
      </c>
      <c r="B3087" s="9">
        <v>5</v>
      </c>
      <c r="C3087" s="257" t="s">
        <v>11255</v>
      </c>
      <c r="D3087" s="9">
        <v>9.8317599226348858E-3</v>
      </c>
      <c r="E3087" s="9"/>
      <c r="F3087" s="257" t="s">
        <v>15364</v>
      </c>
      <c r="G3087" s="9"/>
      <c r="H3087" s="257" t="s">
        <v>21199</v>
      </c>
      <c r="I3087" s="9">
        <v>2</v>
      </c>
    </row>
    <row r="3088" spans="1:9">
      <c r="A3088" s="257" t="s">
        <v>4186</v>
      </c>
      <c r="B3088" s="9">
        <v>5</v>
      </c>
      <c r="C3088" s="257" t="s">
        <v>11255</v>
      </c>
      <c r="D3088" s="9">
        <v>9.5088340041937086E-3</v>
      </c>
      <c r="E3088" s="9"/>
      <c r="F3088" s="257" t="s">
        <v>15365</v>
      </c>
      <c r="G3088" s="9"/>
      <c r="H3088" s="257" t="s">
        <v>21200</v>
      </c>
      <c r="I3088" s="9">
        <v>2</v>
      </c>
    </row>
    <row r="3089" spans="1:9">
      <c r="A3089" s="257" t="s">
        <v>4187</v>
      </c>
      <c r="B3089" s="9">
        <v>5</v>
      </c>
      <c r="C3089" s="257" t="s">
        <v>11255</v>
      </c>
      <c r="D3089" s="9">
        <v>9.8317599226348858E-3</v>
      </c>
      <c r="E3089" s="9"/>
      <c r="F3089" s="257" t="s">
        <v>15366</v>
      </c>
      <c r="G3089" s="9"/>
      <c r="H3089" s="257" t="s">
        <v>21201</v>
      </c>
      <c r="I3089" s="9">
        <v>2</v>
      </c>
    </row>
    <row r="3090" spans="1:9">
      <c r="A3090" s="257" t="s">
        <v>4188</v>
      </c>
      <c r="B3090" s="9">
        <v>5</v>
      </c>
      <c r="C3090" s="257" t="s">
        <v>11255</v>
      </c>
      <c r="D3090" s="9">
        <v>1.189040922146818E-2</v>
      </c>
      <c r="E3090" s="9"/>
      <c r="F3090" s="257" t="s">
        <v>15367</v>
      </c>
      <c r="G3090" s="9"/>
      <c r="H3090" s="257" t="s">
        <v>21202</v>
      </c>
      <c r="I3090" s="9">
        <v>2</v>
      </c>
    </row>
    <row r="3091" spans="1:9">
      <c r="A3091" s="257" t="s">
        <v>4189</v>
      </c>
      <c r="B3091" s="9">
        <v>5</v>
      </c>
      <c r="C3091" s="257" t="s">
        <v>11255</v>
      </c>
      <c r="D3091" s="9">
        <v>1.2213335139909357E-2</v>
      </c>
      <c r="E3091" s="9"/>
      <c r="F3091" s="257" t="s">
        <v>15368</v>
      </c>
      <c r="G3091" s="9"/>
      <c r="H3091" s="257" t="s">
        <v>21203</v>
      </c>
      <c r="I3091" s="9">
        <v>2</v>
      </c>
    </row>
    <row r="3092" spans="1:9">
      <c r="A3092" s="257" t="s">
        <v>4190</v>
      </c>
      <c r="B3092" s="9">
        <v>5</v>
      </c>
      <c r="C3092" s="257" t="s">
        <v>11255</v>
      </c>
      <c r="D3092" s="9">
        <v>-2.3815752172744722E-3</v>
      </c>
      <c r="E3092" s="9"/>
      <c r="F3092" s="257" t="s">
        <v>15369</v>
      </c>
      <c r="G3092" s="9"/>
      <c r="H3092" s="257" t="s">
        <v>21204</v>
      </c>
      <c r="I3092" s="9">
        <v>2</v>
      </c>
    </row>
    <row r="3093" spans="1:9">
      <c r="A3093" s="257" t="s">
        <v>4191</v>
      </c>
      <c r="B3093" s="9">
        <v>5</v>
      </c>
      <c r="C3093" s="257" t="s">
        <v>11255</v>
      </c>
      <c r="D3093" s="9">
        <v>0</v>
      </c>
      <c r="E3093" s="9"/>
      <c r="F3093" s="257" t="s">
        <v>15370</v>
      </c>
      <c r="G3093" s="9"/>
      <c r="H3093" s="257" t="s">
        <v>21205</v>
      </c>
      <c r="I3093" s="9">
        <v>2</v>
      </c>
    </row>
    <row r="3094" spans="1:9">
      <c r="A3094" s="257" t="s">
        <v>4192</v>
      </c>
      <c r="B3094" s="9">
        <v>5</v>
      </c>
      <c r="C3094" s="257" t="s">
        <v>11255</v>
      </c>
      <c r="D3094" s="9">
        <v>0</v>
      </c>
      <c r="E3094" s="9"/>
      <c r="F3094" s="257" t="s">
        <v>15371</v>
      </c>
      <c r="G3094" s="9"/>
      <c r="H3094" s="257" t="s">
        <v>21206</v>
      </c>
      <c r="I3094" s="9">
        <v>2</v>
      </c>
    </row>
    <row r="3095" spans="1:9">
      <c r="A3095" s="257" t="s">
        <v>4193</v>
      </c>
      <c r="B3095" s="9">
        <v>5</v>
      </c>
      <c r="C3095" s="257" t="s">
        <v>11255</v>
      </c>
      <c r="D3095" s="9">
        <v>0</v>
      </c>
      <c r="E3095" s="9"/>
      <c r="F3095" s="257" t="s">
        <v>15372</v>
      </c>
      <c r="G3095" s="9"/>
      <c r="H3095" s="257" t="s">
        <v>21207</v>
      </c>
      <c r="I3095" s="9">
        <v>2</v>
      </c>
    </row>
    <row r="3096" spans="1:9">
      <c r="A3096" s="257" t="s">
        <v>4194</v>
      </c>
      <c r="B3096" s="9">
        <v>5</v>
      </c>
      <c r="C3096" s="257" t="s">
        <v>11255</v>
      </c>
      <c r="D3096" s="9">
        <v>0</v>
      </c>
      <c r="E3096" s="9"/>
      <c r="F3096" s="257" t="s">
        <v>15373</v>
      </c>
      <c r="G3096" s="9"/>
      <c r="H3096" s="257" t="s">
        <v>21208</v>
      </c>
      <c r="I3096" s="9">
        <v>2</v>
      </c>
    </row>
    <row r="3097" spans="1:9">
      <c r="A3097" s="257" t="s">
        <v>4195</v>
      </c>
      <c r="B3097" s="9">
        <v>5</v>
      </c>
      <c r="C3097" s="257" t="s">
        <v>11255</v>
      </c>
      <c r="D3097" s="9">
        <v>3.2292591844117853E-4</v>
      </c>
      <c r="E3097" s="9"/>
      <c r="F3097" s="257" t="s">
        <v>15374</v>
      </c>
      <c r="G3097" s="9"/>
      <c r="H3097" s="257" t="s">
        <v>21209</v>
      </c>
      <c r="I3097" s="9">
        <v>2</v>
      </c>
    </row>
    <row r="3098" spans="1:9">
      <c r="A3098" s="257" t="s">
        <v>4196</v>
      </c>
      <c r="B3098" s="9">
        <v>5</v>
      </c>
      <c r="C3098" s="257" t="s">
        <v>11255</v>
      </c>
      <c r="D3098" s="9">
        <v>0</v>
      </c>
      <c r="E3098" s="9"/>
      <c r="F3098" s="257" t="s">
        <v>15375</v>
      </c>
      <c r="G3098" s="9"/>
      <c r="H3098" s="257" t="s">
        <v>21210</v>
      </c>
      <c r="I3098" s="9">
        <v>2</v>
      </c>
    </row>
    <row r="3099" spans="1:9">
      <c r="A3099" s="257" t="s">
        <v>4197</v>
      </c>
      <c r="B3099" s="9">
        <v>5</v>
      </c>
      <c r="C3099" s="257" t="s">
        <v>11255</v>
      </c>
      <c r="D3099" s="9">
        <v>7.2909520908476114E-3</v>
      </c>
      <c r="E3099" s="9"/>
      <c r="F3099" s="257" t="s">
        <v>15376</v>
      </c>
      <c r="G3099" s="9"/>
      <c r="H3099" s="257" t="s">
        <v>21211</v>
      </c>
      <c r="I3099" s="9">
        <v>2</v>
      </c>
    </row>
    <row r="3100" spans="1:9">
      <c r="A3100" s="257" t="s">
        <v>4198</v>
      </c>
      <c r="B3100" s="9">
        <v>5</v>
      </c>
      <c r="C3100" s="257" t="s">
        <v>11255</v>
      </c>
      <c r="D3100" s="9">
        <v>-9.5472539431190248E-4</v>
      </c>
      <c r="E3100" s="9"/>
      <c r="F3100" s="257" t="s">
        <v>15377</v>
      </c>
      <c r="G3100" s="9"/>
      <c r="H3100" s="257" t="s">
        <v>21212</v>
      </c>
      <c r="I3100" s="9">
        <v>2</v>
      </c>
    </row>
    <row r="3101" spans="1:9">
      <c r="A3101" s="257" t="s">
        <v>4199</v>
      </c>
      <c r="B3101" s="9">
        <v>5</v>
      </c>
      <c r="C3101" s="257" t="s">
        <v>11255</v>
      </c>
      <c r="D3101" s="9">
        <v>6.3362266965357088E-3</v>
      </c>
      <c r="E3101" s="9"/>
      <c r="F3101" s="257" t="s">
        <v>15378</v>
      </c>
      <c r="G3101" s="9"/>
      <c r="H3101" s="257" t="s">
        <v>21213</v>
      </c>
      <c r="I3101" s="9">
        <v>2</v>
      </c>
    </row>
    <row r="3102" spans="1:9">
      <c r="A3102" s="257" t="s">
        <v>4200</v>
      </c>
      <c r="B3102" s="9">
        <v>5</v>
      </c>
      <c r="C3102" s="257" t="s">
        <v>11255</v>
      </c>
      <c r="D3102" s="9">
        <v>3.6227345035110014E-3</v>
      </c>
      <c r="E3102" s="9"/>
      <c r="F3102" s="257" t="s">
        <v>15379</v>
      </c>
      <c r="G3102" s="9"/>
      <c r="H3102" s="257" t="s">
        <v>21214</v>
      </c>
      <c r="I3102" s="9">
        <v>2</v>
      </c>
    </row>
    <row r="3103" spans="1:9">
      <c r="A3103" s="257" t="s">
        <v>4201</v>
      </c>
      <c r="B3103" s="9">
        <v>5</v>
      </c>
      <c r="C3103" s="257" t="s">
        <v>11255</v>
      </c>
      <c r="D3103" s="9">
        <v>2.2543739398626483E-3</v>
      </c>
      <c r="E3103" s="9"/>
      <c r="F3103" s="257" t="s">
        <v>15380</v>
      </c>
      <c r="G3103" s="9"/>
      <c r="H3103" s="257" t="s">
        <v>21215</v>
      </c>
      <c r="I3103" s="9">
        <v>2</v>
      </c>
    </row>
    <row r="3104" spans="1:9">
      <c r="A3104" s="257" t="s">
        <v>4202</v>
      </c>
      <c r="B3104" s="9">
        <v>5</v>
      </c>
      <c r="C3104" s="257" t="s">
        <v>11255</v>
      </c>
      <c r="D3104" s="9">
        <v>5.8771084433736501E-3</v>
      </c>
      <c r="E3104" s="9"/>
      <c r="F3104" s="257" t="s">
        <v>15381</v>
      </c>
      <c r="G3104" s="9"/>
      <c r="H3104" s="257" t="s">
        <v>21216</v>
      </c>
      <c r="I3104" s="9">
        <v>2</v>
      </c>
    </row>
    <row r="3105" spans="1:9">
      <c r="A3105" s="257" t="s">
        <v>4203</v>
      </c>
      <c r="B3105" s="9">
        <v>5</v>
      </c>
      <c r="C3105" s="257" t="s">
        <v>11255</v>
      </c>
      <c r="D3105" s="9">
        <v>-1.0496805656520665E-4</v>
      </c>
      <c r="E3105" s="9"/>
      <c r="F3105" s="257" t="s">
        <v>15382</v>
      </c>
      <c r="G3105" s="9"/>
      <c r="H3105" s="257" t="s">
        <v>21217</v>
      </c>
      <c r="I3105" s="9">
        <v>2</v>
      </c>
    </row>
    <row r="3106" spans="1:9">
      <c r="A3106" s="257" t="s">
        <v>4204</v>
      </c>
      <c r="B3106" s="9">
        <v>5</v>
      </c>
      <c r="C3106" s="257" t="s">
        <v>11255</v>
      </c>
      <c r="D3106" s="9">
        <v>-2.2766071607092657E-3</v>
      </c>
      <c r="E3106" s="9"/>
      <c r="F3106" s="257" t="s">
        <v>15383</v>
      </c>
      <c r="G3106" s="9"/>
      <c r="H3106" s="257" t="s">
        <v>21218</v>
      </c>
      <c r="I3106" s="9">
        <v>2</v>
      </c>
    </row>
    <row r="3107" spans="1:9">
      <c r="A3107" s="257" t="s">
        <v>4205</v>
      </c>
      <c r="B3107" s="9">
        <v>6</v>
      </c>
      <c r="C3107" s="257" t="s">
        <v>11255</v>
      </c>
      <c r="D3107" s="9">
        <v>7.1212789234573583E-3</v>
      </c>
      <c r="E3107" s="9"/>
      <c r="F3107" s="257" t="s">
        <v>15384</v>
      </c>
      <c r="G3107" s="9"/>
      <c r="H3107" s="257" t="s">
        <v>21219</v>
      </c>
      <c r="I3107" s="9">
        <v>2</v>
      </c>
    </row>
    <row r="3108" spans="1:9">
      <c r="A3108" s="257" t="s">
        <v>4206</v>
      </c>
      <c r="B3108" s="9">
        <v>6</v>
      </c>
      <c r="C3108" s="257" t="s">
        <v>11255</v>
      </c>
      <c r="D3108" s="9">
        <v>7.4998849919521091E-3</v>
      </c>
      <c r="E3108" s="9"/>
      <c r="F3108" s="257" t="s">
        <v>15385</v>
      </c>
      <c r="G3108" s="9"/>
      <c r="H3108" s="257" t="s">
        <v>21220</v>
      </c>
      <c r="I3108" s="9">
        <v>2</v>
      </c>
    </row>
    <row r="3109" spans="1:9">
      <c r="A3109" s="257" t="s">
        <v>4207</v>
      </c>
      <c r="B3109" s="9">
        <v>6</v>
      </c>
      <c r="C3109" s="257" t="s">
        <v>11255</v>
      </c>
      <c r="D3109" s="9">
        <v>3.8816475085760179E-3</v>
      </c>
      <c r="E3109" s="9"/>
      <c r="F3109" s="257" t="s">
        <v>15386</v>
      </c>
      <c r="G3109" s="9"/>
      <c r="H3109" s="257" t="s">
        <v>21221</v>
      </c>
      <c r="I3109" s="9">
        <v>2</v>
      </c>
    </row>
    <row r="3110" spans="1:9">
      <c r="A3110" s="257" t="s">
        <v>4208</v>
      </c>
      <c r="B3110" s="9">
        <v>6</v>
      </c>
      <c r="C3110" s="257" t="s">
        <v>11255</v>
      </c>
      <c r="D3110" s="9">
        <v>0</v>
      </c>
      <c r="E3110" s="9"/>
      <c r="F3110" s="257" t="s">
        <v>15387</v>
      </c>
      <c r="G3110" s="9"/>
      <c r="H3110" s="257" t="s">
        <v>21222</v>
      </c>
      <c r="I3110" s="9">
        <v>2</v>
      </c>
    </row>
    <row r="3111" spans="1:9">
      <c r="A3111" s="257" t="s">
        <v>4209</v>
      </c>
      <c r="B3111" s="9">
        <v>6</v>
      </c>
      <c r="C3111" s="257" t="s">
        <v>11255</v>
      </c>
      <c r="D3111" s="9">
        <v>3.7860606849475053E-4</v>
      </c>
      <c r="E3111" s="9"/>
      <c r="F3111" s="257" t="s">
        <v>15388</v>
      </c>
      <c r="G3111" s="9"/>
      <c r="H3111" s="257" t="s">
        <v>21223</v>
      </c>
      <c r="I3111" s="9">
        <v>2</v>
      </c>
    </row>
    <row r="3112" spans="1:9">
      <c r="A3112" s="257" t="s">
        <v>4210</v>
      </c>
      <c r="B3112" s="9">
        <v>6</v>
      </c>
      <c r="C3112" s="257" t="s">
        <v>11255</v>
      </c>
      <c r="D3112" s="9">
        <v>1.1381532500528126E-2</v>
      </c>
      <c r="E3112" s="9"/>
      <c r="F3112" s="257" t="s">
        <v>15389</v>
      </c>
      <c r="G3112" s="9"/>
      <c r="H3112" s="257" t="s">
        <v>21224</v>
      </c>
      <c r="I3112" s="9">
        <v>2</v>
      </c>
    </row>
    <row r="3113" spans="1:9">
      <c r="A3113" s="257" t="s">
        <v>4211</v>
      </c>
      <c r="B3113" s="9">
        <v>6</v>
      </c>
      <c r="C3113" s="257" t="s">
        <v>11255</v>
      </c>
      <c r="D3113" s="9">
        <v>1.1002926432033376E-2</v>
      </c>
      <c r="E3113" s="9"/>
      <c r="F3113" s="257" t="s">
        <v>15390</v>
      </c>
      <c r="G3113" s="9"/>
      <c r="H3113" s="257" t="s">
        <v>21225</v>
      </c>
      <c r="I3113" s="9">
        <v>2</v>
      </c>
    </row>
    <row r="3114" spans="1:9">
      <c r="A3114" s="257" t="s">
        <v>4212</v>
      </c>
      <c r="B3114" s="9">
        <v>6</v>
      </c>
      <c r="C3114" s="257" t="s">
        <v>11255</v>
      </c>
      <c r="D3114" s="9">
        <v>1.1381532500528126E-2</v>
      </c>
      <c r="E3114" s="9"/>
      <c r="F3114" s="257" t="s">
        <v>15391</v>
      </c>
      <c r="G3114" s="9"/>
      <c r="H3114" s="257" t="s">
        <v>21226</v>
      </c>
      <c r="I3114" s="9">
        <v>2</v>
      </c>
    </row>
    <row r="3115" spans="1:9">
      <c r="A3115" s="257" t="s">
        <v>4213</v>
      </c>
      <c r="B3115" s="9">
        <v>6</v>
      </c>
      <c r="C3115" s="257" t="s">
        <v>11255</v>
      </c>
      <c r="D3115" s="9">
        <v>1.3994632202893627E-2</v>
      </c>
      <c r="E3115" s="9"/>
      <c r="F3115" s="257" t="s">
        <v>15392</v>
      </c>
      <c r="G3115" s="9"/>
      <c r="H3115" s="257" t="s">
        <v>21227</v>
      </c>
      <c r="I3115" s="9">
        <v>2</v>
      </c>
    </row>
    <row r="3116" spans="1:9">
      <c r="A3116" s="257" t="s">
        <v>4214</v>
      </c>
      <c r="B3116" s="9">
        <v>6</v>
      </c>
      <c r="C3116" s="257" t="s">
        <v>11255</v>
      </c>
      <c r="D3116" s="9">
        <v>1.4373238271388377E-2</v>
      </c>
      <c r="E3116" s="9"/>
      <c r="F3116" s="257" t="s">
        <v>15393</v>
      </c>
      <c r="G3116" s="9"/>
      <c r="H3116" s="257" t="s">
        <v>21228</v>
      </c>
      <c r="I3116" s="9">
        <v>2</v>
      </c>
    </row>
    <row r="3117" spans="1:9">
      <c r="A3117" s="257" t="s">
        <v>4215</v>
      </c>
      <c r="B3117" s="9">
        <v>6</v>
      </c>
      <c r="C3117" s="257" t="s">
        <v>11255</v>
      </c>
      <c r="D3117" s="9">
        <v>-2.991705770860251E-3</v>
      </c>
      <c r="E3117" s="9"/>
      <c r="F3117" s="257" t="s">
        <v>15394</v>
      </c>
      <c r="G3117" s="9"/>
      <c r="H3117" s="257" t="s">
        <v>21229</v>
      </c>
      <c r="I3117" s="9">
        <v>2</v>
      </c>
    </row>
    <row r="3118" spans="1:9">
      <c r="A3118" s="257" t="s">
        <v>4216</v>
      </c>
      <c r="B3118" s="9">
        <v>6</v>
      </c>
      <c r="C3118" s="257" t="s">
        <v>11255</v>
      </c>
      <c r="D3118" s="9">
        <v>0</v>
      </c>
      <c r="E3118" s="9"/>
      <c r="F3118" s="257" t="s">
        <v>15395</v>
      </c>
      <c r="G3118" s="9"/>
      <c r="H3118" s="257" t="s">
        <v>21230</v>
      </c>
      <c r="I3118" s="9">
        <v>2</v>
      </c>
    </row>
    <row r="3119" spans="1:9">
      <c r="A3119" s="257" t="s">
        <v>4217</v>
      </c>
      <c r="B3119" s="9">
        <v>6</v>
      </c>
      <c r="C3119" s="257" t="s">
        <v>11255</v>
      </c>
      <c r="D3119" s="9">
        <v>0</v>
      </c>
      <c r="E3119" s="9"/>
      <c r="F3119" s="257" t="s">
        <v>15396</v>
      </c>
      <c r="G3119" s="9"/>
      <c r="H3119" s="257" t="s">
        <v>21231</v>
      </c>
      <c r="I3119" s="9">
        <v>2</v>
      </c>
    </row>
    <row r="3120" spans="1:9">
      <c r="A3120" s="257" t="s">
        <v>4218</v>
      </c>
      <c r="B3120" s="9">
        <v>6</v>
      </c>
      <c r="C3120" s="257" t="s">
        <v>11255</v>
      </c>
      <c r="D3120" s="9">
        <v>0</v>
      </c>
      <c r="E3120" s="9"/>
      <c r="F3120" s="257" t="s">
        <v>15397</v>
      </c>
      <c r="G3120" s="9"/>
      <c r="H3120" s="257" t="s">
        <v>21232</v>
      </c>
      <c r="I3120" s="9">
        <v>2</v>
      </c>
    </row>
    <row r="3121" spans="1:9">
      <c r="A3121" s="257" t="s">
        <v>4219</v>
      </c>
      <c r="B3121" s="9">
        <v>6</v>
      </c>
      <c r="C3121" s="257" t="s">
        <v>11255</v>
      </c>
      <c r="D3121" s="9">
        <v>0</v>
      </c>
      <c r="E3121" s="9"/>
      <c r="F3121" s="257" t="s">
        <v>15398</v>
      </c>
      <c r="G3121" s="9"/>
      <c r="H3121" s="257" t="s">
        <v>21233</v>
      </c>
      <c r="I3121" s="9">
        <v>2</v>
      </c>
    </row>
    <row r="3122" spans="1:9">
      <c r="A3122" s="257" t="s">
        <v>4220</v>
      </c>
      <c r="B3122" s="9">
        <v>6</v>
      </c>
      <c r="C3122" s="257" t="s">
        <v>11255</v>
      </c>
      <c r="D3122" s="9">
        <v>3.7860606849475053E-4</v>
      </c>
      <c r="E3122" s="9"/>
      <c r="F3122" s="257" t="s">
        <v>15399</v>
      </c>
      <c r="G3122" s="9"/>
      <c r="H3122" s="257" t="s">
        <v>21234</v>
      </c>
      <c r="I3122" s="9">
        <v>2</v>
      </c>
    </row>
    <row r="3123" spans="1:9">
      <c r="A3123" s="257" t="s">
        <v>4221</v>
      </c>
      <c r="B3123" s="9">
        <v>6</v>
      </c>
      <c r="C3123" s="257" t="s">
        <v>11255</v>
      </c>
      <c r="D3123" s="9">
        <v>0</v>
      </c>
      <c r="E3123" s="9"/>
      <c r="F3123" s="257" t="s">
        <v>15400</v>
      </c>
      <c r="G3123" s="9"/>
      <c r="H3123" s="257" t="s">
        <v>21235</v>
      </c>
      <c r="I3123" s="9">
        <v>2</v>
      </c>
    </row>
    <row r="3124" spans="1:9">
      <c r="A3124" s="257" t="s">
        <v>4222</v>
      </c>
      <c r="B3124" s="9">
        <v>6</v>
      </c>
      <c r="C3124" s="257" t="s">
        <v>11255</v>
      </c>
      <c r="D3124" s="9">
        <v>8.8205698679408428E-3</v>
      </c>
      <c r="E3124" s="9"/>
      <c r="F3124" s="257" t="s">
        <v>15401</v>
      </c>
      <c r="G3124" s="9"/>
      <c r="H3124" s="257" t="s">
        <v>21236</v>
      </c>
      <c r="I3124" s="9">
        <v>2</v>
      </c>
    </row>
    <row r="3125" spans="1:9">
      <c r="A3125" s="257" t="s">
        <v>4223</v>
      </c>
      <c r="B3125" s="9">
        <v>6</v>
      </c>
      <c r="C3125" s="257" t="s">
        <v>11255</v>
      </c>
      <c r="D3125" s="9">
        <v>-9.5218722395925084E-4</v>
      </c>
      <c r="E3125" s="9"/>
      <c r="F3125" s="257" t="s">
        <v>15402</v>
      </c>
      <c r="G3125" s="9"/>
      <c r="H3125" s="257" t="s">
        <v>21237</v>
      </c>
      <c r="I3125" s="9">
        <v>2</v>
      </c>
    </row>
    <row r="3126" spans="1:9">
      <c r="A3126" s="257" t="s">
        <v>4224</v>
      </c>
      <c r="B3126" s="9">
        <v>6</v>
      </c>
      <c r="C3126" s="257" t="s">
        <v>11255</v>
      </c>
      <c r="D3126" s="9">
        <v>7.8683826439815922E-3</v>
      </c>
      <c r="E3126" s="9"/>
      <c r="F3126" s="257" t="s">
        <v>15403</v>
      </c>
      <c r="G3126" s="9"/>
      <c r="H3126" s="257" t="s">
        <v>21238</v>
      </c>
      <c r="I3126" s="9">
        <v>2</v>
      </c>
    </row>
    <row r="3127" spans="1:9">
      <c r="A3127" s="257" t="s">
        <v>4225</v>
      </c>
      <c r="B3127" s="9">
        <v>6</v>
      </c>
      <c r="C3127" s="257" t="s">
        <v>11255</v>
      </c>
      <c r="D3127" s="9">
        <v>4.2532348968863229E-3</v>
      </c>
      <c r="E3127" s="9"/>
      <c r="F3127" s="257" t="s">
        <v>15404</v>
      </c>
      <c r="G3127" s="9"/>
      <c r="H3127" s="257" t="s">
        <v>21239</v>
      </c>
      <c r="I3127" s="9">
        <v>2</v>
      </c>
    </row>
    <row r="3128" spans="1:9">
      <c r="A3128" s="257" t="s">
        <v>4226</v>
      </c>
      <c r="B3128" s="9">
        <v>6</v>
      </c>
      <c r="C3128" s="257" t="s">
        <v>11255</v>
      </c>
      <c r="D3128" s="9">
        <v>2.2516207305204629E-3</v>
      </c>
      <c r="E3128" s="9"/>
      <c r="F3128" s="257" t="s">
        <v>15405</v>
      </c>
      <c r="G3128" s="9"/>
      <c r="H3128" s="257" t="s">
        <v>21240</v>
      </c>
      <c r="I3128" s="9">
        <v>2</v>
      </c>
    </row>
    <row r="3129" spans="1:9">
      <c r="A3129" s="257" t="s">
        <v>4227</v>
      </c>
      <c r="B3129" s="9">
        <v>6</v>
      </c>
      <c r="C3129" s="257" t="s">
        <v>11255</v>
      </c>
      <c r="D3129" s="9">
        <v>6.5048556274067857E-3</v>
      </c>
      <c r="E3129" s="9"/>
      <c r="F3129" s="257" t="s">
        <v>15406</v>
      </c>
      <c r="G3129" s="9"/>
      <c r="H3129" s="257" t="s">
        <v>21241</v>
      </c>
      <c r="I3129" s="9">
        <v>2</v>
      </c>
    </row>
    <row r="3130" spans="1:9">
      <c r="A3130" s="257" t="s">
        <v>4228</v>
      </c>
      <c r="B3130" s="9">
        <v>6</v>
      </c>
      <c r="C3130" s="257" t="s">
        <v>11255</v>
      </c>
      <c r="D3130" s="9">
        <v>-3.6849765202948256E-4</v>
      </c>
      <c r="E3130" s="9"/>
      <c r="F3130" s="257" t="s">
        <v>15407</v>
      </c>
      <c r="G3130" s="9"/>
      <c r="H3130" s="257" t="s">
        <v>21242</v>
      </c>
      <c r="I3130" s="9">
        <v>2</v>
      </c>
    </row>
    <row r="3131" spans="1:9">
      <c r="A3131" s="257" t="s">
        <v>4229</v>
      </c>
      <c r="B3131" s="9">
        <v>6</v>
      </c>
      <c r="C3131" s="257" t="s">
        <v>11255</v>
      </c>
      <c r="D3131" s="9">
        <v>-2.6232081188307683E-3</v>
      </c>
      <c r="E3131" s="9"/>
      <c r="F3131" s="257" t="s">
        <v>15408</v>
      </c>
      <c r="G3131" s="9"/>
      <c r="H3131" s="257" t="s">
        <v>21243</v>
      </c>
      <c r="I3131" s="9">
        <v>2</v>
      </c>
    </row>
    <row r="3132" spans="1:9">
      <c r="A3132" s="257" t="s">
        <v>4230</v>
      </c>
      <c r="B3132" s="9">
        <v>7</v>
      </c>
      <c r="C3132" s="257" t="s">
        <v>11255</v>
      </c>
      <c r="D3132" s="9">
        <v>8.6564741625281307E-3</v>
      </c>
      <c r="E3132" s="9"/>
      <c r="F3132" s="257" t="s">
        <v>15409</v>
      </c>
      <c r="G3132" s="9"/>
      <c r="H3132" s="257" t="s">
        <v>21244</v>
      </c>
      <c r="I3132" s="9">
        <v>2</v>
      </c>
    </row>
    <row r="3133" spans="1:9">
      <c r="A3133" s="257" t="s">
        <v>4231</v>
      </c>
      <c r="B3133" s="9">
        <v>7</v>
      </c>
      <c r="C3133" s="257" t="s">
        <v>11255</v>
      </c>
      <c r="D3133" s="9">
        <v>9.1119255067869751E-3</v>
      </c>
      <c r="E3133" s="9"/>
      <c r="F3133" s="257" t="s">
        <v>15410</v>
      </c>
      <c r="G3133" s="9"/>
      <c r="H3133" s="257" t="s">
        <v>21245</v>
      </c>
      <c r="I3133" s="9">
        <v>2</v>
      </c>
    </row>
    <row r="3134" spans="1:9">
      <c r="A3134" s="257" t="s">
        <v>4232</v>
      </c>
      <c r="B3134" s="9">
        <v>7</v>
      </c>
      <c r="C3134" s="257" t="s">
        <v>11255</v>
      </c>
      <c r="D3134" s="9">
        <v>4.1496544814371671E-3</v>
      </c>
      <c r="E3134" s="9"/>
      <c r="F3134" s="257" t="s">
        <v>15411</v>
      </c>
      <c r="G3134" s="9"/>
      <c r="H3134" s="257" t="s">
        <v>21246</v>
      </c>
      <c r="I3134" s="9">
        <v>2</v>
      </c>
    </row>
    <row r="3135" spans="1:9">
      <c r="A3135" s="257" t="s">
        <v>4233</v>
      </c>
      <c r="B3135" s="9">
        <v>7</v>
      </c>
      <c r="C3135" s="257" t="s">
        <v>11255</v>
      </c>
      <c r="D3135" s="9">
        <v>0</v>
      </c>
      <c r="E3135" s="9"/>
      <c r="F3135" s="257" t="s">
        <v>15412</v>
      </c>
      <c r="G3135" s="9"/>
      <c r="H3135" s="257" t="s">
        <v>21247</v>
      </c>
      <c r="I3135" s="9">
        <v>2</v>
      </c>
    </row>
    <row r="3136" spans="1:9">
      <c r="A3136" s="257" t="s">
        <v>4234</v>
      </c>
      <c r="B3136" s="9">
        <v>7</v>
      </c>
      <c r="C3136" s="257" t="s">
        <v>11255</v>
      </c>
      <c r="D3136" s="9">
        <v>4.5545134425884517E-4</v>
      </c>
      <c r="E3136" s="9"/>
      <c r="F3136" s="257" t="s">
        <v>15413</v>
      </c>
      <c r="G3136" s="9"/>
      <c r="H3136" s="257" t="s">
        <v>21248</v>
      </c>
      <c r="I3136" s="9">
        <v>2</v>
      </c>
    </row>
    <row r="3137" spans="1:9">
      <c r="A3137" s="257" t="s">
        <v>4235</v>
      </c>
      <c r="B3137" s="9">
        <v>7</v>
      </c>
      <c r="C3137" s="257" t="s">
        <v>11255</v>
      </c>
      <c r="D3137" s="9">
        <v>1.3261579988224142E-2</v>
      </c>
      <c r="E3137" s="9"/>
      <c r="F3137" s="257" t="s">
        <v>15414</v>
      </c>
      <c r="G3137" s="9"/>
      <c r="H3137" s="257" t="s">
        <v>21249</v>
      </c>
      <c r="I3137" s="9">
        <v>2</v>
      </c>
    </row>
    <row r="3138" spans="1:9">
      <c r="A3138" s="257" t="s">
        <v>4236</v>
      </c>
      <c r="B3138" s="9">
        <v>7</v>
      </c>
      <c r="C3138" s="257" t="s">
        <v>11255</v>
      </c>
      <c r="D3138" s="9">
        <v>1.2806128643965298E-2</v>
      </c>
      <c r="E3138" s="9"/>
      <c r="F3138" s="257" t="s">
        <v>15415</v>
      </c>
      <c r="G3138" s="9"/>
      <c r="H3138" s="257" t="s">
        <v>21250</v>
      </c>
      <c r="I3138" s="9">
        <v>2</v>
      </c>
    </row>
    <row r="3139" spans="1:9">
      <c r="A3139" s="257" t="s">
        <v>4237</v>
      </c>
      <c r="B3139" s="9">
        <v>7</v>
      </c>
      <c r="C3139" s="257" t="s">
        <v>11255</v>
      </c>
      <c r="D3139" s="9">
        <v>1.3261579988224142E-2</v>
      </c>
      <c r="E3139" s="9"/>
      <c r="F3139" s="257" t="s">
        <v>15416</v>
      </c>
      <c r="G3139" s="9"/>
      <c r="H3139" s="257" t="s">
        <v>21251</v>
      </c>
      <c r="I3139" s="9">
        <v>2</v>
      </c>
    </row>
    <row r="3140" spans="1:9">
      <c r="A3140" s="257" t="s">
        <v>4238</v>
      </c>
      <c r="B3140" s="9">
        <v>7</v>
      </c>
      <c r="C3140" s="257" t="s">
        <v>11255</v>
      </c>
      <c r="D3140" s="9">
        <v>1.5972826336891354E-2</v>
      </c>
      <c r="E3140" s="9"/>
      <c r="F3140" s="257" t="s">
        <v>15417</v>
      </c>
      <c r="G3140" s="9"/>
      <c r="H3140" s="257" t="s">
        <v>21252</v>
      </c>
      <c r="I3140" s="9">
        <v>2</v>
      </c>
    </row>
    <row r="3141" spans="1:9">
      <c r="A3141" s="257" t="s">
        <v>4239</v>
      </c>
      <c r="B3141" s="9">
        <v>7</v>
      </c>
      <c r="C3141" s="257" t="s">
        <v>11255</v>
      </c>
      <c r="D3141" s="9">
        <v>1.64282776811502E-2</v>
      </c>
      <c r="E3141" s="9"/>
      <c r="F3141" s="257" t="s">
        <v>15418</v>
      </c>
      <c r="G3141" s="9"/>
      <c r="H3141" s="257" t="s">
        <v>21253</v>
      </c>
      <c r="I3141" s="9">
        <v>2</v>
      </c>
    </row>
    <row r="3142" spans="1:9">
      <c r="A3142" s="257" t="s">
        <v>4240</v>
      </c>
      <c r="B3142" s="9">
        <v>7</v>
      </c>
      <c r="C3142" s="257" t="s">
        <v>11255</v>
      </c>
      <c r="D3142" s="9">
        <v>-3.1666976929260581E-3</v>
      </c>
      <c r="E3142" s="9"/>
      <c r="F3142" s="257" t="s">
        <v>15419</v>
      </c>
      <c r="G3142" s="9"/>
      <c r="H3142" s="257" t="s">
        <v>21254</v>
      </c>
      <c r="I3142" s="9">
        <v>2</v>
      </c>
    </row>
    <row r="3143" spans="1:9">
      <c r="A3143" s="257" t="s">
        <v>4241</v>
      </c>
      <c r="B3143" s="9">
        <v>7</v>
      </c>
      <c r="C3143" s="257" t="s">
        <v>11255</v>
      </c>
      <c r="D3143" s="9">
        <v>0</v>
      </c>
      <c r="E3143" s="9"/>
      <c r="F3143" s="257" t="s">
        <v>15420</v>
      </c>
      <c r="G3143" s="9"/>
      <c r="H3143" s="257" t="s">
        <v>21255</v>
      </c>
      <c r="I3143" s="9">
        <v>2</v>
      </c>
    </row>
    <row r="3144" spans="1:9">
      <c r="A3144" s="257" t="s">
        <v>4242</v>
      </c>
      <c r="B3144" s="9">
        <v>7</v>
      </c>
      <c r="C3144" s="257" t="s">
        <v>11255</v>
      </c>
      <c r="D3144" s="9">
        <v>0</v>
      </c>
      <c r="E3144" s="9"/>
      <c r="F3144" s="257" t="s">
        <v>15421</v>
      </c>
      <c r="G3144" s="9"/>
      <c r="H3144" s="257" t="s">
        <v>21256</v>
      </c>
      <c r="I3144" s="9">
        <v>2</v>
      </c>
    </row>
    <row r="3145" spans="1:9">
      <c r="A3145" s="257" t="s">
        <v>4243</v>
      </c>
      <c r="B3145" s="9">
        <v>7</v>
      </c>
      <c r="C3145" s="257" t="s">
        <v>11255</v>
      </c>
      <c r="D3145" s="9">
        <v>0</v>
      </c>
      <c r="E3145" s="9"/>
      <c r="F3145" s="257" t="s">
        <v>15422</v>
      </c>
      <c r="G3145" s="9"/>
      <c r="H3145" s="257" t="s">
        <v>21257</v>
      </c>
      <c r="I3145" s="9">
        <v>2</v>
      </c>
    </row>
    <row r="3146" spans="1:9">
      <c r="A3146" s="257" t="s">
        <v>4244</v>
      </c>
      <c r="B3146" s="9">
        <v>7</v>
      </c>
      <c r="C3146" s="257" t="s">
        <v>11255</v>
      </c>
      <c r="D3146" s="9">
        <v>0</v>
      </c>
      <c r="E3146" s="9"/>
      <c r="F3146" s="257" t="s">
        <v>15423</v>
      </c>
      <c r="G3146" s="9"/>
      <c r="H3146" s="257" t="s">
        <v>21258</v>
      </c>
      <c r="I3146" s="9">
        <v>2</v>
      </c>
    </row>
    <row r="3147" spans="1:9">
      <c r="A3147" s="257" t="s">
        <v>4245</v>
      </c>
      <c r="B3147" s="9">
        <v>7</v>
      </c>
      <c r="C3147" s="257" t="s">
        <v>11255</v>
      </c>
      <c r="D3147" s="9">
        <v>4.5545134425884517E-4</v>
      </c>
      <c r="E3147" s="9"/>
      <c r="F3147" s="257" t="s">
        <v>15424</v>
      </c>
      <c r="G3147" s="9"/>
      <c r="H3147" s="257" t="s">
        <v>21259</v>
      </c>
      <c r="I3147" s="9">
        <v>2</v>
      </c>
    </row>
    <row r="3148" spans="1:9">
      <c r="A3148" s="257" t="s">
        <v>4246</v>
      </c>
      <c r="B3148" s="9">
        <v>7</v>
      </c>
      <c r="C3148" s="257" t="s">
        <v>11255</v>
      </c>
      <c r="D3148" s="9">
        <v>0</v>
      </c>
      <c r="E3148" s="9"/>
      <c r="F3148" s="257" t="s">
        <v>15425</v>
      </c>
      <c r="G3148" s="9"/>
      <c r="H3148" s="257" t="s">
        <v>21260</v>
      </c>
      <c r="I3148" s="9">
        <v>2</v>
      </c>
    </row>
    <row r="3149" spans="1:9">
      <c r="A3149" s="257" t="s">
        <v>4247</v>
      </c>
      <c r="B3149" s="9">
        <v>7</v>
      </c>
      <c r="C3149" s="257" t="s">
        <v>11255</v>
      </c>
      <c r="D3149" s="9">
        <v>1.0472600769848135E-2</v>
      </c>
      <c r="E3149" s="9"/>
      <c r="F3149" s="257" t="s">
        <v>15426</v>
      </c>
      <c r="G3149" s="9"/>
      <c r="H3149" s="257" t="s">
        <v>21261</v>
      </c>
      <c r="I3149" s="9">
        <v>2</v>
      </c>
    </row>
    <row r="3150" spans="1:9">
      <c r="A3150" s="257" t="s">
        <v>4248</v>
      </c>
      <c r="B3150" s="9">
        <v>7</v>
      </c>
      <c r="C3150" s="257" t="s">
        <v>11255</v>
      </c>
      <c r="D3150" s="9">
        <v>-9.7194412448732993E-4</v>
      </c>
      <c r="E3150" s="9"/>
      <c r="F3150" s="257" t="s">
        <v>15427</v>
      </c>
      <c r="G3150" s="9"/>
      <c r="H3150" s="257" t="s">
        <v>21262</v>
      </c>
      <c r="I3150" s="9">
        <v>2</v>
      </c>
    </row>
    <row r="3151" spans="1:9">
      <c r="A3151" s="257" t="s">
        <v>4249</v>
      </c>
      <c r="B3151" s="9">
        <v>7</v>
      </c>
      <c r="C3151" s="257" t="s">
        <v>11255</v>
      </c>
      <c r="D3151" s="9">
        <v>9.5006566453608061E-3</v>
      </c>
      <c r="E3151" s="9"/>
      <c r="F3151" s="257" t="s">
        <v>15428</v>
      </c>
      <c r="G3151" s="9"/>
      <c r="H3151" s="257" t="s">
        <v>21263</v>
      </c>
      <c r="I3151" s="9">
        <v>2</v>
      </c>
    </row>
    <row r="3152" spans="1:9">
      <c r="A3152" s="257" t="s">
        <v>4250</v>
      </c>
      <c r="B3152" s="9">
        <v>7</v>
      </c>
      <c r="C3152" s="257" t="s">
        <v>11255</v>
      </c>
      <c r="D3152" s="9">
        <v>4.6246910764876333E-3</v>
      </c>
      <c r="E3152" s="9"/>
      <c r="F3152" s="257" t="s">
        <v>15429</v>
      </c>
      <c r="G3152" s="9"/>
      <c r="H3152" s="257" t="s">
        <v>21264</v>
      </c>
      <c r="I3152" s="9">
        <v>2</v>
      </c>
    </row>
    <row r="3153" spans="1:9">
      <c r="A3153" s="257" t="s">
        <v>4251</v>
      </c>
      <c r="B3153" s="9">
        <v>7</v>
      </c>
      <c r="C3153" s="257" t="s">
        <v>11255</v>
      </c>
      <c r="D3153" s="9">
        <v>2.3029299593017617E-3</v>
      </c>
      <c r="E3153" s="9"/>
      <c r="F3153" s="257" t="s">
        <v>15430</v>
      </c>
      <c r="G3153" s="9"/>
      <c r="H3153" s="257" t="s">
        <v>21265</v>
      </c>
      <c r="I3153" s="9">
        <v>2</v>
      </c>
    </row>
    <row r="3154" spans="1:9">
      <c r="A3154" s="257" t="s">
        <v>4252</v>
      </c>
      <c r="B3154" s="9">
        <v>7</v>
      </c>
      <c r="C3154" s="257" t="s">
        <v>11255</v>
      </c>
      <c r="D3154" s="9">
        <v>6.9276210357893959E-3</v>
      </c>
      <c r="E3154" s="9"/>
      <c r="F3154" s="257" t="s">
        <v>15431</v>
      </c>
      <c r="G3154" s="9"/>
      <c r="H3154" s="257" t="s">
        <v>21266</v>
      </c>
      <c r="I3154" s="9">
        <v>2</v>
      </c>
    </row>
    <row r="3155" spans="1:9">
      <c r="A3155" s="257" t="s">
        <v>4253</v>
      </c>
      <c r="B3155" s="9">
        <v>7</v>
      </c>
      <c r="C3155" s="257" t="s">
        <v>11255</v>
      </c>
      <c r="D3155" s="9">
        <v>-3.8873113857383E-4</v>
      </c>
      <c r="E3155" s="9"/>
      <c r="F3155" s="257" t="s">
        <v>15432</v>
      </c>
      <c r="G3155" s="9"/>
      <c r="H3155" s="257" t="s">
        <v>21267</v>
      </c>
      <c r="I3155" s="9">
        <v>2</v>
      </c>
    </row>
    <row r="3156" spans="1:9">
      <c r="A3156" s="257" t="s">
        <v>4254</v>
      </c>
      <c r="B3156" s="9">
        <v>7</v>
      </c>
      <c r="C3156" s="257" t="s">
        <v>11255</v>
      </c>
      <c r="D3156" s="9">
        <v>-2.777966554352228E-3</v>
      </c>
      <c r="E3156" s="9"/>
      <c r="F3156" s="257" t="s">
        <v>15433</v>
      </c>
      <c r="G3156" s="9"/>
      <c r="H3156" s="257" t="s">
        <v>21268</v>
      </c>
      <c r="I3156" s="9">
        <v>2</v>
      </c>
    </row>
    <row r="3157" spans="1:9">
      <c r="A3157" s="257" t="s">
        <v>4255</v>
      </c>
      <c r="B3157" s="9">
        <v>8</v>
      </c>
      <c r="C3157" s="257" t="s">
        <v>11255</v>
      </c>
      <c r="D3157" s="9">
        <v>8.8465524236722819E-3</v>
      </c>
      <c r="E3157" s="9"/>
      <c r="F3157" s="257" t="s">
        <v>15434</v>
      </c>
      <c r="G3157" s="9"/>
      <c r="H3157" s="257" t="s">
        <v>21269</v>
      </c>
      <c r="I3157" s="9">
        <v>2</v>
      </c>
    </row>
    <row r="3158" spans="1:9">
      <c r="A3158" s="257" t="s">
        <v>4256</v>
      </c>
      <c r="B3158" s="9">
        <v>8</v>
      </c>
      <c r="C3158" s="257" t="s">
        <v>11255</v>
      </c>
      <c r="D3158" s="9">
        <v>9.3033841052036666E-3</v>
      </c>
      <c r="E3158" s="9"/>
      <c r="F3158" s="257" t="s">
        <v>15435</v>
      </c>
      <c r="G3158" s="9"/>
      <c r="H3158" s="257" t="s">
        <v>21270</v>
      </c>
      <c r="I3158" s="9">
        <v>2</v>
      </c>
    </row>
    <row r="3159" spans="1:9">
      <c r="A3159" s="257" t="s">
        <v>4257</v>
      </c>
      <c r="B3159" s="9">
        <v>8</v>
      </c>
      <c r="C3159" s="257" t="s">
        <v>11255</v>
      </c>
      <c r="D3159" s="9">
        <v>4.6117304519982154E-3</v>
      </c>
      <c r="E3159" s="9"/>
      <c r="F3159" s="257" t="s">
        <v>15436</v>
      </c>
      <c r="G3159" s="9"/>
      <c r="H3159" s="257" t="s">
        <v>21271</v>
      </c>
      <c r="I3159" s="9">
        <v>2</v>
      </c>
    </row>
    <row r="3160" spans="1:9">
      <c r="A3160" s="257" t="s">
        <v>4258</v>
      </c>
      <c r="B3160" s="9">
        <v>8</v>
      </c>
      <c r="C3160" s="257" t="s">
        <v>11255</v>
      </c>
      <c r="D3160" s="9">
        <v>0</v>
      </c>
      <c r="E3160" s="9"/>
      <c r="F3160" s="257" t="s">
        <v>15437</v>
      </c>
      <c r="G3160" s="9"/>
      <c r="H3160" s="257" t="s">
        <v>21272</v>
      </c>
      <c r="I3160" s="9">
        <v>2</v>
      </c>
    </row>
    <row r="3161" spans="1:9">
      <c r="A3161" s="257" t="s">
        <v>4259</v>
      </c>
      <c r="B3161" s="9">
        <v>8</v>
      </c>
      <c r="C3161" s="257" t="s">
        <v>11255</v>
      </c>
      <c r="D3161" s="9">
        <v>4.5683168153138497E-4</v>
      </c>
      <c r="E3161" s="9"/>
      <c r="F3161" s="257" t="s">
        <v>15438</v>
      </c>
      <c r="G3161" s="9"/>
      <c r="H3161" s="257" t="s">
        <v>21273</v>
      </c>
      <c r="I3161" s="9">
        <v>2</v>
      </c>
    </row>
    <row r="3162" spans="1:9">
      <c r="A3162" s="257" t="s">
        <v>4260</v>
      </c>
      <c r="B3162" s="9">
        <v>8</v>
      </c>
      <c r="C3162" s="257" t="s">
        <v>11255</v>
      </c>
      <c r="D3162" s="9">
        <v>1.3915114557201883E-2</v>
      </c>
      <c r="E3162" s="9"/>
      <c r="F3162" s="257" t="s">
        <v>15439</v>
      </c>
      <c r="G3162" s="9"/>
      <c r="H3162" s="257" t="s">
        <v>21274</v>
      </c>
      <c r="I3162" s="9">
        <v>2</v>
      </c>
    </row>
    <row r="3163" spans="1:9">
      <c r="A3163" s="257" t="s">
        <v>4261</v>
      </c>
      <c r="B3163" s="9">
        <v>8</v>
      </c>
      <c r="C3163" s="257" t="s">
        <v>11255</v>
      </c>
      <c r="D3163" s="9">
        <v>1.3458282875670496E-2</v>
      </c>
      <c r="E3163" s="9"/>
      <c r="F3163" s="257" t="s">
        <v>15440</v>
      </c>
      <c r="G3163" s="9"/>
      <c r="H3163" s="257" t="s">
        <v>21275</v>
      </c>
      <c r="I3163" s="9">
        <v>2</v>
      </c>
    </row>
    <row r="3164" spans="1:9">
      <c r="A3164" s="257" t="s">
        <v>4262</v>
      </c>
      <c r="B3164" s="9">
        <v>8</v>
      </c>
      <c r="C3164" s="257" t="s">
        <v>11255</v>
      </c>
      <c r="D3164" s="9">
        <v>1.3915114557201883E-2</v>
      </c>
      <c r="E3164" s="9"/>
      <c r="F3164" s="257" t="s">
        <v>15441</v>
      </c>
      <c r="G3164" s="9"/>
      <c r="H3164" s="257" t="s">
        <v>21276</v>
      </c>
      <c r="I3164" s="9">
        <v>2</v>
      </c>
    </row>
    <row r="3165" spans="1:9">
      <c r="A3165" s="257" t="s">
        <v>4263</v>
      </c>
      <c r="B3165" s="9">
        <v>8</v>
      </c>
      <c r="C3165" s="257" t="s">
        <v>11255</v>
      </c>
      <c r="D3165" s="9">
        <v>1.7653234474353068E-2</v>
      </c>
      <c r="E3165" s="9"/>
      <c r="F3165" s="257" t="s">
        <v>15442</v>
      </c>
      <c r="G3165" s="9"/>
      <c r="H3165" s="257" t="s">
        <v>21277</v>
      </c>
      <c r="I3165" s="9">
        <v>2</v>
      </c>
    </row>
    <row r="3166" spans="1:9">
      <c r="A3166" s="257" t="s">
        <v>4264</v>
      </c>
      <c r="B3166" s="9">
        <v>8</v>
      </c>
      <c r="C3166" s="257" t="s">
        <v>11255</v>
      </c>
      <c r="D3166" s="9">
        <v>1.8110066155884452E-2</v>
      </c>
      <c r="E3166" s="9"/>
      <c r="F3166" s="257" t="s">
        <v>15443</v>
      </c>
      <c r="G3166" s="9"/>
      <c r="H3166" s="257" t="s">
        <v>21278</v>
      </c>
      <c r="I3166" s="9">
        <v>2</v>
      </c>
    </row>
    <row r="3167" spans="1:9">
      <c r="A3167" s="257" t="s">
        <v>4265</v>
      </c>
      <c r="B3167" s="9">
        <v>8</v>
      </c>
      <c r="C3167" s="257" t="s">
        <v>11255</v>
      </c>
      <c r="D3167" s="9">
        <v>-4.1949515986825685E-3</v>
      </c>
      <c r="E3167" s="9"/>
      <c r="F3167" s="257" t="s">
        <v>15444</v>
      </c>
      <c r="G3167" s="9"/>
      <c r="H3167" s="257" t="s">
        <v>21279</v>
      </c>
      <c r="I3167" s="9">
        <v>2</v>
      </c>
    </row>
    <row r="3168" spans="1:9">
      <c r="A3168" s="257" t="s">
        <v>4266</v>
      </c>
      <c r="B3168" s="9">
        <v>8</v>
      </c>
      <c r="C3168" s="257" t="s">
        <v>11255</v>
      </c>
      <c r="D3168" s="9">
        <v>0</v>
      </c>
      <c r="E3168" s="9"/>
      <c r="F3168" s="257" t="s">
        <v>15445</v>
      </c>
      <c r="G3168" s="9"/>
      <c r="H3168" s="257" t="s">
        <v>21280</v>
      </c>
      <c r="I3168" s="9">
        <v>2</v>
      </c>
    </row>
    <row r="3169" spans="1:9">
      <c r="A3169" s="257" t="s">
        <v>4267</v>
      </c>
      <c r="B3169" s="9">
        <v>8</v>
      </c>
      <c r="C3169" s="257" t="s">
        <v>11255</v>
      </c>
      <c r="D3169" s="9">
        <v>0</v>
      </c>
      <c r="E3169" s="9"/>
      <c r="F3169" s="257" t="s">
        <v>15446</v>
      </c>
      <c r="G3169" s="9"/>
      <c r="H3169" s="257" t="s">
        <v>21281</v>
      </c>
      <c r="I3169" s="9">
        <v>2</v>
      </c>
    </row>
    <row r="3170" spans="1:9">
      <c r="A3170" s="257" t="s">
        <v>4268</v>
      </c>
      <c r="B3170" s="9">
        <v>8</v>
      </c>
      <c r="C3170" s="257" t="s">
        <v>11255</v>
      </c>
      <c r="D3170" s="9">
        <v>0</v>
      </c>
      <c r="E3170" s="9"/>
      <c r="F3170" s="257" t="s">
        <v>15447</v>
      </c>
      <c r="G3170" s="9"/>
      <c r="H3170" s="257" t="s">
        <v>21282</v>
      </c>
      <c r="I3170" s="9">
        <v>2</v>
      </c>
    </row>
    <row r="3171" spans="1:9">
      <c r="A3171" s="257" t="s">
        <v>4269</v>
      </c>
      <c r="B3171" s="9">
        <v>8</v>
      </c>
      <c r="C3171" s="257" t="s">
        <v>11255</v>
      </c>
      <c r="D3171" s="9">
        <v>0</v>
      </c>
      <c r="E3171" s="9"/>
      <c r="F3171" s="257" t="s">
        <v>15448</v>
      </c>
      <c r="G3171" s="9"/>
      <c r="H3171" s="257" t="s">
        <v>21283</v>
      </c>
      <c r="I3171" s="9">
        <v>2</v>
      </c>
    </row>
    <row r="3172" spans="1:9">
      <c r="A3172" s="257" t="s">
        <v>4270</v>
      </c>
      <c r="B3172" s="9">
        <v>8</v>
      </c>
      <c r="C3172" s="257" t="s">
        <v>11255</v>
      </c>
      <c r="D3172" s="9">
        <v>4.5683168153138497E-4</v>
      </c>
      <c r="E3172" s="9"/>
      <c r="F3172" s="257" t="s">
        <v>15449</v>
      </c>
      <c r="G3172" s="9"/>
      <c r="H3172" s="257" t="s">
        <v>21284</v>
      </c>
      <c r="I3172" s="9">
        <v>2</v>
      </c>
    </row>
    <row r="3173" spans="1:9">
      <c r="A3173" s="257" t="s">
        <v>4271</v>
      </c>
      <c r="B3173" s="9">
        <v>8</v>
      </c>
      <c r="C3173" s="257" t="s">
        <v>11255</v>
      </c>
      <c r="D3173" s="9">
        <v>0</v>
      </c>
      <c r="E3173" s="9"/>
      <c r="F3173" s="257" t="s">
        <v>15450</v>
      </c>
      <c r="G3173" s="9"/>
      <c r="H3173" s="257" t="s">
        <v>21285</v>
      </c>
      <c r="I3173" s="9">
        <v>2</v>
      </c>
    </row>
    <row r="3174" spans="1:9">
      <c r="A3174" s="257" t="s">
        <v>4272</v>
      </c>
      <c r="B3174" s="9">
        <v>8</v>
      </c>
      <c r="C3174" s="257" t="s">
        <v>11255</v>
      </c>
      <c r="D3174" s="9">
        <v>1.0835319607030318E-2</v>
      </c>
      <c r="E3174" s="9"/>
      <c r="F3174" s="257" t="s">
        <v>15451</v>
      </c>
      <c r="G3174" s="9"/>
      <c r="H3174" s="257" t="s">
        <v>21286</v>
      </c>
      <c r="I3174" s="9">
        <v>2</v>
      </c>
    </row>
    <row r="3175" spans="1:9">
      <c r="A3175" s="257" t="s">
        <v>4273</v>
      </c>
      <c r="B3175" s="9">
        <v>8</v>
      </c>
      <c r="C3175" s="257" t="s">
        <v>11255</v>
      </c>
      <c r="D3175" s="9">
        <v>-1.0123594608372857E-3</v>
      </c>
      <c r="E3175" s="9"/>
      <c r="F3175" s="257" t="s">
        <v>15452</v>
      </c>
      <c r="G3175" s="9"/>
      <c r="H3175" s="257" t="s">
        <v>21287</v>
      </c>
      <c r="I3175" s="9">
        <v>2</v>
      </c>
    </row>
    <row r="3176" spans="1:9">
      <c r="A3176" s="257" t="s">
        <v>4274</v>
      </c>
      <c r="B3176" s="9">
        <v>8</v>
      </c>
      <c r="C3176" s="257" t="s">
        <v>11255</v>
      </c>
      <c r="D3176" s="9">
        <v>9.822960146193032E-3</v>
      </c>
      <c r="E3176" s="9"/>
      <c r="F3176" s="257" t="s">
        <v>15453</v>
      </c>
      <c r="G3176" s="9"/>
      <c r="H3176" s="257" t="s">
        <v>21288</v>
      </c>
      <c r="I3176" s="9">
        <v>2</v>
      </c>
    </row>
    <row r="3177" spans="1:9">
      <c r="A3177" s="257" t="s">
        <v>4275</v>
      </c>
      <c r="B3177" s="9">
        <v>8</v>
      </c>
      <c r="C3177" s="257" t="s">
        <v>11255</v>
      </c>
      <c r="D3177" s="9">
        <v>5.9848878683870562E-3</v>
      </c>
      <c r="E3177" s="9"/>
      <c r="F3177" s="257" t="s">
        <v>15454</v>
      </c>
      <c r="G3177" s="9"/>
      <c r="H3177" s="257" t="s">
        <v>21289</v>
      </c>
      <c r="I3177" s="9">
        <v>2</v>
      </c>
    </row>
    <row r="3178" spans="1:9">
      <c r="A3178" s="257" t="s">
        <v>4276</v>
      </c>
      <c r="B3178" s="9">
        <v>8</v>
      </c>
      <c r="C3178" s="257" t="s">
        <v>11255</v>
      </c>
      <c r="D3178" s="9">
        <v>2.3022181413043623E-3</v>
      </c>
      <c r="E3178" s="9"/>
      <c r="F3178" s="257" t="s">
        <v>15455</v>
      </c>
      <c r="G3178" s="9"/>
      <c r="H3178" s="257" t="s">
        <v>21290</v>
      </c>
      <c r="I3178" s="9">
        <v>2</v>
      </c>
    </row>
    <row r="3179" spans="1:9">
      <c r="A3179" s="257" t="s">
        <v>4277</v>
      </c>
      <c r="B3179" s="9">
        <v>8</v>
      </c>
      <c r="C3179" s="257" t="s">
        <v>11255</v>
      </c>
      <c r="D3179" s="9">
        <v>8.2871060096914168E-3</v>
      </c>
      <c r="E3179" s="9"/>
      <c r="F3179" s="257" t="s">
        <v>15456</v>
      </c>
      <c r="G3179" s="9"/>
      <c r="H3179" s="257" t="s">
        <v>21291</v>
      </c>
      <c r="I3179" s="9">
        <v>2</v>
      </c>
    </row>
    <row r="3180" spans="1:9">
      <c r="A3180" s="257" t="s">
        <v>4278</v>
      </c>
      <c r="B3180" s="9">
        <v>8</v>
      </c>
      <c r="C3180" s="257" t="s">
        <v>11255</v>
      </c>
      <c r="D3180" s="9">
        <v>-5.1957604098936631E-4</v>
      </c>
      <c r="E3180" s="9"/>
      <c r="F3180" s="257" t="s">
        <v>15457</v>
      </c>
      <c r="G3180" s="9"/>
      <c r="H3180" s="257" t="s">
        <v>21292</v>
      </c>
      <c r="I3180" s="9">
        <v>2</v>
      </c>
    </row>
    <row r="3181" spans="1:9">
      <c r="A3181" s="257" t="s">
        <v>4279</v>
      </c>
      <c r="B3181" s="9">
        <v>8</v>
      </c>
      <c r="C3181" s="257" t="s">
        <v>11255</v>
      </c>
      <c r="D3181" s="9">
        <v>-3.6753755576932022E-3</v>
      </c>
      <c r="E3181" s="9"/>
      <c r="F3181" s="257" t="s">
        <v>15458</v>
      </c>
      <c r="G3181" s="9"/>
      <c r="H3181" s="257" t="s">
        <v>21293</v>
      </c>
      <c r="I3181" s="9">
        <v>2</v>
      </c>
    </row>
    <row r="3182" spans="1:9">
      <c r="A3182" s="257" t="s">
        <v>4280</v>
      </c>
      <c r="B3182" s="9">
        <v>9</v>
      </c>
      <c r="C3182" s="257" t="s">
        <v>11255</v>
      </c>
      <c r="D3182" s="9">
        <v>9.3894428163017411E-3</v>
      </c>
      <c r="E3182" s="9"/>
      <c r="F3182" s="257" t="s">
        <v>15459</v>
      </c>
      <c r="G3182" s="9"/>
      <c r="H3182" s="257" t="s">
        <v>21294</v>
      </c>
      <c r="I3182" s="9">
        <v>2</v>
      </c>
    </row>
    <row r="3183" spans="1:9">
      <c r="A3183" s="257" t="s">
        <v>4281</v>
      </c>
      <c r="B3183" s="9">
        <v>9</v>
      </c>
      <c r="C3183" s="257" t="s">
        <v>11255</v>
      </c>
      <c r="D3183" s="9">
        <v>9.8684691553178432E-3</v>
      </c>
      <c r="E3183" s="9"/>
      <c r="F3183" s="257" t="s">
        <v>15460</v>
      </c>
      <c r="G3183" s="9"/>
      <c r="H3183" s="257" t="s">
        <v>21295</v>
      </c>
      <c r="I3183" s="9">
        <v>2</v>
      </c>
    </row>
    <row r="3184" spans="1:9">
      <c r="A3184" s="257" t="s">
        <v>4282</v>
      </c>
      <c r="B3184" s="9">
        <v>9</v>
      </c>
      <c r="C3184" s="257" t="s">
        <v>11255</v>
      </c>
      <c r="D3184" s="9">
        <v>4.7370832644419488E-3</v>
      </c>
      <c r="E3184" s="9"/>
      <c r="F3184" s="257" t="s">
        <v>15461</v>
      </c>
      <c r="G3184" s="9"/>
      <c r="H3184" s="257" t="s">
        <v>21296</v>
      </c>
      <c r="I3184" s="9">
        <v>2</v>
      </c>
    </row>
    <row r="3185" spans="1:9">
      <c r="A3185" s="257" t="s">
        <v>4283</v>
      </c>
      <c r="B3185" s="9">
        <v>9</v>
      </c>
      <c r="C3185" s="257" t="s">
        <v>11255</v>
      </c>
      <c r="D3185" s="9">
        <v>0</v>
      </c>
      <c r="E3185" s="9"/>
      <c r="F3185" s="257" t="s">
        <v>15462</v>
      </c>
      <c r="G3185" s="9"/>
      <c r="H3185" s="257" t="s">
        <v>21297</v>
      </c>
      <c r="I3185" s="9">
        <v>2</v>
      </c>
    </row>
    <row r="3186" spans="1:9">
      <c r="A3186" s="257" t="s">
        <v>4284</v>
      </c>
      <c r="B3186" s="9">
        <v>9</v>
      </c>
      <c r="C3186" s="257" t="s">
        <v>11255</v>
      </c>
      <c r="D3186" s="9">
        <v>4.7902633901610216E-4</v>
      </c>
      <c r="E3186" s="9"/>
      <c r="F3186" s="257" t="s">
        <v>15463</v>
      </c>
      <c r="G3186" s="9"/>
      <c r="H3186" s="257" t="s">
        <v>21298</v>
      </c>
      <c r="I3186" s="9">
        <v>2</v>
      </c>
    </row>
    <row r="3187" spans="1:9">
      <c r="A3187" s="257" t="s">
        <v>4285</v>
      </c>
      <c r="B3187" s="9">
        <v>9</v>
      </c>
      <c r="C3187" s="257" t="s">
        <v>11255</v>
      </c>
      <c r="D3187" s="9">
        <v>1.4605552419759792E-2</v>
      </c>
      <c r="E3187" s="9"/>
      <c r="F3187" s="257" t="s">
        <v>15464</v>
      </c>
      <c r="G3187" s="9"/>
      <c r="H3187" s="257" t="s">
        <v>21299</v>
      </c>
      <c r="I3187" s="9">
        <v>2</v>
      </c>
    </row>
    <row r="3188" spans="1:9">
      <c r="A3188" s="257" t="s">
        <v>4286</v>
      </c>
      <c r="B3188" s="9">
        <v>9</v>
      </c>
      <c r="C3188" s="257" t="s">
        <v>11255</v>
      </c>
      <c r="D3188" s="9">
        <v>1.412652608074369E-2</v>
      </c>
      <c r="E3188" s="9"/>
      <c r="F3188" s="257" t="s">
        <v>15465</v>
      </c>
      <c r="G3188" s="9"/>
      <c r="H3188" s="257" t="s">
        <v>21300</v>
      </c>
      <c r="I3188" s="9">
        <v>2</v>
      </c>
    </row>
    <row r="3189" spans="1:9">
      <c r="A3189" s="257" t="s">
        <v>4287</v>
      </c>
      <c r="B3189" s="9">
        <v>9</v>
      </c>
      <c r="C3189" s="257" t="s">
        <v>11255</v>
      </c>
      <c r="D3189" s="9">
        <v>1.4605552419759792E-2</v>
      </c>
      <c r="E3189" s="9"/>
      <c r="F3189" s="257" t="s">
        <v>15466</v>
      </c>
      <c r="G3189" s="9"/>
      <c r="H3189" s="257" t="s">
        <v>21301</v>
      </c>
      <c r="I3189" s="9">
        <v>2</v>
      </c>
    </row>
    <row r="3190" spans="1:9">
      <c r="A3190" s="257" t="s">
        <v>4288</v>
      </c>
      <c r="B3190" s="9">
        <v>9</v>
      </c>
      <c r="C3190" s="257" t="s">
        <v>11255</v>
      </c>
      <c r="D3190" s="9">
        <v>1.8628800004389393E-2</v>
      </c>
      <c r="E3190" s="9"/>
      <c r="F3190" s="257" t="s">
        <v>15467</v>
      </c>
      <c r="G3190" s="9"/>
      <c r="H3190" s="257" t="s">
        <v>21302</v>
      </c>
      <c r="I3190" s="9">
        <v>2</v>
      </c>
    </row>
    <row r="3191" spans="1:9">
      <c r="A3191" s="257" t="s">
        <v>4289</v>
      </c>
      <c r="B3191" s="9">
        <v>9</v>
      </c>
      <c r="C3191" s="257" t="s">
        <v>11255</v>
      </c>
      <c r="D3191" s="9">
        <v>1.9107826343405493E-2</v>
      </c>
      <c r="E3191" s="9"/>
      <c r="F3191" s="257" t="s">
        <v>15468</v>
      </c>
      <c r="G3191" s="9"/>
      <c r="H3191" s="257" t="s">
        <v>21303</v>
      </c>
      <c r="I3191" s="9">
        <v>2</v>
      </c>
    </row>
    <row r="3192" spans="1:9">
      <c r="A3192" s="257" t="s">
        <v>4290</v>
      </c>
      <c r="B3192" s="9">
        <v>9</v>
      </c>
      <c r="C3192" s="257" t="s">
        <v>11255</v>
      </c>
      <c r="D3192" s="9">
        <v>-4.5022739236457027E-3</v>
      </c>
      <c r="E3192" s="9"/>
      <c r="F3192" s="257" t="s">
        <v>15469</v>
      </c>
      <c r="G3192" s="9"/>
      <c r="H3192" s="257" t="s">
        <v>21304</v>
      </c>
      <c r="I3192" s="9">
        <v>2</v>
      </c>
    </row>
    <row r="3193" spans="1:9">
      <c r="A3193" s="257" t="s">
        <v>4291</v>
      </c>
      <c r="B3193" s="9">
        <v>9</v>
      </c>
      <c r="C3193" s="257" t="s">
        <v>11255</v>
      </c>
      <c r="D3193" s="9">
        <v>0</v>
      </c>
      <c r="E3193" s="9"/>
      <c r="F3193" s="257" t="s">
        <v>15470</v>
      </c>
      <c r="G3193" s="9"/>
      <c r="H3193" s="257" t="s">
        <v>21305</v>
      </c>
      <c r="I3193" s="9">
        <v>2</v>
      </c>
    </row>
    <row r="3194" spans="1:9">
      <c r="A3194" s="257" t="s">
        <v>4292</v>
      </c>
      <c r="B3194" s="9">
        <v>9</v>
      </c>
      <c r="C3194" s="257" t="s">
        <v>11255</v>
      </c>
      <c r="D3194" s="9">
        <v>0</v>
      </c>
      <c r="E3194" s="9"/>
      <c r="F3194" s="257" t="s">
        <v>15471</v>
      </c>
      <c r="G3194" s="9"/>
      <c r="H3194" s="257" t="s">
        <v>21306</v>
      </c>
      <c r="I3194" s="9">
        <v>2</v>
      </c>
    </row>
    <row r="3195" spans="1:9">
      <c r="A3195" s="257" t="s">
        <v>4293</v>
      </c>
      <c r="B3195" s="9">
        <v>9</v>
      </c>
      <c r="C3195" s="257" t="s">
        <v>11255</v>
      </c>
      <c r="D3195" s="9">
        <v>0</v>
      </c>
      <c r="E3195" s="9"/>
      <c r="F3195" s="257" t="s">
        <v>15472</v>
      </c>
      <c r="G3195" s="9"/>
      <c r="H3195" s="257" t="s">
        <v>21307</v>
      </c>
      <c r="I3195" s="9">
        <v>2</v>
      </c>
    </row>
    <row r="3196" spans="1:9">
      <c r="A3196" s="257" t="s">
        <v>4294</v>
      </c>
      <c r="B3196" s="9">
        <v>9</v>
      </c>
      <c r="C3196" s="257" t="s">
        <v>11255</v>
      </c>
      <c r="D3196" s="9">
        <v>0</v>
      </c>
      <c r="E3196" s="9"/>
      <c r="F3196" s="257" t="s">
        <v>15473</v>
      </c>
      <c r="G3196" s="9"/>
      <c r="H3196" s="257" t="s">
        <v>21308</v>
      </c>
      <c r="I3196" s="9">
        <v>2</v>
      </c>
    </row>
    <row r="3197" spans="1:9">
      <c r="A3197" s="257" t="s">
        <v>4295</v>
      </c>
      <c r="B3197" s="9">
        <v>9</v>
      </c>
      <c r="C3197" s="257" t="s">
        <v>11255</v>
      </c>
      <c r="D3197" s="9">
        <v>4.7902633901610216E-4</v>
      </c>
      <c r="E3197" s="9"/>
      <c r="F3197" s="257" t="s">
        <v>15474</v>
      </c>
      <c r="G3197" s="9"/>
      <c r="H3197" s="257" t="s">
        <v>21309</v>
      </c>
      <c r="I3197" s="9">
        <v>2</v>
      </c>
    </row>
    <row r="3198" spans="1:9">
      <c r="A3198" s="257" t="s">
        <v>4296</v>
      </c>
      <c r="B3198" s="9">
        <v>9</v>
      </c>
      <c r="C3198" s="257" t="s">
        <v>11255</v>
      </c>
      <c r="D3198" s="9">
        <v>0</v>
      </c>
      <c r="E3198" s="9"/>
      <c r="F3198" s="257" t="s">
        <v>15475</v>
      </c>
      <c r="G3198" s="9"/>
      <c r="H3198" s="257" t="s">
        <v>21310</v>
      </c>
      <c r="I3198" s="9">
        <v>2</v>
      </c>
    </row>
    <row r="3199" spans="1:9">
      <c r="A3199" s="257" t="s">
        <v>4297</v>
      </c>
      <c r="B3199" s="9">
        <v>9</v>
      </c>
      <c r="C3199" s="257" t="s">
        <v>11255</v>
      </c>
      <c r="D3199" s="9">
        <v>1.1507277495627216E-2</v>
      </c>
      <c r="E3199" s="9"/>
      <c r="F3199" s="257" t="s">
        <v>15476</v>
      </c>
      <c r="G3199" s="9"/>
      <c r="H3199" s="257" t="s">
        <v>21311</v>
      </c>
      <c r="I3199" s="9">
        <v>2</v>
      </c>
    </row>
    <row r="3200" spans="1:9">
      <c r="A3200" s="257" t="s">
        <v>4298</v>
      </c>
      <c r="B3200" s="9">
        <v>9</v>
      </c>
      <c r="C3200" s="257" t="s">
        <v>11255</v>
      </c>
      <c r="D3200" s="9">
        <v>-1.0019129186776272E-3</v>
      </c>
      <c r="E3200" s="9"/>
      <c r="F3200" s="257" t="s">
        <v>15477</v>
      </c>
      <c r="G3200" s="9"/>
      <c r="H3200" s="257" t="s">
        <v>21312</v>
      </c>
      <c r="I3200" s="9">
        <v>2</v>
      </c>
    </row>
    <row r="3201" spans="1:9">
      <c r="A3201" s="257" t="s">
        <v>4299</v>
      </c>
      <c r="B3201" s="9">
        <v>9</v>
      </c>
      <c r="C3201" s="257" t="s">
        <v>11255</v>
      </c>
      <c r="D3201" s="9">
        <v>1.050536457694959E-2</v>
      </c>
      <c r="E3201" s="9"/>
      <c r="F3201" s="257" t="s">
        <v>15478</v>
      </c>
      <c r="G3201" s="9"/>
      <c r="H3201" s="257" t="s">
        <v>21313</v>
      </c>
      <c r="I3201" s="9">
        <v>2</v>
      </c>
    </row>
    <row r="3202" spans="1:9">
      <c r="A3202" s="257" t="s">
        <v>4300</v>
      </c>
      <c r="B3202" s="9">
        <v>9</v>
      </c>
      <c r="C3202" s="257" t="s">
        <v>11255</v>
      </c>
      <c r="D3202" s="9">
        <v>6.3218076193164927E-3</v>
      </c>
      <c r="E3202" s="9"/>
      <c r="F3202" s="257" t="s">
        <v>15479</v>
      </c>
      <c r="G3202" s="9"/>
      <c r="H3202" s="257" t="s">
        <v>21314</v>
      </c>
      <c r="I3202" s="9">
        <v>2</v>
      </c>
    </row>
    <row r="3203" spans="1:9">
      <c r="A3203" s="257" t="s">
        <v>4301</v>
      </c>
      <c r="B3203" s="9">
        <v>9</v>
      </c>
      <c r="C3203" s="257" t="s">
        <v>11255</v>
      </c>
      <c r="D3203" s="9">
        <v>2.2806541471394118E-3</v>
      </c>
      <c r="E3203" s="9"/>
      <c r="F3203" s="257" t="s">
        <v>15480</v>
      </c>
      <c r="G3203" s="9"/>
      <c r="H3203" s="257" t="s">
        <v>21315</v>
      </c>
      <c r="I3203" s="9">
        <v>2</v>
      </c>
    </row>
    <row r="3204" spans="1:9">
      <c r="A3204" s="257" t="s">
        <v>4302</v>
      </c>
      <c r="B3204" s="9">
        <v>9</v>
      </c>
      <c r="C3204" s="257" t="s">
        <v>11255</v>
      </c>
      <c r="D3204" s="9">
        <v>8.6024617664559044E-3</v>
      </c>
      <c r="E3204" s="9"/>
      <c r="F3204" s="257" t="s">
        <v>15481</v>
      </c>
      <c r="G3204" s="9"/>
      <c r="H3204" s="257" t="s">
        <v>21316</v>
      </c>
      <c r="I3204" s="9">
        <v>2</v>
      </c>
    </row>
    <row r="3205" spans="1:9">
      <c r="A3205" s="257" t="s">
        <v>4303</v>
      </c>
      <c r="B3205" s="9">
        <v>9</v>
      </c>
      <c r="C3205" s="257" t="s">
        <v>11255</v>
      </c>
      <c r="D3205" s="9">
        <v>-6.3689542163174726E-4</v>
      </c>
      <c r="E3205" s="9"/>
      <c r="F3205" s="257" t="s">
        <v>15482</v>
      </c>
      <c r="G3205" s="9"/>
      <c r="H3205" s="257" t="s">
        <v>21317</v>
      </c>
      <c r="I3205" s="9">
        <v>2</v>
      </c>
    </row>
    <row r="3206" spans="1:9">
      <c r="A3206" s="257" t="s">
        <v>4304</v>
      </c>
      <c r="B3206" s="9">
        <v>9</v>
      </c>
      <c r="C3206" s="257" t="s">
        <v>11255</v>
      </c>
      <c r="D3206" s="9">
        <v>-3.8653785020139556E-3</v>
      </c>
      <c r="E3206" s="9"/>
      <c r="F3206" s="257" t="s">
        <v>15483</v>
      </c>
      <c r="G3206" s="9"/>
      <c r="H3206" s="257" t="s">
        <v>21318</v>
      </c>
      <c r="I3206" s="9">
        <v>2</v>
      </c>
    </row>
    <row r="3207" spans="1:9">
      <c r="A3207" s="257" t="s">
        <v>4305</v>
      </c>
      <c r="B3207" s="9">
        <v>10</v>
      </c>
      <c r="C3207" s="257" t="s">
        <v>11255</v>
      </c>
      <c r="D3207" s="9">
        <v>8.0052062127438841E-3</v>
      </c>
      <c r="E3207" s="9"/>
      <c r="F3207" s="257" t="s">
        <v>15484</v>
      </c>
      <c r="G3207" s="9"/>
      <c r="H3207" s="257" t="s">
        <v>21319</v>
      </c>
      <c r="I3207" s="9">
        <v>2</v>
      </c>
    </row>
    <row r="3208" spans="1:9">
      <c r="A3208" s="257" t="s">
        <v>4306</v>
      </c>
      <c r="B3208" s="9">
        <v>10</v>
      </c>
      <c r="C3208" s="257" t="s">
        <v>11255</v>
      </c>
      <c r="D3208" s="9">
        <v>8.4281726286421273E-3</v>
      </c>
      <c r="E3208" s="9"/>
      <c r="F3208" s="257" t="s">
        <v>15485</v>
      </c>
      <c r="G3208" s="9"/>
      <c r="H3208" s="257" t="s">
        <v>21320</v>
      </c>
      <c r="I3208" s="9">
        <v>2</v>
      </c>
    </row>
    <row r="3209" spans="1:9">
      <c r="A3209" s="257" t="s">
        <v>4307</v>
      </c>
      <c r="B3209" s="9">
        <v>10</v>
      </c>
      <c r="C3209" s="257" t="s">
        <v>11255</v>
      </c>
      <c r="D3209" s="9">
        <v>4.9036105591507752E-3</v>
      </c>
      <c r="E3209" s="9"/>
      <c r="F3209" s="257" t="s">
        <v>15486</v>
      </c>
      <c r="G3209" s="9"/>
      <c r="H3209" s="257" t="s">
        <v>21321</v>
      </c>
      <c r="I3209" s="9">
        <v>2</v>
      </c>
    </row>
    <row r="3210" spans="1:9">
      <c r="A3210" s="257" t="s">
        <v>4308</v>
      </c>
      <c r="B3210" s="9">
        <v>10</v>
      </c>
      <c r="C3210" s="257" t="s">
        <v>11255</v>
      </c>
      <c r="D3210" s="9">
        <v>0</v>
      </c>
      <c r="E3210" s="9"/>
      <c r="F3210" s="257" t="s">
        <v>15487</v>
      </c>
      <c r="G3210" s="9"/>
      <c r="H3210" s="257" t="s">
        <v>21322</v>
      </c>
      <c r="I3210" s="9">
        <v>2</v>
      </c>
    </row>
    <row r="3211" spans="1:9">
      <c r="A3211" s="257" t="s">
        <v>4309</v>
      </c>
      <c r="B3211" s="9">
        <v>10</v>
      </c>
      <c r="C3211" s="257" t="s">
        <v>11255</v>
      </c>
      <c r="D3211" s="9">
        <v>4.2296641589824346E-4</v>
      </c>
      <c r="E3211" s="9"/>
      <c r="F3211" s="257" t="s">
        <v>15488</v>
      </c>
      <c r="G3211" s="9"/>
      <c r="H3211" s="257" t="s">
        <v>21323</v>
      </c>
      <c r="I3211" s="9">
        <v>2</v>
      </c>
    </row>
    <row r="3212" spans="1:9">
      <c r="A3212" s="257" t="s">
        <v>4310</v>
      </c>
      <c r="B3212" s="9">
        <v>10</v>
      </c>
      <c r="C3212" s="257" t="s">
        <v>11255</v>
      </c>
      <c r="D3212" s="9">
        <v>1.3331783187792903E-2</v>
      </c>
      <c r="E3212" s="9"/>
      <c r="F3212" s="257" t="s">
        <v>15489</v>
      </c>
      <c r="G3212" s="9"/>
      <c r="H3212" s="257" t="s">
        <v>21324</v>
      </c>
      <c r="I3212" s="9">
        <v>2</v>
      </c>
    </row>
    <row r="3213" spans="1:9">
      <c r="A3213" s="257" t="s">
        <v>4311</v>
      </c>
      <c r="B3213" s="9">
        <v>10</v>
      </c>
      <c r="C3213" s="257" t="s">
        <v>11255</v>
      </c>
      <c r="D3213" s="9">
        <v>1.2908816771894659E-2</v>
      </c>
      <c r="E3213" s="9"/>
      <c r="F3213" s="257" t="s">
        <v>15490</v>
      </c>
      <c r="G3213" s="9"/>
      <c r="H3213" s="257" t="s">
        <v>21325</v>
      </c>
      <c r="I3213" s="9">
        <v>2</v>
      </c>
    </row>
    <row r="3214" spans="1:9">
      <c r="A3214" s="257" t="s">
        <v>4312</v>
      </c>
      <c r="B3214" s="9">
        <v>10</v>
      </c>
      <c r="C3214" s="257" t="s">
        <v>11255</v>
      </c>
      <c r="D3214" s="9">
        <v>1.3331783187792903E-2</v>
      </c>
      <c r="E3214" s="9"/>
      <c r="F3214" s="257" t="s">
        <v>15491</v>
      </c>
      <c r="G3214" s="9"/>
      <c r="H3214" s="257" t="s">
        <v>21326</v>
      </c>
      <c r="I3214" s="9">
        <v>2</v>
      </c>
    </row>
    <row r="3215" spans="1:9">
      <c r="A3215" s="257" t="s">
        <v>4313</v>
      </c>
      <c r="B3215" s="9">
        <v>10</v>
      </c>
      <c r="C3215" s="257" t="s">
        <v>11255</v>
      </c>
      <c r="D3215" s="9">
        <v>1.879211929954663E-2</v>
      </c>
      <c r="E3215" s="9"/>
      <c r="F3215" s="257" t="s">
        <v>15492</v>
      </c>
      <c r="G3215" s="9"/>
      <c r="H3215" s="257" t="s">
        <v>21327</v>
      </c>
      <c r="I3215" s="9">
        <v>2</v>
      </c>
    </row>
    <row r="3216" spans="1:9">
      <c r="A3216" s="257" t="s">
        <v>4314</v>
      </c>
      <c r="B3216" s="9">
        <v>10</v>
      </c>
      <c r="C3216" s="257" t="s">
        <v>11255</v>
      </c>
      <c r="D3216" s="9">
        <v>1.9215085715444873E-2</v>
      </c>
      <c r="E3216" s="9"/>
      <c r="F3216" s="257" t="s">
        <v>15493</v>
      </c>
      <c r="G3216" s="9"/>
      <c r="H3216" s="257" t="s">
        <v>21328</v>
      </c>
      <c r="I3216" s="9">
        <v>2</v>
      </c>
    </row>
    <row r="3217" spans="1:9">
      <c r="A3217" s="257" t="s">
        <v>4315</v>
      </c>
      <c r="B3217" s="9">
        <v>10</v>
      </c>
      <c r="C3217" s="257" t="s">
        <v>11255</v>
      </c>
      <c r="D3217" s="9">
        <v>-5.8833025276519716E-3</v>
      </c>
      <c r="E3217" s="9"/>
      <c r="F3217" s="257" t="s">
        <v>15494</v>
      </c>
      <c r="G3217" s="9"/>
      <c r="H3217" s="257" t="s">
        <v>21329</v>
      </c>
      <c r="I3217" s="9">
        <v>2</v>
      </c>
    </row>
    <row r="3218" spans="1:9">
      <c r="A3218" s="257" t="s">
        <v>4316</v>
      </c>
      <c r="B3218" s="9">
        <v>10</v>
      </c>
      <c r="C3218" s="257" t="s">
        <v>11255</v>
      </c>
      <c r="D3218" s="9">
        <v>0</v>
      </c>
      <c r="E3218" s="9"/>
      <c r="F3218" s="257" t="s">
        <v>15495</v>
      </c>
      <c r="G3218" s="9"/>
      <c r="H3218" s="257" t="s">
        <v>21330</v>
      </c>
      <c r="I3218" s="9">
        <v>2</v>
      </c>
    </row>
    <row r="3219" spans="1:9">
      <c r="A3219" s="257" t="s">
        <v>4317</v>
      </c>
      <c r="B3219" s="9">
        <v>10</v>
      </c>
      <c r="C3219" s="257" t="s">
        <v>11255</v>
      </c>
      <c r="D3219" s="9">
        <v>0</v>
      </c>
      <c r="E3219" s="9"/>
      <c r="F3219" s="257" t="s">
        <v>15496</v>
      </c>
      <c r="G3219" s="9"/>
      <c r="H3219" s="257" t="s">
        <v>21331</v>
      </c>
      <c r="I3219" s="9">
        <v>2</v>
      </c>
    </row>
    <row r="3220" spans="1:9">
      <c r="A3220" s="257" t="s">
        <v>4318</v>
      </c>
      <c r="B3220" s="9">
        <v>10</v>
      </c>
      <c r="C3220" s="257" t="s">
        <v>11255</v>
      </c>
      <c r="D3220" s="9">
        <v>0</v>
      </c>
      <c r="E3220" s="9"/>
      <c r="F3220" s="257" t="s">
        <v>15497</v>
      </c>
      <c r="G3220" s="9"/>
      <c r="H3220" s="257" t="s">
        <v>21332</v>
      </c>
      <c r="I3220" s="9">
        <v>2</v>
      </c>
    </row>
    <row r="3221" spans="1:9">
      <c r="A3221" s="257" t="s">
        <v>4319</v>
      </c>
      <c r="B3221" s="9">
        <v>10</v>
      </c>
      <c r="C3221" s="257" t="s">
        <v>11255</v>
      </c>
      <c r="D3221" s="9">
        <v>0</v>
      </c>
      <c r="E3221" s="9"/>
      <c r="F3221" s="257" t="s">
        <v>15498</v>
      </c>
      <c r="G3221" s="9"/>
      <c r="H3221" s="257" t="s">
        <v>21333</v>
      </c>
      <c r="I3221" s="9">
        <v>2</v>
      </c>
    </row>
    <row r="3222" spans="1:9">
      <c r="A3222" s="257" t="s">
        <v>4320</v>
      </c>
      <c r="B3222" s="9">
        <v>10</v>
      </c>
      <c r="C3222" s="257" t="s">
        <v>11255</v>
      </c>
      <c r="D3222" s="9">
        <v>4.2296641589824346E-4</v>
      </c>
      <c r="E3222" s="9"/>
      <c r="F3222" s="257" t="s">
        <v>15499</v>
      </c>
      <c r="G3222" s="9"/>
      <c r="H3222" s="257" t="s">
        <v>21334</v>
      </c>
      <c r="I3222" s="9">
        <v>2</v>
      </c>
    </row>
    <row r="3223" spans="1:9">
      <c r="A3223" s="257" t="s">
        <v>4321</v>
      </c>
      <c r="B3223" s="9">
        <v>10</v>
      </c>
      <c r="C3223" s="257" t="s">
        <v>11255</v>
      </c>
      <c r="D3223" s="9">
        <v>0</v>
      </c>
      <c r="E3223" s="9"/>
      <c r="F3223" s="257" t="s">
        <v>15500</v>
      </c>
      <c r="G3223" s="9"/>
      <c r="H3223" s="257" t="s">
        <v>21335</v>
      </c>
      <c r="I3223" s="9">
        <v>2</v>
      </c>
    </row>
    <row r="3224" spans="1:9">
      <c r="A3224" s="257" t="s">
        <v>4322</v>
      </c>
      <c r="B3224" s="9">
        <v>10</v>
      </c>
      <c r="C3224" s="257" t="s">
        <v>11255</v>
      </c>
      <c r="D3224" s="9">
        <v>1.0631350314650621E-2</v>
      </c>
      <c r="E3224" s="9"/>
      <c r="F3224" s="257" t="s">
        <v>15501</v>
      </c>
      <c r="G3224" s="9"/>
      <c r="H3224" s="257" t="s">
        <v>21336</v>
      </c>
      <c r="I3224" s="9">
        <v>2</v>
      </c>
    </row>
    <row r="3225" spans="1:9">
      <c r="A3225" s="257" t="s">
        <v>4323</v>
      </c>
      <c r="B3225" s="9">
        <v>10</v>
      </c>
      <c r="C3225" s="257" t="s">
        <v>11255</v>
      </c>
      <c r="D3225" s="9">
        <v>-9.9999336005324006E-4</v>
      </c>
      <c r="E3225" s="9"/>
      <c r="F3225" s="257" t="s">
        <v>15502</v>
      </c>
      <c r="G3225" s="9"/>
      <c r="H3225" s="257" t="s">
        <v>21337</v>
      </c>
      <c r="I3225" s="9">
        <v>2</v>
      </c>
    </row>
    <row r="3226" spans="1:9">
      <c r="A3226" s="257" t="s">
        <v>4324</v>
      </c>
      <c r="B3226" s="9">
        <v>10</v>
      </c>
      <c r="C3226" s="257" t="s">
        <v>11255</v>
      </c>
      <c r="D3226" s="9">
        <v>9.6313569545973809E-3</v>
      </c>
      <c r="E3226" s="9"/>
      <c r="F3226" s="257" t="s">
        <v>15503</v>
      </c>
      <c r="G3226" s="9"/>
      <c r="H3226" s="257" t="s">
        <v>21338</v>
      </c>
      <c r="I3226" s="9">
        <v>2</v>
      </c>
    </row>
    <row r="3227" spans="1:9">
      <c r="A3227" s="257" t="s">
        <v>4325</v>
      </c>
      <c r="B3227" s="9">
        <v>10</v>
      </c>
      <c r="C3227" s="257" t="s">
        <v>11255</v>
      </c>
      <c r="D3227" s="9">
        <v>7.239424036093468E-3</v>
      </c>
      <c r="E3227" s="9"/>
      <c r="F3227" s="257" t="s">
        <v>15504</v>
      </c>
      <c r="G3227" s="9"/>
      <c r="H3227" s="257" t="s">
        <v>21339</v>
      </c>
      <c r="I3227" s="9">
        <v>2</v>
      </c>
    </row>
    <row r="3228" spans="1:9">
      <c r="A3228" s="257" t="s">
        <v>4326</v>
      </c>
      <c r="B3228" s="9">
        <v>10</v>
      </c>
      <c r="C3228" s="257" t="s">
        <v>11255</v>
      </c>
      <c r="D3228" s="9">
        <v>2.3443047247540243E-3</v>
      </c>
      <c r="E3228" s="9"/>
      <c r="F3228" s="257" t="s">
        <v>15505</v>
      </c>
      <c r="G3228" s="9"/>
      <c r="H3228" s="257" t="s">
        <v>21340</v>
      </c>
      <c r="I3228" s="9">
        <v>2</v>
      </c>
    </row>
    <row r="3229" spans="1:9">
      <c r="A3229" s="257" t="s">
        <v>4327</v>
      </c>
      <c r="B3229" s="9">
        <v>10</v>
      </c>
      <c r="C3229" s="257" t="s">
        <v>11255</v>
      </c>
      <c r="D3229" s="9">
        <v>9.5837287608474923E-3</v>
      </c>
      <c r="E3229" s="9"/>
      <c r="F3229" s="257" t="s">
        <v>15506</v>
      </c>
      <c r="G3229" s="9"/>
      <c r="H3229" s="257" t="s">
        <v>21341</v>
      </c>
      <c r="I3229" s="9">
        <v>2</v>
      </c>
    </row>
    <row r="3230" spans="1:9">
      <c r="A3230" s="257" t="s">
        <v>4328</v>
      </c>
      <c r="B3230" s="9">
        <v>10</v>
      </c>
      <c r="C3230" s="257" t="s">
        <v>11255</v>
      </c>
      <c r="D3230" s="9">
        <v>-1.203184325955254E-3</v>
      </c>
      <c r="E3230" s="9"/>
      <c r="F3230" s="257" t="s">
        <v>15507</v>
      </c>
      <c r="G3230" s="9"/>
      <c r="H3230" s="257" t="s">
        <v>21342</v>
      </c>
      <c r="I3230" s="9">
        <v>2</v>
      </c>
    </row>
    <row r="3231" spans="1:9">
      <c r="A3231" s="257" t="s">
        <v>4329</v>
      </c>
      <c r="B3231" s="9">
        <v>10</v>
      </c>
      <c r="C3231" s="257" t="s">
        <v>11255</v>
      </c>
      <c r="D3231" s="9">
        <v>-4.680118201696718E-3</v>
      </c>
      <c r="E3231" s="9"/>
      <c r="F3231" s="257" t="s">
        <v>15508</v>
      </c>
      <c r="G3231" s="9"/>
      <c r="H3231" s="257" t="s">
        <v>21343</v>
      </c>
      <c r="I3231" s="9">
        <v>2</v>
      </c>
    </row>
    <row r="3232" spans="1:9">
      <c r="A3232" s="257" t="s">
        <v>4330</v>
      </c>
      <c r="B3232" s="9">
        <v>1</v>
      </c>
      <c r="C3232" s="257" t="s">
        <v>11256</v>
      </c>
      <c r="D3232" s="9">
        <v>1.6035007145418376E-2</v>
      </c>
      <c r="E3232" s="9"/>
      <c r="F3232" s="257" t="s">
        <v>15509</v>
      </c>
      <c r="G3232" s="9"/>
      <c r="H3232" s="257" t="s">
        <v>21344</v>
      </c>
      <c r="I3232" s="9">
        <v>2</v>
      </c>
    </row>
    <row r="3233" spans="1:9">
      <c r="A3233" s="257" t="s">
        <v>4331</v>
      </c>
      <c r="B3233" s="9">
        <v>1</v>
      </c>
      <c r="C3233" s="257" t="s">
        <v>11256</v>
      </c>
      <c r="D3233" s="9">
        <v>1.6842895163297324E-2</v>
      </c>
      <c r="E3233" s="9"/>
      <c r="F3233" s="257" t="s">
        <v>15510</v>
      </c>
      <c r="G3233" s="9"/>
      <c r="H3233" s="257" t="s">
        <v>21345</v>
      </c>
      <c r="I3233" s="9">
        <v>2</v>
      </c>
    </row>
    <row r="3234" spans="1:9">
      <c r="A3234" s="257" t="s">
        <v>4332</v>
      </c>
      <c r="B3234" s="9">
        <v>1</v>
      </c>
      <c r="C3234" s="257" t="s">
        <v>11256</v>
      </c>
      <c r="D3234" s="9">
        <v>2.4232546992600931E-3</v>
      </c>
      <c r="E3234" s="9"/>
      <c r="F3234" s="257" t="s">
        <v>15511</v>
      </c>
      <c r="G3234" s="9"/>
      <c r="H3234" s="257" t="s">
        <v>21346</v>
      </c>
      <c r="I3234" s="9">
        <v>2</v>
      </c>
    </row>
    <row r="3235" spans="1:9">
      <c r="A3235" s="257" t="s">
        <v>4333</v>
      </c>
      <c r="B3235" s="9">
        <v>1</v>
      </c>
      <c r="C3235" s="257" t="s">
        <v>11256</v>
      </c>
      <c r="D3235" s="9"/>
      <c r="E3235" s="9"/>
      <c r="F3235" s="257" t="s">
        <v>15512</v>
      </c>
      <c r="G3235" s="9"/>
      <c r="H3235" s="257" t="s">
        <v>21347</v>
      </c>
      <c r="I3235" s="9">
        <v>2</v>
      </c>
    </row>
    <row r="3236" spans="1:9">
      <c r="A3236" s="257" t="s">
        <v>4334</v>
      </c>
      <c r="B3236" s="9">
        <v>1</v>
      </c>
      <c r="C3236" s="257" t="s">
        <v>11256</v>
      </c>
      <c r="D3236" s="9">
        <v>8.0219799768861395E-4</v>
      </c>
      <c r="E3236" s="9"/>
      <c r="F3236" s="257" t="s">
        <v>15513</v>
      </c>
      <c r="G3236" s="9"/>
      <c r="H3236" s="257" t="s">
        <v>21348</v>
      </c>
      <c r="I3236" s="9">
        <v>2</v>
      </c>
    </row>
    <row r="3237" spans="1:9">
      <c r="A3237" s="257" t="s">
        <v>4335</v>
      </c>
      <c r="B3237" s="9">
        <v>1</v>
      </c>
      <c r="C3237" s="257" t="s">
        <v>11256</v>
      </c>
      <c r="D3237" s="9">
        <v>4.5338820082007755E-3</v>
      </c>
      <c r="E3237" s="9"/>
      <c r="F3237" s="257" t="s">
        <v>15514</v>
      </c>
      <c r="G3237" s="9"/>
      <c r="H3237" s="257" t="s">
        <v>21349</v>
      </c>
      <c r="I3237" s="9">
        <v>2</v>
      </c>
    </row>
    <row r="3238" spans="1:9">
      <c r="A3238" s="257" t="s">
        <v>4336</v>
      </c>
      <c r="B3238" s="9">
        <v>1</v>
      </c>
      <c r="C3238" s="257" t="s">
        <v>11256</v>
      </c>
      <c r="D3238" s="9">
        <v>4.3997527961857309E-3</v>
      </c>
      <c r="E3238" s="9"/>
      <c r="F3238" s="257" t="s">
        <v>15515</v>
      </c>
      <c r="G3238" s="9"/>
      <c r="H3238" s="257" t="s">
        <v>21350</v>
      </c>
      <c r="I3238" s="9">
        <v>2</v>
      </c>
    </row>
    <row r="3239" spans="1:9">
      <c r="A3239" s="257" t="s">
        <v>4337</v>
      </c>
      <c r="B3239" s="9">
        <v>1</v>
      </c>
      <c r="C3239" s="257" t="s">
        <v>11256</v>
      </c>
      <c r="D3239" s="9">
        <v>4.5338820082007755E-3</v>
      </c>
      <c r="E3239" s="9"/>
      <c r="F3239" s="257" t="s">
        <v>15516</v>
      </c>
      <c r="G3239" s="9"/>
      <c r="H3239" s="257" t="s">
        <v>21351</v>
      </c>
      <c r="I3239" s="9">
        <v>2</v>
      </c>
    </row>
    <row r="3240" spans="1:9">
      <c r="A3240" s="257" t="s">
        <v>4338</v>
      </c>
      <c r="B3240" s="9">
        <v>1</v>
      </c>
      <c r="C3240" s="257" t="s">
        <v>11256</v>
      </c>
      <c r="D3240" s="9">
        <v>5.8260644026284199E-3</v>
      </c>
      <c r="E3240" s="9"/>
      <c r="F3240" s="257" t="s">
        <v>15517</v>
      </c>
      <c r="G3240" s="9"/>
      <c r="H3240" s="257" t="s">
        <v>21352</v>
      </c>
      <c r="I3240" s="9">
        <v>2</v>
      </c>
    </row>
    <row r="3241" spans="1:9">
      <c r="A3241" s="257" t="s">
        <v>4339</v>
      </c>
      <c r="B3241" s="9">
        <v>1</v>
      </c>
      <c r="C3241" s="257" t="s">
        <v>11256</v>
      </c>
      <c r="D3241" s="9">
        <v>5.9601936146434628E-3</v>
      </c>
      <c r="E3241" s="9"/>
      <c r="F3241" s="257" t="s">
        <v>15518</v>
      </c>
      <c r="G3241" s="9"/>
      <c r="H3241" s="257" t="s">
        <v>21353</v>
      </c>
      <c r="I3241" s="9">
        <v>2</v>
      </c>
    </row>
    <row r="3242" spans="1:9">
      <c r="A3242" s="257" t="s">
        <v>4340</v>
      </c>
      <c r="B3242" s="9">
        <v>1</v>
      </c>
      <c r="C3242" s="257" t="s">
        <v>11256</v>
      </c>
      <c r="D3242" s="9">
        <v>-1.0216832321536997E-2</v>
      </c>
      <c r="E3242" s="9"/>
      <c r="F3242" s="257" t="s">
        <v>15519</v>
      </c>
      <c r="G3242" s="9"/>
      <c r="H3242" s="257" t="s">
        <v>21354</v>
      </c>
      <c r="I3242" s="9">
        <v>2</v>
      </c>
    </row>
    <row r="3243" spans="1:9">
      <c r="A3243" s="257" t="s">
        <v>4341</v>
      </c>
      <c r="B3243" s="9">
        <v>1</v>
      </c>
      <c r="C3243" s="257" t="s">
        <v>11256</v>
      </c>
      <c r="D3243" s="9"/>
      <c r="E3243" s="9"/>
      <c r="F3243" s="257" t="s">
        <v>15520</v>
      </c>
      <c r="G3243" s="9"/>
      <c r="H3243" s="257" t="s">
        <v>21355</v>
      </c>
      <c r="I3243" s="9">
        <v>2</v>
      </c>
    </row>
    <row r="3244" spans="1:9">
      <c r="A3244" s="257" t="s">
        <v>4342</v>
      </c>
      <c r="B3244" s="9">
        <v>1</v>
      </c>
      <c r="C3244" s="257" t="s">
        <v>11256</v>
      </c>
      <c r="D3244" s="9"/>
      <c r="E3244" s="9"/>
      <c r="F3244" s="257" t="s">
        <v>15521</v>
      </c>
      <c r="G3244" s="9"/>
      <c r="H3244" s="257" t="s">
        <v>21356</v>
      </c>
      <c r="I3244" s="9">
        <v>2</v>
      </c>
    </row>
    <row r="3245" spans="1:9">
      <c r="A3245" s="257" t="s">
        <v>4343</v>
      </c>
      <c r="B3245" s="9">
        <v>1</v>
      </c>
      <c r="C3245" s="257" t="s">
        <v>11256</v>
      </c>
      <c r="D3245" s="9"/>
      <c r="E3245" s="9"/>
      <c r="F3245" s="257" t="s">
        <v>15522</v>
      </c>
      <c r="G3245" s="9"/>
      <c r="H3245" s="257" t="s">
        <v>21357</v>
      </c>
      <c r="I3245" s="9">
        <v>2</v>
      </c>
    </row>
    <row r="3246" spans="1:9">
      <c r="A3246" s="257" t="s">
        <v>4344</v>
      </c>
      <c r="B3246" s="9">
        <v>1</v>
      </c>
      <c r="C3246" s="257" t="s">
        <v>11256</v>
      </c>
      <c r="D3246" s="9"/>
      <c r="E3246" s="9"/>
      <c r="F3246" s="257" t="s">
        <v>15523</v>
      </c>
      <c r="G3246" s="9"/>
      <c r="H3246" s="257" t="s">
        <v>21358</v>
      </c>
      <c r="I3246" s="9">
        <v>2</v>
      </c>
    </row>
    <row r="3247" spans="1:9">
      <c r="A3247" s="257" t="s">
        <v>4345</v>
      </c>
      <c r="B3247" s="9">
        <v>1</v>
      </c>
      <c r="C3247" s="257" t="s">
        <v>11256</v>
      </c>
      <c r="D3247" s="9">
        <v>8.0219799768861395E-4</v>
      </c>
      <c r="E3247" s="9"/>
      <c r="F3247" s="257" t="s">
        <v>15524</v>
      </c>
      <c r="G3247" s="9"/>
      <c r="H3247" s="257" t="s">
        <v>21359</v>
      </c>
      <c r="I3247" s="9">
        <v>2</v>
      </c>
    </row>
    <row r="3248" spans="1:9">
      <c r="A3248" s="257" t="s">
        <v>4346</v>
      </c>
      <c r="B3248" s="9">
        <v>1</v>
      </c>
      <c r="C3248" s="257" t="s">
        <v>11256</v>
      </c>
      <c r="D3248" s="9"/>
      <c r="E3248" s="9"/>
      <c r="F3248" s="257" t="s">
        <v>15525</v>
      </c>
      <c r="G3248" s="9"/>
      <c r="H3248" s="257" t="s">
        <v>21360</v>
      </c>
      <c r="I3248" s="9">
        <v>2</v>
      </c>
    </row>
    <row r="3249" spans="1:9">
      <c r="A3249" s="257" t="s">
        <v>4347</v>
      </c>
      <c r="B3249" s="9">
        <v>1</v>
      </c>
      <c r="C3249" s="257" t="s">
        <v>11256</v>
      </c>
      <c r="D3249" s="9">
        <v>1.7725662570240674E-2</v>
      </c>
      <c r="E3249" s="9"/>
      <c r="F3249" s="257" t="s">
        <v>15526</v>
      </c>
      <c r="G3249" s="9"/>
      <c r="H3249" s="257" t="s">
        <v>21361</v>
      </c>
      <c r="I3249" s="9">
        <v>2</v>
      </c>
    </row>
    <row r="3250" spans="1:9">
      <c r="A3250" s="257" t="s">
        <v>4348</v>
      </c>
      <c r="B3250" s="9">
        <v>1</v>
      </c>
      <c r="C3250" s="257" t="s">
        <v>11256</v>
      </c>
      <c r="D3250" s="9"/>
      <c r="E3250" s="9"/>
      <c r="F3250" s="257" t="s">
        <v>15527</v>
      </c>
      <c r="G3250" s="9"/>
      <c r="H3250" s="257" t="s">
        <v>21362</v>
      </c>
      <c r="I3250" s="9">
        <v>2</v>
      </c>
    </row>
    <row r="3251" spans="1:9">
      <c r="A3251" s="257" t="s">
        <v>4349</v>
      </c>
      <c r="B3251" s="9">
        <v>1</v>
      </c>
      <c r="C3251" s="257" t="s">
        <v>11256</v>
      </c>
      <c r="D3251" s="9">
        <v>1.7036138517910273E-2</v>
      </c>
      <c r="E3251" s="9"/>
      <c r="F3251" s="257" t="s">
        <v>15528</v>
      </c>
      <c r="G3251" s="9"/>
      <c r="H3251" s="257" t="s">
        <v>21363</v>
      </c>
      <c r="I3251" s="9">
        <v>2</v>
      </c>
    </row>
    <row r="3252" spans="1:9">
      <c r="A3252" s="257" t="s">
        <v>4350</v>
      </c>
      <c r="B3252" s="9">
        <v>1</v>
      </c>
      <c r="C3252" s="257" t="s">
        <v>11256</v>
      </c>
      <c r="D3252" s="9">
        <v>1.4404134110567899E-2</v>
      </c>
      <c r="E3252" s="9"/>
      <c r="F3252" s="257" t="s">
        <v>15529</v>
      </c>
      <c r="G3252" s="9"/>
      <c r="H3252" s="257" t="s">
        <v>21364</v>
      </c>
      <c r="I3252" s="9">
        <v>2</v>
      </c>
    </row>
    <row r="3253" spans="1:9">
      <c r="A3253" s="257" t="s">
        <v>4351</v>
      </c>
      <c r="B3253" s="9">
        <v>1</v>
      </c>
      <c r="C3253" s="257" t="s">
        <v>11256</v>
      </c>
      <c r="D3253" s="9">
        <v>1.8816180557556252E-3</v>
      </c>
      <c r="E3253" s="9"/>
      <c r="F3253" s="257" t="s">
        <v>15530</v>
      </c>
      <c r="G3253" s="9"/>
      <c r="H3253" s="257" t="s">
        <v>21365</v>
      </c>
      <c r="I3253" s="9">
        <v>2</v>
      </c>
    </row>
    <row r="3254" spans="1:9">
      <c r="A3254" s="257" t="s">
        <v>4352</v>
      </c>
      <c r="B3254" s="9">
        <v>1</v>
      </c>
      <c r="C3254" s="257" t="s">
        <v>11256</v>
      </c>
      <c r="D3254" s="9">
        <v>3.8174882409480085E-3</v>
      </c>
      <c r="E3254" s="9"/>
      <c r="F3254" s="257" t="s">
        <v>15531</v>
      </c>
      <c r="G3254" s="9"/>
      <c r="H3254" s="257" t="s">
        <v>21366</v>
      </c>
      <c r="I3254" s="9">
        <v>2</v>
      </c>
    </row>
    <row r="3255" spans="1:9">
      <c r="A3255" s="257" t="s">
        <v>4353</v>
      </c>
      <c r="B3255" s="9">
        <v>1</v>
      </c>
      <c r="C3255" s="257" t="s">
        <v>11256</v>
      </c>
      <c r="D3255" s="9">
        <v>-4.1811396696295501E-3</v>
      </c>
      <c r="E3255" s="9"/>
      <c r="F3255" s="257" t="s">
        <v>15532</v>
      </c>
      <c r="G3255" s="9"/>
      <c r="H3255" s="257" t="s">
        <v>21367</v>
      </c>
      <c r="I3255" s="9">
        <v>2</v>
      </c>
    </row>
    <row r="3256" spans="1:9">
      <c r="A3256" s="257" t="s">
        <v>4354</v>
      </c>
      <c r="B3256" s="9">
        <v>1</v>
      </c>
      <c r="C3256" s="257" t="s">
        <v>11256</v>
      </c>
      <c r="D3256" s="9">
        <v>-1.0374004966623836E-2</v>
      </c>
      <c r="E3256" s="9"/>
      <c r="F3256" s="257" t="s">
        <v>15533</v>
      </c>
      <c r="G3256" s="9"/>
      <c r="H3256" s="257" t="s">
        <v>21368</v>
      </c>
      <c r="I3256" s="9">
        <v>2</v>
      </c>
    </row>
    <row r="3257" spans="1:9">
      <c r="A3257" s="257" t="s">
        <v>4355</v>
      </c>
      <c r="B3257" s="9">
        <v>2</v>
      </c>
      <c r="C3257" s="257" t="s">
        <v>11256</v>
      </c>
      <c r="D3257" s="9">
        <v>1.2911266679476709E-2</v>
      </c>
      <c r="E3257" s="9"/>
      <c r="F3257" s="257" t="s">
        <v>15534</v>
      </c>
      <c r="G3257" s="9"/>
      <c r="H3257" s="257" t="s">
        <v>21369</v>
      </c>
      <c r="I3257" s="9">
        <v>2</v>
      </c>
    </row>
    <row r="3258" spans="1:9">
      <c r="A3258" s="257" t="s">
        <v>4356</v>
      </c>
      <c r="B3258" s="9">
        <v>2</v>
      </c>
      <c r="C3258" s="257" t="s">
        <v>11256</v>
      </c>
      <c r="D3258" s="9">
        <v>1.3571821507778092E-2</v>
      </c>
      <c r="E3258" s="9"/>
      <c r="F3258" s="257" t="s">
        <v>15535</v>
      </c>
      <c r="G3258" s="9"/>
      <c r="H3258" s="257" t="s">
        <v>21370</v>
      </c>
      <c r="I3258" s="9">
        <v>2</v>
      </c>
    </row>
    <row r="3259" spans="1:9">
      <c r="A3259" s="257" t="s">
        <v>4357</v>
      </c>
      <c r="B3259" s="9">
        <v>2</v>
      </c>
      <c r="C3259" s="257" t="s">
        <v>11256</v>
      </c>
      <c r="D3259" s="9">
        <v>2.9511846795462243E-3</v>
      </c>
      <c r="E3259" s="9"/>
      <c r="F3259" s="257" t="s">
        <v>15536</v>
      </c>
      <c r="G3259" s="9"/>
      <c r="H3259" s="257" t="s">
        <v>21371</v>
      </c>
      <c r="I3259" s="9">
        <v>2</v>
      </c>
    </row>
    <row r="3260" spans="1:9">
      <c r="A3260" s="257" t="s">
        <v>4358</v>
      </c>
      <c r="B3260" s="9">
        <v>2</v>
      </c>
      <c r="C3260" s="257" t="s">
        <v>11256</v>
      </c>
      <c r="D3260" s="9"/>
      <c r="E3260" s="9"/>
      <c r="F3260" s="257" t="s">
        <v>15537</v>
      </c>
      <c r="G3260" s="9"/>
      <c r="H3260" s="257" t="s">
        <v>21372</v>
      </c>
      <c r="I3260" s="9">
        <v>2</v>
      </c>
    </row>
    <row r="3261" spans="1:9">
      <c r="A3261" s="257" t="s">
        <v>4359</v>
      </c>
      <c r="B3261" s="9">
        <v>2</v>
      </c>
      <c r="C3261" s="257" t="s">
        <v>11256</v>
      </c>
      <c r="D3261" s="9">
        <v>6.6048441410453379E-4</v>
      </c>
      <c r="E3261" s="9"/>
      <c r="F3261" s="257" t="s">
        <v>15538</v>
      </c>
      <c r="G3261" s="9"/>
      <c r="H3261" s="257" t="s">
        <v>21373</v>
      </c>
      <c r="I3261" s="9">
        <v>2</v>
      </c>
    </row>
    <row r="3262" spans="1:9">
      <c r="A3262" s="257" t="s">
        <v>4360</v>
      </c>
      <c r="B3262" s="9">
        <v>2</v>
      </c>
      <c r="C3262" s="257" t="s">
        <v>11256</v>
      </c>
      <c r="D3262" s="9">
        <v>5.9084018502074233E-3</v>
      </c>
      <c r="E3262" s="9"/>
      <c r="F3262" s="257" t="s">
        <v>15539</v>
      </c>
      <c r="G3262" s="9"/>
      <c r="H3262" s="257" t="s">
        <v>21374</v>
      </c>
      <c r="I3262" s="9">
        <v>2</v>
      </c>
    </row>
    <row r="3263" spans="1:9">
      <c r="A3263" s="257" t="s">
        <v>4361</v>
      </c>
      <c r="B3263" s="9">
        <v>2</v>
      </c>
      <c r="C3263" s="257" t="s">
        <v>11256</v>
      </c>
      <c r="D3263" s="9">
        <v>5.7324961056761997E-3</v>
      </c>
      <c r="E3263" s="9"/>
      <c r="F3263" s="257" t="s">
        <v>15540</v>
      </c>
      <c r="G3263" s="9"/>
      <c r="H3263" s="257" t="s">
        <v>21375</v>
      </c>
      <c r="I3263" s="9">
        <v>2</v>
      </c>
    </row>
    <row r="3264" spans="1:9">
      <c r="A3264" s="257" t="s">
        <v>4362</v>
      </c>
      <c r="B3264" s="9">
        <v>2</v>
      </c>
      <c r="C3264" s="257" t="s">
        <v>11256</v>
      </c>
      <c r="D3264" s="9">
        <v>5.9084018502074233E-3</v>
      </c>
      <c r="E3264" s="9"/>
      <c r="F3264" s="257" t="s">
        <v>15541</v>
      </c>
      <c r="G3264" s="9"/>
      <c r="H3264" s="257" t="s">
        <v>21376</v>
      </c>
      <c r="I3264" s="9">
        <v>2</v>
      </c>
    </row>
    <row r="3265" spans="1:9">
      <c r="A3265" s="257" t="s">
        <v>4363</v>
      </c>
      <c r="B3265" s="9">
        <v>2</v>
      </c>
      <c r="C3265" s="257" t="s">
        <v>11256</v>
      </c>
      <c r="D3265" s="9">
        <v>7.8395020184062383E-3</v>
      </c>
      <c r="E3265" s="9"/>
      <c r="F3265" s="257" t="s">
        <v>15542</v>
      </c>
      <c r="G3265" s="9"/>
      <c r="H3265" s="257" t="s">
        <v>21377</v>
      </c>
      <c r="I3265" s="9">
        <v>2</v>
      </c>
    </row>
    <row r="3266" spans="1:9">
      <c r="A3266" s="257" t="s">
        <v>4364</v>
      </c>
      <c r="B3266" s="9">
        <v>2</v>
      </c>
      <c r="C3266" s="257" t="s">
        <v>11256</v>
      </c>
      <c r="D3266" s="9">
        <v>8.0154077629374619E-3</v>
      </c>
      <c r="E3266" s="9"/>
      <c r="F3266" s="257" t="s">
        <v>15543</v>
      </c>
      <c r="G3266" s="9"/>
      <c r="H3266" s="257" t="s">
        <v>21378</v>
      </c>
      <c r="I3266" s="9">
        <v>2</v>
      </c>
    </row>
    <row r="3267" spans="1:9">
      <c r="A3267" s="257" t="s">
        <v>4365</v>
      </c>
      <c r="B3267" s="9">
        <v>2</v>
      </c>
      <c r="C3267" s="257" t="s">
        <v>11256</v>
      </c>
      <c r="D3267" s="9">
        <v>-8.9384979706558579E-3</v>
      </c>
      <c r="E3267" s="9"/>
      <c r="F3267" s="257" t="s">
        <v>15544</v>
      </c>
      <c r="G3267" s="9"/>
      <c r="H3267" s="257" t="s">
        <v>21379</v>
      </c>
      <c r="I3267" s="9">
        <v>2</v>
      </c>
    </row>
    <row r="3268" spans="1:9">
      <c r="A3268" s="257" t="s">
        <v>4366</v>
      </c>
      <c r="B3268" s="9">
        <v>2</v>
      </c>
      <c r="C3268" s="257" t="s">
        <v>11256</v>
      </c>
      <c r="D3268" s="9"/>
      <c r="E3268" s="9"/>
      <c r="F3268" s="257" t="s">
        <v>15545</v>
      </c>
      <c r="G3268" s="9"/>
      <c r="H3268" s="257" t="s">
        <v>21380</v>
      </c>
      <c r="I3268" s="9">
        <v>2</v>
      </c>
    </row>
    <row r="3269" spans="1:9">
      <c r="A3269" s="257" t="s">
        <v>4367</v>
      </c>
      <c r="B3269" s="9">
        <v>2</v>
      </c>
      <c r="C3269" s="257" t="s">
        <v>11256</v>
      </c>
      <c r="D3269" s="9"/>
      <c r="E3269" s="9"/>
      <c r="F3269" s="257" t="s">
        <v>15546</v>
      </c>
      <c r="G3269" s="9"/>
      <c r="H3269" s="257" t="s">
        <v>21381</v>
      </c>
      <c r="I3269" s="9">
        <v>2</v>
      </c>
    </row>
    <row r="3270" spans="1:9">
      <c r="A3270" s="257" t="s">
        <v>4368</v>
      </c>
      <c r="B3270" s="9">
        <v>2</v>
      </c>
      <c r="C3270" s="257" t="s">
        <v>11256</v>
      </c>
      <c r="D3270" s="9"/>
      <c r="E3270" s="9"/>
      <c r="F3270" s="257" t="s">
        <v>15547</v>
      </c>
      <c r="G3270" s="9"/>
      <c r="H3270" s="257" t="s">
        <v>21382</v>
      </c>
      <c r="I3270" s="9">
        <v>2</v>
      </c>
    </row>
    <row r="3271" spans="1:9">
      <c r="A3271" s="257" t="s">
        <v>4369</v>
      </c>
      <c r="B3271" s="9">
        <v>2</v>
      </c>
      <c r="C3271" s="257" t="s">
        <v>11256</v>
      </c>
      <c r="D3271" s="9"/>
      <c r="E3271" s="9"/>
      <c r="F3271" s="257" t="s">
        <v>15548</v>
      </c>
      <c r="G3271" s="9"/>
      <c r="H3271" s="257" t="s">
        <v>21383</v>
      </c>
      <c r="I3271" s="9">
        <v>2</v>
      </c>
    </row>
    <row r="3272" spans="1:9">
      <c r="A3272" s="257" t="s">
        <v>4370</v>
      </c>
      <c r="B3272" s="9">
        <v>2</v>
      </c>
      <c r="C3272" s="257" t="s">
        <v>11256</v>
      </c>
      <c r="D3272" s="9">
        <v>6.6048441410453379E-4</v>
      </c>
      <c r="E3272" s="9"/>
      <c r="F3272" s="257" t="s">
        <v>15549</v>
      </c>
      <c r="G3272" s="9"/>
      <c r="H3272" s="257" t="s">
        <v>21384</v>
      </c>
      <c r="I3272" s="9">
        <v>2</v>
      </c>
    </row>
    <row r="3273" spans="1:9">
      <c r="A3273" s="257" t="s">
        <v>4371</v>
      </c>
      <c r="B3273" s="9">
        <v>2</v>
      </c>
      <c r="C3273" s="257" t="s">
        <v>11256</v>
      </c>
      <c r="D3273" s="9"/>
      <c r="E3273" s="9"/>
      <c r="F3273" s="257" t="s">
        <v>15550</v>
      </c>
      <c r="G3273" s="9"/>
      <c r="H3273" s="257" t="s">
        <v>21385</v>
      </c>
      <c r="I3273" s="9">
        <v>2</v>
      </c>
    </row>
    <row r="3274" spans="1:9">
      <c r="A3274" s="257" t="s">
        <v>4372</v>
      </c>
      <c r="B3274" s="9">
        <v>2</v>
      </c>
      <c r="C3274" s="257" t="s">
        <v>11256</v>
      </c>
      <c r="D3274" s="9">
        <v>1.4960886080198084E-2</v>
      </c>
      <c r="E3274" s="9"/>
      <c r="F3274" s="257" t="s">
        <v>15551</v>
      </c>
      <c r="G3274" s="9"/>
      <c r="H3274" s="257" t="s">
        <v>21386</v>
      </c>
      <c r="I3274" s="9">
        <v>2</v>
      </c>
    </row>
    <row r="3275" spans="1:9">
      <c r="A3275" s="257" t="s">
        <v>4373</v>
      </c>
      <c r="B3275" s="9">
        <v>2</v>
      </c>
      <c r="C3275" s="257" t="s">
        <v>11256</v>
      </c>
      <c r="D3275" s="9"/>
      <c r="E3275" s="9"/>
      <c r="F3275" s="257" t="s">
        <v>15552</v>
      </c>
      <c r="G3275" s="9"/>
      <c r="H3275" s="257" t="s">
        <v>21387</v>
      </c>
      <c r="I3275" s="9">
        <v>2</v>
      </c>
    </row>
    <row r="3276" spans="1:9">
      <c r="A3276" s="257" t="s">
        <v>4374</v>
      </c>
      <c r="B3276" s="9">
        <v>2</v>
      </c>
      <c r="C3276" s="257" t="s">
        <v>11256</v>
      </c>
      <c r="D3276" s="9">
        <v>1.4167935510024997E-2</v>
      </c>
      <c r="E3276" s="9"/>
      <c r="F3276" s="257" t="s">
        <v>15553</v>
      </c>
      <c r="G3276" s="9"/>
      <c r="H3276" s="257" t="s">
        <v>21388</v>
      </c>
      <c r="I3276" s="9">
        <v>2</v>
      </c>
    </row>
    <row r="3277" spans="1:9">
      <c r="A3277" s="257" t="s">
        <v>4375</v>
      </c>
      <c r="B3277" s="9">
        <v>2</v>
      </c>
      <c r="C3277" s="257" t="s">
        <v>11256</v>
      </c>
      <c r="D3277" s="9">
        <v>1.3216938575590352E-2</v>
      </c>
      <c r="E3277" s="9"/>
      <c r="F3277" s="257" t="s">
        <v>15554</v>
      </c>
      <c r="G3277" s="9"/>
      <c r="H3277" s="257" t="s">
        <v>21389</v>
      </c>
      <c r="I3277" s="9">
        <v>2</v>
      </c>
    </row>
    <row r="3278" spans="1:9">
      <c r="A3278" s="257" t="s">
        <v>4376</v>
      </c>
      <c r="B3278" s="9">
        <v>2</v>
      </c>
      <c r="C3278" s="257" t="s">
        <v>11256</v>
      </c>
      <c r="D3278" s="9">
        <v>2.0610234845853132E-3</v>
      </c>
      <c r="E3278" s="9"/>
      <c r="F3278" s="257" t="s">
        <v>15555</v>
      </c>
      <c r="G3278" s="9"/>
      <c r="H3278" s="257" t="s">
        <v>21390</v>
      </c>
      <c r="I3278" s="9">
        <v>2</v>
      </c>
    </row>
    <row r="3279" spans="1:9">
      <c r="A3279" s="257" t="s">
        <v>4377</v>
      </c>
      <c r="B3279" s="9">
        <v>2</v>
      </c>
      <c r="C3279" s="257" t="s">
        <v>11256</v>
      </c>
      <c r="D3279" s="9">
        <v>4.8994784635849964E-3</v>
      </c>
      <c r="E3279" s="9"/>
      <c r="F3279" s="257" t="s">
        <v>15556</v>
      </c>
      <c r="G3279" s="9"/>
      <c r="H3279" s="257" t="s">
        <v>21391</v>
      </c>
      <c r="I3279" s="9">
        <v>2</v>
      </c>
    </row>
    <row r="3280" spans="1:9">
      <c r="A3280" s="257" t="s">
        <v>4378</v>
      </c>
      <c r="B3280" s="9">
        <v>2</v>
      </c>
      <c r="C3280" s="257" t="s">
        <v>11256</v>
      </c>
      <c r="D3280" s="9">
        <v>-5.3729632119318537E-3</v>
      </c>
      <c r="E3280" s="9"/>
      <c r="F3280" s="257" t="s">
        <v>15557</v>
      </c>
      <c r="G3280" s="9"/>
      <c r="H3280" s="257" t="s">
        <v>21392</v>
      </c>
      <c r="I3280" s="9">
        <v>2</v>
      </c>
    </row>
    <row r="3281" spans="1:9">
      <c r="A3281" s="257" t="s">
        <v>4379</v>
      </c>
      <c r="B3281" s="9">
        <v>2</v>
      </c>
      <c r="C3281" s="257" t="s">
        <v>11256</v>
      </c>
      <c r="D3281" s="9">
        <v>-9.072005531657162E-3</v>
      </c>
      <c r="E3281" s="9"/>
      <c r="F3281" s="257" t="s">
        <v>15558</v>
      </c>
      <c r="G3281" s="9"/>
      <c r="H3281" s="257" t="s">
        <v>21393</v>
      </c>
      <c r="I3281" s="9">
        <v>2</v>
      </c>
    </row>
    <row r="3282" spans="1:9">
      <c r="A3282" s="257" t="s">
        <v>4380</v>
      </c>
      <c r="B3282" s="9">
        <v>3</v>
      </c>
      <c r="C3282" s="257" t="s">
        <v>11256</v>
      </c>
      <c r="D3282" s="9">
        <v>1.2894142069780443E-2</v>
      </c>
      <c r="E3282" s="9"/>
      <c r="F3282" s="257" t="s">
        <v>15559</v>
      </c>
      <c r="G3282" s="9"/>
      <c r="H3282" s="257" t="s">
        <v>21394</v>
      </c>
      <c r="I3282" s="9">
        <v>2</v>
      </c>
    </row>
    <row r="3283" spans="1:9">
      <c r="A3283" s="257" t="s">
        <v>4381</v>
      </c>
      <c r="B3283" s="9">
        <v>3</v>
      </c>
      <c r="C3283" s="257" t="s">
        <v>11256</v>
      </c>
      <c r="D3283" s="9">
        <v>1.354625533722542E-2</v>
      </c>
      <c r="E3283" s="9"/>
      <c r="F3283" s="257" t="s">
        <v>15560</v>
      </c>
      <c r="G3283" s="9"/>
      <c r="H3283" s="257" t="s">
        <v>21395</v>
      </c>
      <c r="I3283" s="9">
        <v>2</v>
      </c>
    </row>
    <row r="3284" spans="1:9">
      <c r="A3284" s="257" t="s">
        <v>4382</v>
      </c>
      <c r="B3284" s="9">
        <v>3</v>
      </c>
      <c r="C3284" s="257" t="s">
        <v>11256</v>
      </c>
      <c r="D3284" s="9">
        <v>2.9871158285149357E-3</v>
      </c>
      <c r="E3284" s="9"/>
      <c r="F3284" s="257" t="s">
        <v>15561</v>
      </c>
      <c r="G3284" s="9"/>
      <c r="H3284" s="257" t="s">
        <v>21396</v>
      </c>
      <c r="I3284" s="9">
        <v>2</v>
      </c>
    </row>
    <row r="3285" spans="1:9">
      <c r="A3285" s="257" t="s">
        <v>4383</v>
      </c>
      <c r="B3285" s="9">
        <v>3</v>
      </c>
      <c r="C3285" s="257" t="s">
        <v>11256</v>
      </c>
      <c r="D3285" s="9"/>
      <c r="E3285" s="9"/>
      <c r="F3285" s="257" t="s">
        <v>15562</v>
      </c>
      <c r="G3285" s="9"/>
      <c r="H3285" s="257" t="s">
        <v>21397</v>
      </c>
      <c r="I3285" s="9">
        <v>2</v>
      </c>
    </row>
    <row r="3286" spans="1:9">
      <c r="A3286" s="257" t="s">
        <v>4384</v>
      </c>
      <c r="B3286" s="9">
        <v>3</v>
      </c>
      <c r="C3286" s="257" t="s">
        <v>11256</v>
      </c>
      <c r="D3286" s="9">
        <v>6.4942081094983002E-4</v>
      </c>
      <c r="E3286" s="9"/>
      <c r="F3286" s="257" t="s">
        <v>15563</v>
      </c>
      <c r="G3286" s="9"/>
      <c r="H3286" s="257" t="s">
        <v>21398</v>
      </c>
      <c r="I3286" s="9">
        <v>2</v>
      </c>
    </row>
    <row r="3287" spans="1:9">
      <c r="A3287" s="257" t="s">
        <v>4385</v>
      </c>
      <c r="B3287" s="9">
        <v>3</v>
      </c>
      <c r="C3287" s="257" t="s">
        <v>11256</v>
      </c>
      <c r="D3287" s="9">
        <v>7.1135399831102775E-3</v>
      </c>
      <c r="E3287" s="9"/>
      <c r="F3287" s="257" t="s">
        <v>15564</v>
      </c>
      <c r="G3287" s="9"/>
      <c r="H3287" s="257" t="s">
        <v>21399</v>
      </c>
      <c r="I3287" s="9">
        <v>2</v>
      </c>
    </row>
    <row r="3288" spans="1:9">
      <c r="A3288" s="257" t="s">
        <v>4386</v>
      </c>
      <c r="B3288" s="9">
        <v>3</v>
      </c>
      <c r="C3288" s="257" t="s">
        <v>11256</v>
      </c>
      <c r="D3288" s="9">
        <v>6.8868253090581671E-3</v>
      </c>
      <c r="E3288" s="9"/>
      <c r="F3288" s="257" t="s">
        <v>15565</v>
      </c>
      <c r="G3288" s="9"/>
      <c r="H3288" s="257" t="s">
        <v>21400</v>
      </c>
      <c r="I3288" s="9">
        <v>2</v>
      </c>
    </row>
    <row r="3289" spans="1:9">
      <c r="A3289" s="257" t="s">
        <v>4387</v>
      </c>
      <c r="B3289" s="9">
        <v>3</v>
      </c>
      <c r="C3289" s="257" t="s">
        <v>11256</v>
      </c>
      <c r="D3289" s="9">
        <v>7.1135399831102775E-3</v>
      </c>
      <c r="E3289" s="9"/>
      <c r="F3289" s="257" t="s">
        <v>15566</v>
      </c>
      <c r="G3289" s="9"/>
      <c r="H3289" s="257" t="s">
        <v>21401</v>
      </c>
      <c r="I3289" s="9">
        <v>2</v>
      </c>
    </row>
    <row r="3290" spans="1:9">
      <c r="A3290" s="257" t="s">
        <v>4388</v>
      </c>
      <c r="B3290" s="9">
        <v>3</v>
      </c>
      <c r="C3290" s="257" t="s">
        <v>11256</v>
      </c>
      <c r="D3290" s="9">
        <v>8.7559282459016598E-3</v>
      </c>
      <c r="E3290" s="9"/>
      <c r="F3290" s="257" t="s">
        <v>15567</v>
      </c>
      <c r="G3290" s="9"/>
      <c r="H3290" s="257" t="s">
        <v>21402</v>
      </c>
      <c r="I3290" s="9">
        <v>2</v>
      </c>
    </row>
    <row r="3291" spans="1:9">
      <c r="A3291" s="257" t="s">
        <v>4389</v>
      </c>
      <c r="B3291" s="9">
        <v>3</v>
      </c>
      <c r="C3291" s="257" t="s">
        <v>11256</v>
      </c>
      <c r="D3291" s="9">
        <v>8.9826429199537719E-3</v>
      </c>
      <c r="E3291" s="9"/>
      <c r="F3291" s="257" t="s">
        <v>15568</v>
      </c>
      <c r="G3291" s="9"/>
      <c r="H3291" s="257" t="s">
        <v>21403</v>
      </c>
      <c r="I3291" s="9">
        <v>2</v>
      </c>
    </row>
    <row r="3292" spans="1:9">
      <c r="A3292" s="257" t="s">
        <v>4390</v>
      </c>
      <c r="B3292" s="9">
        <v>3</v>
      </c>
      <c r="C3292" s="257" t="s">
        <v>11256</v>
      </c>
      <c r="D3292" s="9">
        <v>-5.4191914152736291E-3</v>
      </c>
      <c r="E3292" s="9"/>
      <c r="F3292" s="257" t="s">
        <v>15569</v>
      </c>
      <c r="G3292" s="9"/>
      <c r="H3292" s="257" t="s">
        <v>21404</v>
      </c>
      <c r="I3292" s="9">
        <v>2</v>
      </c>
    </row>
    <row r="3293" spans="1:9">
      <c r="A3293" s="257" t="s">
        <v>4391</v>
      </c>
      <c r="B3293" s="9">
        <v>3</v>
      </c>
      <c r="C3293" s="257" t="s">
        <v>11256</v>
      </c>
      <c r="D3293" s="9"/>
      <c r="E3293" s="9"/>
      <c r="F3293" s="257" t="s">
        <v>15570</v>
      </c>
      <c r="G3293" s="9"/>
      <c r="H3293" s="257" t="s">
        <v>21405</v>
      </c>
      <c r="I3293" s="9">
        <v>2</v>
      </c>
    </row>
    <row r="3294" spans="1:9">
      <c r="A3294" s="257" t="s">
        <v>4392</v>
      </c>
      <c r="B3294" s="9">
        <v>3</v>
      </c>
      <c r="C3294" s="257" t="s">
        <v>11256</v>
      </c>
      <c r="D3294" s="9"/>
      <c r="E3294" s="9"/>
      <c r="F3294" s="257" t="s">
        <v>15571</v>
      </c>
      <c r="G3294" s="9"/>
      <c r="H3294" s="257" t="s">
        <v>21406</v>
      </c>
      <c r="I3294" s="9">
        <v>2</v>
      </c>
    </row>
    <row r="3295" spans="1:9">
      <c r="A3295" s="257" t="s">
        <v>4393</v>
      </c>
      <c r="B3295" s="9">
        <v>3</v>
      </c>
      <c r="C3295" s="257" t="s">
        <v>11256</v>
      </c>
      <c r="D3295" s="9"/>
      <c r="E3295" s="9"/>
      <c r="F3295" s="257" t="s">
        <v>15572</v>
      </c>
      <c r="G3295" s="9"/>
      <c r="H3295" s="257" t="s">
        <v>21407</v>
      </c>
      <c r="I3295" s="9">
        <v>2</v>
      </c>
    </row>
    <row r="3296" spans="1:9">
      <c r="A3296" s="257" t="s">
        <v>4394</v>
      </c>
      <c r="B3296" s="9">
        <v>3</v>
      </c>
      <c r="C3296" s="257" t="s">
        <v>11256</v>
      </c>
      <c r="D3296" s="9"/>
      <c r="E3296" s="9"/>
      <c r="F3296" s="257" t="s">
        <v>15573</v>
      </c>
      <c r="G3296" s="9"/>
      <c r="H3296" s="257" t="s">
        <v>21408</v>
      </c>
      <c r="I3296" s="9">
        <v>2</v>
      </c>
    </row>
    <row r="3297" spans="1:9">
      <c r="A3297" s="257" t="s">
        <v>4395</v>
      </c>
      <c r="B3297" s="9">
        <v>3</v>
      </c>
      <c r="C3297" s="257" t="s">
        <v>11256</v>
      </c>
      <c r="D3297" s="9">
        <v>6.4942081094983002E-4</v>
      </c>
      <c r="E3297" s="9"/>
      <c r="F3297" s="257" t="s">
        <v>15574</v>
      </c>
      <c r="G3297" s="9"/>
      <c r="H3297" s="257" t="s">
        <v>21409</v>
      </c>
      <c r="I3297" s="9">
        <v>2</v>
      </c>
    </row>
    <row r="3298" spans="1:9">
      <c r="A3298" s="257" t="s">
        <v>4396</v>
      </c>
      <c r="B3298" s="9">
        <v>3</v>
      </c>
      <c r="C3298" s="257" t="s">
        <v>11256</v>
      </c>
      <c r="D3298" s="9"/>
      <c r="E3298" s="9"/>
      <c r="F3298" s="257" t="s">
        <v>15575</v>
      </c>
      <c r="G3298" s="9"/>
      <c r="H3298" s="257" t="s">
        <v>21410</v>
      </c>
      <c r="I3298" s="9">
        <v>2</v>
      </c>
    </row>
    <row r="3299" spans="1:9">
      <c r="A3299" s="257" t="s">
        <v>4397</v>
      </c>
      <c r="B3299" s="9">
        <v>3</v>
      </c>
      <c r="C3299" s="257" t="s">
        <v>11256</v>
      </c>
      <c r="D3299" s="9">
        <v>1.4915926595871707E-2</v>
      </c>
      <c r="E3299" s="9"/>
      <c r="F3299" s="257" t="s">
        <v>15576</v>
      </c>
      <c r="G3299" s="9"/>
      <c r="H3299" s="257" t="s">
        <v>21411</v>
      </c>
      <c r="I3299" s="9">
        <v>2</v>
      </c>
    </row>
    <row r="3300" spans="1:9">
      <c r="A3300" s="257" t="s">
        <v>4398</v>
      </c>
      <c r="B3300" s="9">
        <v>3</v>
      </c>
      <c r="C3300" s="257" t="s">
        <v>11256</v>
      </c>
      <c r="D3300" s="9"/>
      <c r="E3300" s="9"/>
      <c r="F3300" s="257" t="s">
        <v>15577</v>
      </c>
      <c r="G3300" s="9"/>
      <c r="H3300" s="257" t="s">
        <v>21412</v>
      </c>
      <c r="I3300" s="9">
        <v>2</v>
      </c>
    </row>
    <row r="3301" spans="1:9">
      <c r="A3301" s="257" t="s">
        <v>4399</v>
      </c>
      <c r="B3301" s="9">
        <v>3</v>
      </c>
      <c r="C3301" s="257" t="s">
        <v>11256</v>
      </c>
      <c r="D3301" s="9">
        <v>1.4186403076936293E-2</v>
      </c>
      <c r="E3301" s="9"/>
      <c r="F3301" s="257" t="s">
        <v>15578</v>
      </c>
      <c r="G3301" s="9"/>
      <c r="H3301" s="257" t="s">
        <v>21413</v>
      </c>
      <c r="I3301" s="9">
        <v>2</v>
      </c>
    </row>
    <row r="3302" spans="1:9">
      <c r="A3302" s="257" t="s">
        <v>4400</v>
      </c>
      <c r="B3302" s="9">
        <v>3</v>
      </c>
      <c r="C3302" s="257" t="s">
        <v>11256</v>
      </c>
      <c r="D3302" s="9">
        <v>7.8283048139396599E-3</v>
      </c>
      <c r="E3302" s="9"/>
      <c r="F3302" s="257" t="s">
        <v>15579</v>
      </c>
      <c r="G3302" s="9"/>
      <c r="H3302" s="257" t="s">
        <v>21414</v>
      </c>
      <c r="I3302" s="9">
        <v>2</v>
      </c>
    </row>
    <row r="3303" spans="1:9">
      <c r="A3303" s="257" t="s">
        <v>4401</v>
      </c>
      <c r="B3303" s="9">
        <v>3</v>
      </c>
      <c r="C3303" s="257" t="s">
        <v>11256</v>
      </c>
      <c r="D3303" s="9">
        <v>2.0997539630805183E-3</v>
      </c>
      <c r="E3303" s="9"/>
      <c r="F3303" s="257" t="s">
        <v>15580</v>
      </c>
      <c r="G3303" s="9"/>
      <c r="H3303" s="257" t="s">
        <v>21415</v>
      </c>
      <c r="I3303" s="9">
        <v>2</v>
      </c>
    </row>
    <row r="3304" spans="1:9">
      <c r="A3304" s="257" t="s">
        <v>4402</v>
      </c>
      <c r="B3304" s="9">
        <v>3</v>
      </c>
      <c r="C3304" s="257" t="s">
        <v>11256</v>
      </c>
      <c r="D3304" s="9">
        <v>4.633727795045956E-3</v>
      </c>
      <c r="E3304" s="9"/>
      <c r="F3304" s="257" t="s">
        <v>15581</v>
      </c>
      <c r="G3304" s="9"/>
      <c r="H3304" s="257" t="s">
        <v>21416</v>
      </c>
      <c r="I3304" s="9">
        <v>2</v>
      </c>
    </row>
    <row r="3305" spans="1:9">
      <c r="A3305" s="257" t="s">
        <v>4403</v>
      </c>
      <c r="B3305" s="9">
        <v>3</v>
      </c>
      <c r="C3305" s="257" t="s">
        <v>11256</v>
      </c>
      <c r="D3305" s="9">
        <v>-4.8725935003699917E-3</v>
      </c>
      <c r="E3305" s="9"/>
      <c r="F3305" s="257" t="s">
        <v>15582</v>
      </c>
      <c r="G3305" s="9"/>
      <c r="H3305" s="257" t="s">
        <v>21417</v>
      </c>
      <c r="I3305" s="9">
        <v>2</v>
      </c>
    </row>
    <row r="3306" spans="1:9">
      <c r="A3306" s="257" t="s">
        <v>4404</v>
      </c>
      <c r="B3306" s="9">
        <v>3</v>
      </c>
      <c r="C3306" s="257" t="s">
        <v>11256</v>
      </c>
      <c r="D3306" s="9">
        <v>-5.0869429753689945E-3</v>
      </c>
      <c r="E3306" s="9"/>
      <c r="F3306" s="257" t="s">
        <v>15583</v>
      </c>
      <c r="G3306" s="9"/>
      <c r="H3306" s="257" t="s">
        <v>21418</v>
      </c>
      <c r="I3306" s="9">
        <v>2</v>
      </c>
    </row>
    <row r="3307" spans="1:9">
      <c r="A3307" s="257" t="s">
        <v>4405</v>
      </c>
      <c r="B3307" s="9">
        <v>4</v>
      </c>
      <c r="C3307" s="257" t="s">
        <v>11256</v>
      </c>
      <c r="D3307" s="9">
        <v>1.22514547609724E-2</v>
      </c>
      <c r="E3307" s="9"/>
      <c r="F3307" s="257" t="s">
        <v>15584</v>
      </c>
      <c r="G3307" s="9"/>
      <c r="H3307" s="257" t="s">
        <v>21419</v>
      </c>
      <c r="I3307" s="9">
        <v>2</v>
      </c>
    </row>
    <row r="3308" spans="1:9">
      <c r="A3308" s="257" t="s">
        <v>4406</v>
      </c>
      <c r="B3308" s="9">
        <v>4</v>
      </c>
      <c r="C3308" s="257" t="s">
        <v>11256</v>
      </c>
      <c r="D3308" s="9">
        <v>1.2868606850729851E-2</v>
      </c>
      <c r="E3308" s="9"/>
      <c r="F3308" s="257" t="s">
        <v>15585</v>
      </c>
      <c r="G3308" s="9"/>
      <c r="H3308" s="257" t="s">
        <v>21420</v>
      </c>
      <c r="I3308" s="9">
        <v>2</v>
      </c>
    </row>
    <row r="3309" spans="1:9">
      <c r="A3309" s="257" t="s">
        <v>4407</v>
      </c>
      <c r="B3309" s="9">
        <v>4</v>
      </c>
      <c r="C3309" s="257" t="s">
        <v>11256</v>
      </c>
      <c r="D3309" s="9">
        <v>3.2942724857201646E-3</v>
      </c>
      <c r="E3309" s="9"/>
      <c r="F3309" s="257" t="s">
        <v>15586</v>
      </c>
      <c r="G3309" s="9"/>
      <c r="H3309" s="257" t="s">
        <v>21421</v>
      </c>
      <c r="I3309" s="9">
        <v>2</v>
      </c>
    </row>
    <row r="3310" spans="1:9">
      <c r="A3310" s="257" t="s">
        <v>4408</v>
      </c>
      <c r="B3310" s="9">
        <v>4</v>
      </c>
      <c r="C3310" s="257" t="s">
        <v>11256</v>
      </c>
      <c r="D3310" s="9"/>
      <c r="E3310" s="9"/>
      <c r="F3310" s="257" t="s">
        <v>15587</v>
      </c>
      <c r="G3310" s="9"/>
      <c r="H3310" s="257" t="s">
        <v>21422</v>
      </c>
      <c r="I3310" s="9">
        <v>2</v>
      </c>
    </row>
    <row r="3311" spans="1:9">
      <c r="A3311" s="257" t="s">
        <v>4409</v>
      </c>
      <c r="B3311" s="9">
        <v>4</v>
      </c>
      <c r="C3311" s="257" t="s">
        <v>11256</v>
      </c>
      <c r="D3311" s="9">
        <v>6.1793857664028051E-4</v>
      </c>
      <c r="E3311" s="9"/>
      <c r="F3311" s="257" t="s">
        <v>15588</v>
      </c>
      <c r="G3311" s="9"/>
      <c r="H3311" s="257" t="s">
        <v>21423</v>
      </c>
      <c r="I3311" s="9">
        <v>2</v>
      </c>
    </row>
    <row r="3312" spans="1:9">
      <c r="A3312" s="257" t="s">
        <v>4410</v>
      </c>
      <c r="B3312" s="9">
        <v>4</v>
      </c>
      <c r="C3312" s="257" t="s">
        <v>11256</v>
      </c>
      <c r="D3312" s="9">
        <v>9.0002562885532645E-3</v>
      </c>
      <c r="E3312" s="9"/>
      <c r="F3312" s="257" t="s">
        <v>15589</v>
      </c>
      <c r="G3312" s="9"/>
      <c r="H3312" s="257" t="s">
        <v>21424</v>
      </c>
      <c r="I3312" s="9">
        <v>2</v>
      </c>
    </row>
    <row r="3313" spans="1:9">
      <c r="A3313" s="257" t="s">
        <v>4411</v>
      </c>
      <c r="B3313" s="9">
        <v>4</v>
      </c>
      <c r="C3313" s="257" t="s">
        <v>11256</v>
      </c>
      <c r="D3313" s="9">
        <v>8.7042668896140686E-3</v>
      </c>
      <c r="E3313" s="9"/>
      <c r="F3313" s="257" t="s">
        <v>15590</v>
      </c>
      <c r="G3313" s="9"/>
      <c r="H3313" s="257" t="s">
        <v>21425</v>
      </c>
      <c r="I3313" s="9">
        <v>2</v>
      </c>
    </row>
    <row r="3314" spans="1:9">
      <c r="A3314" s="257" t="s">
        <v>4412</v>
      </c>
      <c r="B3314" s="9">
        <v>4</v>
      </c>
      <c r="C3314" s="257" t="s">
        <v>11256</v>
      </c>
      <c r="D3314" s="9">
        <v>9.0002562885532645E-3</v>
      </c>
      <c r="E3314" s="9"/>
      <c r="F3314" s="257" t="s">
        <v>15591</v>
      </c>
      <c r="G3314" s="9"/>
      <c r="H3314" s="257" t="s">
        <v>21426</v>
      </c>
      <c r="I3314" s="9">
        <v>2</v>
      </c>
    </row>
    <row r="3315" spans="1:9">
      <c r="A3315" s="257" t="s">
        <v>4413</v>
      </c>
      <c r="B3315" s="9">
        <v>4</v>
      </c>
      <c r="C3315" s="257" t="s">
        <v>11256</v>
      </c>
      <c r="D3315" s="9">
        <v>1.0696211122465653E-2</v>
      </c>
      <c r="E3315" s="9"/>
      <c r="F3315" s="257" t="s">
        <v>15592</v>
      </c>
      <c r="G3315" s="9"/>
      <c r="H3315" s="257" t="s">
        <v>21427</v>
      </c>
      <c r="I3315" s="9">
        <v>2</v>
      </c>
    </row>
    <row r="3316" spans="1:9">
      <c r="A3316" s="257" t="s">
        <v>4414</v>
      </c>
      <c r="B3316" s="9">
        <v>4</v>
      </c>
      <c r="C3316" s="257" t="s">
        <v>11256</v>
      </c>
      <c r="D3316" s="9">
        <v>1.0992200521404849E-2</v>
      </c>
      <c r="E3316" s="9"/>
      <c r="F3316" s="257" t="s">
        <v>15593</v>
      </c>
      <c r="G3316" s="9"/>
      <c r="H3316" s="257" t="s">
        <v>21428</v>
      </c>
      <c r="I3316" s="9">
        <v>2</v>
      </c>
    </row>
    <row r="3317" spans="1:9">
      <c r="A3317" s="257" t="s">
        <v>4415</v>
      </c>
      <c r="B3317" s="9">
        <v>4</v>
      </c>
      <c r="C3317" s="257" t="s">
        <v>11256</v>
      </c>
      <c r="D3317" s="9">
        <v>-5.1921183284227334E-3</v>
      </c>
      <c r="E3317" s="9"/>
      <c r="F3317" s="257" t="s">
        <v>15594</v>
      </c>
      <c r="G3317" s="9"/>
      <c r="H3317" s="257" t="s">
        <v>21429</v>
      </c>
      <c r="I3317" s="9">
        <v>2</v>
      </c>
    </row>
    <row r="3318" spans="1:9">
      <c r="A3318" s="257" t="s">
        <v>4416</v>
      </c>
      <c r="B3318" s="9">
        <v>4</v>
      </c>
      <c r="C3318" s="257" t="s">
        <v>11256</v>
      </c>
      <c r="D3318" s="9"/>
      <c r="E3318" s="9"/>
      <c r="F3318" s="257" t="s">
        <v>15595</v>
      </c>
      <c r="G3318" s="9"/>
      <c r="H3318" s="257" t="s">
        <v>21430</v>
      </c>
      <c r="I3318" s="9">
        <v>2</v>
      </c>
    </row>
    <row r="3319" spans="1:9">
      <c r="A3319" s="257" t="s">
        <v>4417</v>
      </c>
      <c r="B3319" s="9">
        <v>4</v>
      </c>
      <c r="C3319" s="257" t="s">
        <v>11256</v>
      </c>
      <c r="D3319" s="9"/>
      <c r="E3319" s="9"/>
      <c r="F3319" s="257" t="s">
        <v>15596</v>
      </c>
      <c r="G3319" s="9"/>
      <c r="H3319" s="257" t="s">
        <v>21431</v>
      </c>
      <c r="I3319" s="9">
        <v>2</v>
      </c>
    </row>
    <row r="3320" spans="1:9">
      <c r="A3320" s="257" t="s">
        <v>4418</v>
      </c>
      <c r="B3320" s="9">
        <v>4</v>
      </c>
      <c r="C3320" s="257" t="s">
        <v>11256</v>
      </c>
      <c r="D3320" s="9"/>
      <c r="E3320" s="9"/>
      <c r="F3320" s="257" t="s">
        <v>15597</v>
      </c>
      <c r="G3320" s="9"/>
      <c r="H3320" s="257" t="s">
        <v>21432</v>
      </c>
      <c r="I3320" s="9">
        <v>2</v>
      </c>
    </row>
    <row r="3321" spans="1:9">
      <c r="A3321" s="257" t="s">
        <v>4419</v>
      </c>
      <c r="B3321" s="9">
        <v>4</v>
      </c>
      <c r="C3321" s="257" t="s">
        <v>11256</v>
      </c>
      <c r="D3321" s="9"/>
      <c r="E3321" s="9"/>
      <c r="F3321" s="257" t="s">
        <v>15598</v>
      </c>
      <c r="G3321" s="9"/>
      <c r="H3321" s="257" t="s">
        <v>21433</v>
      </c>
      <c r="I3321" s="9">
        <v>2</v>
      </c>
    </row>
    <row r="3322" spans="1:9">
      <c r="A3322" s="257" t="s">
        <v>4420</v>
      </c>
      <c r="B3322" s="9">
        <v>4</v>
      </c>
      <c r="C3322" s="257" t="s">
        <v>11256</v>
      </c>
      <c r="D3322" s="9">
        <v>6.1793857664028051E-4</v>
      </c>
      <c r="E3322" s="9"/>
      <c r="F3322" s="257" t="s">
        <v>15599</v>
      </c>
      <c r="G3322" s="9"/>
      <c r="H3322" s="257" t="s">
        <v>21434</v>
      </c>
      <c r="I3322" s="9">
        <v>2</v>
      </c>
    </row>
    <row r="3323" spans="1:9">
      <c r="A3323" s="257" t="s">
        <v>4421</v>
      </c>
      <c r="B3323" s="9">
        <v>4</v>
      </c>
      <c r="C3323" s="257" t="s">
        <v>11256</v>
      </c>
      <c r="D3323" s="9"/>
      <c r="E3323" s="9"/>
      <c r="F3323" s="257" t="s">
        <v>15600</v>
      </c>
      <c r="G3323" s="9"/>
      <c r="H3323" s="257" t="s">
        <v>21435</v>
      </c>
      <c r="I3323" s="9">
        <v>2</v>
      </c>
    </row>
    <row r="3324" spans="1:9">
      <c r="A3324" s="257" t="s">
        <v>4422</v>
      </c>
      <c r="B3324" s="9">
        <v>4</v>
      </c>
      <c r="C3324" s="257" t="s">
        <v>11256</v>
      </c>
      <c r="D3324" s="9">
        <v>1.4112471211980041E-2</v>
      </c>
      <c r="E3324" s="9"/>
      <c r="F3324" s="257" t="s">
        <v>15601</v>
      </c>
      <c r="G3324" s="9"/>
      <c r="H3324" s="257" t="s">
        <v>21436</v>
      </c>
      <c r="I3324" s="9">
        <v>2</v>
      </c>
    </row>
    <row r="3325" spans="1:9">
      <c r="A3325" s="257" t="s">
        <v>4423</v>
      </c>
      <c r="B3325" s="9">
        <v>4</v>
      </c>
      <c r="C3325" s="257" t="s">
        <v>11256</v>
      </c>
      <c r="D3325" s="9"/>
      <c r="E3325" s="9"/>
      <c r="F3325" s="257" t="s">
        <v>15602</v>
      </c>
      <c r="G3325" s="9"/>
      <c r="H3325" s="257" t="s">
        <v>21437</v>
      </c>
      <c r="I3325" s="9">
        <v>2</v>
      </c>
    </row>
    <row r="3326" spans="1:9">
      <c r="A3326" s="257" t="s">
        <v>4424</v>
      </c>
      <c r="B3326" s="9">
        <v>4</v>
      </c>
      <c r="C3326" s="257" t="s">
        <v>11256</v>
      </c>
      <c r="D3326" s="9">
        <v>1.3174884357012103E-2</v>
      </c>
      <c r="E3326" s="9"/>
      <c r="F3326" s="257" t="s">
        <v>15603</v>
      </c>
      <c r="G3326" s="9"/>
      <c r="H3326" s="257" t="s">
        <v>21438</v>
      </c>
      <c r="I3326" s="9">
        <v>2</v>
      </c>
    </row>
    <row r="3327" spans="1:9">
      <c r="A3327" s="257" t="s">
        <v>4425</v>
      </c>
      <c r="B3327" s="9">
        <v>4</v>
      </c>
      <c r="C3327" s="257" t="s">
        <v>11256</v>
      </c>
      <c r="D3327" s="9">
        <v>8.1273215103553776E-3</v>
      </c>
      <c r="E3327" s="9"/>
      <c r="F3327" s="257" t="s">
        <v>15604</v>
      </c>
      <c r="G3327" s="9"/>
      <c r="H3327" s="257" t="s">
        <v>21439</v>
      </c>
      <c r="I3327" s="9">
        <v>2</v>
      </c>
    </row>
    <row r="3328" spans="1:9">
      <c r="A3328" s="257" t="s">
        <v>4426</v>
      </c>
      <c r="B3328" s="9">
        <v>4</v>
      </c>
      <c r="C3328" s="257" t="s">
        <v>11256</v>
      </c>
      <c r="D3328" s="9">
        <v>2.2233185541986667E-3</v>
      </c>
      <c r="E3328" s="9"/>
      <c r="F3328" s="257" t="s">
        <v>15605</v>
      </c>
      <c r="G3328" s="9"/>
      <c r="H3328" s="257" t="s">
        <v>21440</v>
      </c>
      <c r="I3328" s="9">
        <v>2</v>
      </c>
    </row>
    <row r="3329" spans="1:9">
      <c r="A3329" s="257" t="s">
        <v>4427</v>
      </c>
      <c r="B3329" s="9">
        <v>4</v>
      </c>
      <c r="C3329" s="257" t="s">
        <v>11256</v>
      </c>
      <c r="D3329" s="9">
        <v>5.1393244103423328E-3</v>
      </c>
      <c r="E3329" s="9"/>
      <c r="F3329" s="257" t="s">
        <v>15606</v>
      </c>
      <c r="G3329" s="9"/>
      <c r="H3329" s="257" t="s">
        <v>21441</v>
      </c>
      <c r="I3329" s="9">
        <v>2</v>
      </c>
    </row>
    <row r="3330" spans="1:9">
      <c r="A3330" s="257" t="s">
        <v>4428</v>
      </c>
      <c r="B3330" s="9">
        <v>4</v>
      </c>
      <c r="C3330" s="257" t="s">
        <v>11256</v>
      </c>
      <c r="D3330" s="9">
        <v>-1.9928659526850761E-3</v>
      </c>
      <c r="E3330" s="9"/>
      <c r="F3330" s="257" t="s">
        <v>15607</v>
      </c>
      <c r="G3330" s="9"/>
      <c r="H3330" s="257" t="s">
        <v>21442</v>
      </c>
      <c r="I3330" s="9">
        <v>2</v>
      </c>
    </row>
    <row r="3331" spans="1:9">
      <c r="A3331" s="257" t="s">
        <v>4429</v>
      </c>
      <c r="B3331" s="9">
        <v>4</v>
      </c>
      <c r="C3331" s="257" t="s">
        <v>11256</v>
      </c>
      <c r="D3331" s="9">
        <v>-5.1424211522452931E-3</v>
      </c>
      <c r="E3331" s="9"/>
      <c r="F3331" s="257" t="s">
        <v>15608</v>
      </c>
      <c r="G3331" s="9"/>
      <c r="H3331" s="257" t="s">
        <v>21443</v>
      </c>
      <c r="I3331" s="9">
        <v>2</v>
      </c>
    </row>
    <row r="3332" spans="1:9">
      <c r="A3332" s="257" t="s">
        <v>4430</v>
      </c>
      <c r="B3332" s="9">
        <v>5</v>
      </c>
      <c r="C3332" s="257" t="s">
        <v>11256</v>
      </c>
      <c r="D3332" s="9">
        <v>1.1605807658860349E-2</v>
      </c>
      <c r="E3332" s="9"/>
      <c r="F3332" s="257" t="s">
        <v>15609</v>
      </c>
      <c r="G3332" s="9"/>
      <c r="H3332" s="257" t="s">
        <v>21444</v>
      </c>
      <c r="I3332" s="9">
        <v>2</v>
      </c>
    </row>
    <row r="3333" spans="1:9">
      <c r="A3333" s="257" t="s">
        <v>4431</v>
      </c>
      <c r="B3333" s="9">
        <v>5</v>
      </c>
      <c r="C3333" s="257" t="s">
        <v>11256</v>
      </c>
      <c r="D3333" s="9">
        <v>1.2197304830364946E-2</v>
      </c>
      <c r="E3333" s="9"/>
      <c r="F3333" s="257" t="s">
        <v>15610</v>
      </c>
      <c r="G3333" s="9"/>
      <c r="H3333" s="257" t="s">
        <v>21445</v>
      </c>
      <c r="I3333" s="9">
        <v>2</v>
      </c>
    </row>
    <row r="3334" spans="1:9">
      <c r="A3334" s="257" t="s">
        <v>4432</v>
      </c>
      <c r="B3334" s="9">
        <v>5</v>
      </c>
      <c r="C3334" s="257" t="s">
        <v>11256</v>
      </c>
      <c r="D3334" s="9">
        <v>3.600501282664384E-3</v>
      </c>
      <c r="E3334" s="9"/>
      <c r="F3334" s="257" t="s">
        <v>15611</v>
      </c>
      <c r="G3334" s="9"/>
      <c r="H3334" s="257" t="s">
        <v>21446</v>
      </c>
      <c r="I3334" s="9">
        <v>2</v>
      </c>
    </row>
    <row r="3335" spans="1:9">
      <c r="A3335" s="257" t="s">
        <v>4433</v>
      </c>
      <c r="B3335" s="9">
        <v>5</v>
      </c>
      <c r="C3335" s="257" t="s">
        <v>11256</v>
      </c>
      <c r="D3335" s="9"/>
      <c r="E3335" s="9"/>
      <c r="F3335" s="257" t="s">
        <v>15612</v>
      </c>
      <c r="G3335" s="9"/>
      <c r="H3335" s="257" t="s">
        <v>21447</v>
      </c>
      <c r="I3335" s="9">
        <v>2</v>
      </c>
    </row>
    <row r="3336" spans="1:9">
      <c r="A3336" s="257" t="s">
        <v>4434</v>
      </c>
      <c r="B3336" s="9">
        <v>5</v>
      </c>
      <c r="C3336" s="257" t="s">
        <v>11256</v>
      </c>
      <c r="D3336" s="9">
        <v>5.9191538227600115E-4</v>
      </c>
      <c r="E3336" s="9"/>
      <c r="F3336" s="257" t="s">
        <v>15613</v>
      </c>
      <c r="G3336" s="9"/>
      <c r="H3336" s="257" t="s">
        <v>21448</v>
      </c>
      <c r="I3336" s="9">
        <v>2</v>
      </c>
    </row>
    <row r="3337" spans="1:9">
      <c r="A3337" s="257" t="s">
        <v>4435</v>
      </c>
      <c r="B3337" s="9">
        <v>5</v>
      </c>
      <c r="C3337" s="257" t="s">
        <v>11256</v>
      </c>
      <c r="D3337" s="9">
        <v>9.8317599226348858E-3</v>
      </c>
      <c r="E3337" s="9"/>
      <c r="F3337" s="257" t="s">
        <v>15614</v>
      </c>
      <c r="G3337" s="9"/>
      <c r="H3337" s="257" t="s">
        <v>21449</v>
      </c>
      <c r="I3337" s="9">
        <v>2</v>
      </c>
    </row>
    <row r="3338" spans="1:9">
      <c r="A3338" s="257" t="s">
        <v>4436</v>
      </c>
      <c r="B3338" s="9">
        <v>5</v>
      </c>
      <c r="C3338" s="257" t="s">
        <v>11256</v>
      </c>
      <c r="D3338" s="9">
        <v>9.5088340041937086E-3</v>
      </c>
      <c r="E3338" s="9"/>
      <c r="F3338" s="257" t="s">
        <v>15615</v>
      </c>
      <c r="G3338" s="9"/>
      <c r="H3338" s="257" t="s">
        <v>21450</v>
      </c>
      <c r="I3338" s="9">
        <v>2</v>
      </c>
    </row>
    <row r="3339" spans="1:9">
      <c r="A3339" s="257" t="s">
        <v>4437</v>
      </c>
      <c r="B3339" s="9">
        <v>5</v>
      </c>
      <c r="C3339" s="257" t="s">
        <v>11256</v>
      </c>
      <c r="D3339" s="9">
        <v>9.8317599226348858E-3</v>
      </c>
      <c r="E3339" s="9"/>
      <c r="F3339" s="257" t="s">
        <v>15616</v>
      </c>
      <c r="G3339" s="9"/>
      <c r="H3339" s="257" t="s">
        <v>21451</v>
      </c>
      <c r="I3339" s="9">
        <v>2</v>
      </c>
    </row>
    <row r="3340" spans="1:9">
      <c r="A3340" s="257" t="s">
        <v>4438</v>
      </c>
      <c r="B3340" s="9">
        <v>5</v>
      </c>
      <c r="C3340" s="257" t="s">
        <v>11256</v>
      </c>
      <c r="D3340" s="9">
        <v>1.189040922146818E-2</v>
      </c>
      <c r="E3340" s="9"/>
      <c r="F3340" s="257" t="s">
        <v>15617</v>
      </c>
      <c r="G3340" s="9"/>
      <c r="H3340" s="257" t="s">
        <v>21452</v>
      </c>
      <c r="I3340" s="9">
        <v>2</v>
      </c>
    </row>
    <row r="3341" spans="1:9">
      <c r="A3341" s="257" t="s">
        <v>4439</v>
      </c>
      <c r="B3341" s="9">
        <v>5</v>
      </c>
      <c r="C3341" s="257" t="s">
        <v>11256</v>
      </c>
      <c r="D3341" s="9">
        <v>1.2213335139909357E-2</v>
      </c>
      <c r="E3341" s="9"/>
      <c r="F3341" s="257" t="s">
        <v>15618</v>
      </c>
      <c r="G3341" s="9"/>
      <c r="H3341" s="257" t="s">
        <v>21453</v>
      </c>
      <c r="I3341" s="9">
        <v>2</v>
      </c>
    </row>
    <row r="3342" spans="1:9">
      <c r="A3342" s="257" t="s">
        <v>4440</v>
      </c>
      <c r="B3342" s="9">
        <v>5</v>
      </c>
      <c r="C3342" s="257" t="s">
        <v>11256</v>
      </c>
      <c r="D3342" s="9">
        <v>-4.5575485225886579E-3</v>
      </c>
      <c r="E3342" s="9"/>
      <c r="F3342" s="257" t="s">
        <v>15619</v>
      </c>
      <c r="G3342" s="9"/>
      <c r="H3342" s="257" t="s">
        <v>21454</v>
      </c>
      <c r="I3342" s="9">
        <v>2</v>
      </c>
    </row>
    <row r="3343" spans="1:9">
      <c r="A3343" s="257" t="s">
        <v>4441</v>
      </c>
      <c r="B3343" s="9">
        <v>5</v>
      </c>
      <c r="C3343" s="257" t="s">
        <v>11256</v>
      </c>
      <c r="D3343" s="9"/>
      <c r="E3343" s="9"/>
      <c r="F3343" s="257" t="s">
        <v>15620</v>
      </c>
      <c r="G3343" s="9"/>
      <c r="H3343" s="257" t="s">
        <v>21455</v>
      </c>
      <c r="I3343" s="9">
        <v>2</v>
      </c>
    </row>
    <row r="3344" spans="1:9">
      <c r="A3344" s="257" t="s">
        <v>4442</v>
      </c>
      <c r="B3344" s="9">
        <v>5</v>
      </c>
      <c r="C3344" s="257" t="s">
        <v>11256</v>
      </c>
      <c r="D3344" s="9"/>
      <c r="E3344" s="9"/>
      <c r="F3344" s="257" t="s">
        <v>15621</v>
      </c>
      <c r="G3344" s="9"/>
      <c r="H3344" s="257" t="s">
        <v>21456</v>
      </c>
      <c r="I3344" s="9">
        <v>2</v>
      </c>
    </row>
    <row r="3345" spans="1:9">
      <c r="A3345" s="257" t="s">
        <v>4443</v>
      </c>
      <c r="B3345" s="9">
        <v>5</v>
      </c>
      <c r="C3345" s="257" t="s">
        <v>11256</v>
      </c>
      <c r="D3345" s="9"/>
      <c r="E3345" s="9"/>
      <c r="F3345" s="257" t="s">
        <v>15622</v>
      </c>
      <c r="G3345" s="9"/>
      <c r="H3345" s="257" t="s">
        <v>21457</v>
      </c>
      <c r="I3345" s="9">
        <v>2</v>
      </c>
    </row>
    <row r="3346" spans="1:9">
      <c r="A3346" s="257" t="s">
        <v>4444</v>
      </c>
      <c r="B3346" s="9">
        <v>5</v>
      </c>
      <c r="C3346" s="257" t="s">
        <v>11256</v>
      </c>
      <c r="D3346" s="9"/>
      <c r="E3346" s="9"/>
      <c r="F3346" s="257" t="s">
        <v>15623</v>
      </c>
      <c r="G3346" s="9"/>
      <c r="H3346" s="257" t="s">
        <v>21458</v>
      </c>
      <c r="I3346" s="9">
        <v>2</v>
      </c>
    </row>
    <row r="3347" spans="1:9">
      <c r="A3347" s="257" t="s">
        <v>4445</v>
      </c>
      <c r="B3347" s="9">
        <v>5</v>
      </c>
      <c r="C3347" s="257" t="s">
        <v>11256</v>
      </c>
      <c r="D3347" s="9">
        <v>5.9191538227600115E-4</v>
      </c>
      <c r="E3347" s="9"/>
      <c r="F3347" s="257" t="s">
        <v>15624</v>
      </c>
      <c r="G3347" s="9"/>
      <c r="H3347" s="257" t="s">
        <v>21459</v>
      </c>
      <c r="I3347" s="9">
        <v>2</v>
      </c>
    </row>
    <row r="3348" spans="1:9">
      <c r="A3348" s="257" t="s">
        <v>4446</v>
      </c>
      <c r="B3348" s="9">
        <v>5</v>
      </c>
      <c r="C3348" s="257" t="s">
        <v>11256</v>
      </c>
      <c r="D3348" s="9"/>
      <c r="E3348" s="9"/>
      <c r="F3348" s="257" t="s">
        <v>15625</v>
      </c>
      <c r="G3348" s="9"/>
      <c r="H3348" s="257" t="s">
        <v>21460</v>
      </c>
      <c r="I3348" s="9">
        <v>2</v>
      </c>
    </row>
    <row r="3349" spans="1:9">
      <c r="A3349" s="257" t="s">
        <v>4447</v>
      </c>
      <c r="B3349" s="9">
        <v>5</v>
      </c>
      <c r="C3349" s="257" t="s">
        <v>11256</v>
      </c>
      <c r="D3349" s="9">
        <v>1.3328635360549547E-2</v>
      </c>
      <c r="E3349" s="9"/>
      <c r="F3349" s="257" t="s">
        <v>15626</v>
      </c>
      <c r="G3349" s="9"/>
      <c r="H3349" s="257" t="s">
        <v>21461</v>
      </c>
      <c r="I3349" s="9">
        <v>2</v>
      </c>
    </row>
    <row r="3350" spans="1:9">
      <c r="A3350" s="257" t="s">
        <v>4448</v>
      </c>
      <c r="B3350" s="9">
        <v>5</v>
      </c>
      <c r="C3350" s="257" t="s">
        <v>11256</v>
      </c>
      <c r="D3350" s="9"/>
      <c r="E3350" s="9"/>
      <c r="F3350" s="257" t="s">
        <v>15627</v>
      </c>
      <c r="G3350" s="9"/>
      <c r="H3350" s="257" t="s">
        <v>21462</v>
      </c>
      <c r="I3350" s="9">
        <v>2</v>
      </c>
    </row>
    <row r="3351" spans="1:9">
      <c r="A3351" s="257" t="s">
        <v>4449</v>
      </c>
      <c r="B3351" s="9">
        <v>5</v>
      </c>
      <c r="C3351" s="257" t="s">
        <v>11256</v>
      </c>
      <c r="D3351" s="9">
        <v>1.2389607525317118E-2</v>
      </c>
      <c r="E3351" s="9"/>
      <c r="F3351" s="257" t="s">
        <v>15628</v>
      </c>
      <c r="G3351" s="9"/>
      <c r="H3351" s="257" t="s">
        <v>21463</v>
      </c>
      <c r="I3351" s="9">
        <v>2</v>
      </c>
    </row>
    <row r="3352" spans="1:9">
      <c r="A3352" s="257" t="s">
        <v>4450</v>
      </c>
      <c r="B3352" s="9">
        <v>5</v>
      </c>
      <c r="C3352" s="257" t="s">
        <v>11256</v>
      </c>
      <c r="D3352" s="9">
        <v>7.2560179613187642E-3</v>
      </c>
      <c r="E3352" s="9"/>
      <c r="F3352" s="257" t="s">
        <v>15629</v>
      </c>
      <c r="G3352" s="9"/>
      <c r="H3352" s="257" t="s">
        <v>21464</v>
      </c>
      <c r="I3352" s="9">
        <v>2</v>
      </c>
    </row>
    <row r="3353" spans="1:9">
      <c r="A3353" s="257" t="s">
        <v>4451</v>
      </c>
      <c r="B3353" s="9">
        <v>5</v>
      </c>
      <c r="C3353" s="257" t="s">
        <v>11256</v>
      </c>
      <c r="D3353" s="9">
        <v>2.2543739398626483E-3</v>
      </c>
      <c r="E3353" s="9"/>
      <c r="F3353" s="257" t="s">
        <v>15630</v>
      </c>
      <c r="G3353" s="9"/>
      <c r="H3353" s="257" t="s">
        <v>21465</v>
      </c>
      <c r="I3353" s="9">
        <v>2</v>
      </c>
    </row>
    <row r="3354" spans="1:9">
      <c r="A3354" s="257" t="s">
        <v>4452</v>
      </c>
      <c r="B3354" s="9">
        <v>5</v>
      </c>
      <c r="C3354" s="257" t="s">
        <v>11256</v>
      </c>
      <c r="D3354" s="9">
        <v>5.8771084433736501E-3</v>
      </c>
      <c r="E3354" s="9"/>
      <c r="F3354" s="257" t="s">
        <v>15631</v>
      </c>
      <c r="G3354" s="9"/>
      <c r="H3354" s="257" t="s">
        <v>21466</v>
      </c>
      <c r="I3354" s="9">
        <v>2</v>
      </c>
    </row>
    <row r="3355" spans="1:9">
      <c r="A3355" s="257" t="s">
        <v>4453</v>
      </c>
      <c r="B3355" s="9">
        <v>5</v>
      </c>
      <c r="C3355" s="257" t="s">
        <v>11256</v>
      </c>
      <c r="D3355" s="9">
        <v>-1.7492903276009688E-3</v>
      </c>
      <c r="E3355" s="9"/>
      <c r="F3355" s="257" t="s">
        <v>15632</v>
      </c>
      <c r="G3355" s="9"/>
      <c r="H3355" s="257" t="s">
        <v>21467</v>
      </c>
      <c r="I3355" s="9">
        <v>2</v>
      </c>
    </row>
    <row r="3356" spans="1:9">
      <c r="A3356" s="257" t="s">
        <v>4454</v>
      </c>
      <c r="B3356" s="9">
        <v>5</v>
      </c>
      <c r="C3356" s="257" t="s">
        <v>11256</v>
      </c>
      <c r="D3356" s="9">
        <v>-4.5598435195744347E-3</v>
      </c>
      <c r="E3356" s="9"/>
      <c r="F3356" s="257" t="s">
        <v>15633</v>
      </c>
      <c r="G3356" s="9"/>
      <c r="H3356" s="257" t="s">
        <v>21468</v>
      </c>
      <c r="I3356" s="9">
        <v>2</v>
      </c>
    </row>
    <row r="3357" spans="1:9">
      <c r="A3357" s="257" t="s">
        <v>4455</v>
      </c>
      <c r="B3357" s="9">
        <v>6</v>
      </c>
      <c r="C3357" s="257" t="s">
        <v>11256</v>
      </c>
      <c r="D3357" s="9">
        <v>1.1465888118146894E-2</v>
      </c>
      <c r="E3357" s="9"/>
      <c r="F3357" s="257" t="s">
        <v>15634</v>
      </c>
      <c r="G3357" s="9"/>
      <c r="H3357" s="257" t="s">
        <v>21469</v>
      </c>
      <c r="I3357" s="9">
        <v>2</v>
      </c>
    </row>
    <row r="3358" spans="1:9">
      <c r="A3358" s="257" t="s">
        <v>4456</v>
      </c>
      <c r="B3358" s="9">
        <v>6</v>
      </c>
      <c r="C3358" s="257" t="s">
        <v>11256</v>
      </c>
      <c r="D3358" s="9">
        <v>1.2048624107755885E-2</v>
      </c>
      <c r="E3358" s="9"/>
      <c r="F3358" s="257" t="s">
        <v>15635</v>
      </c>
      <c r="G3358" s="9"/>
      <c r="H3358" s="257" t="s">
        <v>21470</v>
      </c>
      <c r="I3358" s="9">
        <v>2</v>
      </c>
    </row>
    <row r="3359" spans="1:9">
      <c r="A3359" s="257" t="s">
        <v>4457</v>
      </c>
      <c r="B3359" s="9">
        <v>6</v>
      </c>
      <c r="C3359" s="257" t="s">
        <v>11256</v>
      </c>
      <c r="D3359" s="9">
        <v>3.8816475085760179E-3</v>
      </c>
      <c r="E3359" s="9"/>
      <c r="F3359" s="257" t="s">
        <v>15636</v>
      </c>
      <c r="G3359" s="9"/>
      <c r="H3359" s="257" t="s">
        <v>21471</v>
      </c>
      <c r="I3359" s="9">
        <v>2</v>
      </c>
    </row>
    <row r="3360" spans="1:9">
      <c r="A3360" s="257" t="s">
        <v>4458</v>
      </c>
      <c r="B3360" s="9">
        <v>6</v>
      </c>
      <c r="C3360" s="257" t="s">
        <v>11256</v>
      </c>
      <c r="D3360" s="9"/>
      <c r="E3360" s="9"/>
      <c r="F3360" s="257" t="s">
        <v>15637</v>
      </c>
      <c r="G3360" s="9"/>
      <c r="H3360" s="257" t="s">
        <v>21472</v>
      </c>
      <c r="I3360" s="9">
        <v>2</v>
      </c>
    </row>
    <row r="3361" spans="1:9">
      <c r="A3361" s="257" t="s">
        <v>4459</v>
      </c>
      <c r="B3361" s="9">
        <v>6</v>
      </c>
      <c r="C3361" s="257" t="s">
        <v>11256</v>
      </c>
      <c r="D3361" s="9">
        <v>5.8067906600741922E-4</v>
      </c>
      <c r="E3361" s="9"/>
      <c r="F3361" s="257" t="s">
        <v>15638</v>
      </c>
      <c r="G3361" s="9"/>
      <c r="H3361" s="257" t="s">
        <v>21473</v>
      </c>
      <c r="I3361" s="9">
        <v>2</v>
      </c>
    </row>
    <row r="3362" spans="1:9">
      <c r="A3362" s="257" t="s">
        <v>4460</v>
      </c>
      <c r="B3362" s="9">
        <v>6</v>
      </c>
      <c r="C3362" s="257" t="s">
        <v>11256</v>
      </c>
      <c r="D3362" s="9">
        <v>1.1381532500528126E-2</v>
      </c>
      <c r="E3362" s="9"/>
      <c r="F3362" s="257" t="s">
        <v>15639</v>
      </c>
      <c r="G3362" s="9"/>
      <c r="H3362" s="257" t="s">
        <v>21474</v>
      </c>
      <c r="I3362" s="9">
        <v>2</v>
      </c>
    </row>
    <row r="3363" spans="1:9">
      <c r="A3363" s="257" t="s">
        <v>4461</v>
      </c>
      <c r="B3363" s="9">
        <v>6</v>
      </c>
      <c r="C3363" s="257" t="s">
        <v>11256</v>
      </c>
      <c r="D3363" s="9">
        <v>1.1002926432033376E-2</v>
      </c>
      <c r="E3363" s="9"/>
      <c r="F3363" s="257" t="s">
        <v>15640</v>
      </c>
      <c r="G3363" s="9"/>
      <c r="H3363" s="257" t="s">
        <v>21475</v>
      </c>
      <c r="I3363" s="9">
        <v>2</v>
      </c>
    </row>
    <row r="3364" spans="1:9">
      <c r="A3364" s="257" t="s">
        <v>4462</v>
      </c>
      <c r="B3364" s="9">
        <v>6</v>
      </c>
      <c r="C3364" s="257" t="s">
        <v>11256</v>
      </c>
      <c r="D3364" s="9">
        <v>1.1381532500528126E-2</v>
      </c>
      <c r="E3364" s="9"/>
      <c r="F3364" s="257" t="s">
        <v>15641</v>
      </c>
      <c r="G3364" s="9"/>
      <c r="H3364" s="257" t="s">
        <v>21476</v>
      </c>
      <c r="I3364" s="9">
        <v>2</v>
      </c>
    </row>
    <row r="3365" spans="1:9">
      <c r="A3365" s="257" t="s">
        <v>4463</v>
      </c>
      <c r="B3365" s="9">
        <v>6</v>
      </c>
      <c r="C3365" s="257" t="s">
        <v>11256</v>
      </c>
      <c r="D3365" s="9">
        <v>1.3994632202893627E-2</v>
      </c>
      <c r="E3365" s="9"/>
      <c r="F3365" s="257" t="s">
        <v>15642</v>
      </c>
      <c r="G3365" s="9"/>
      <c r="H3365" s="257" t="s">
        <v>21477</v>
      </c>
      <c r="I3365" s="9">
        <v>2</v>
      </c>
    </row>
    <row r="3366" spans="1:9">
      <c r="A3366" s="257" t="s">
        <v>4464</v>
      </c>
      <c r="B3366" s="9">
        <v>6</v>
      </c>
      <c r="C3366" s="257" t="s">
        <v>11256</v>
      </c>
      <c r="D3366" s="9">
        <v>1.4373238271388377E-2</v>
      </c>
      <c r="E3366" s="9"/>
      <c r="F3366" s="257" t="s">
        <v>15643</v>
      </c>
      <c r="G3366" s="9"/>
      <c r="H3366" s="257" t="s">
        <v>21478</v>
      </c>
      <c r="I3366" s="9">
        <v>2</v>
      </c>
    </row>
    <row r="3367" spans="1:9">
      <c r="A3367" s="257" t="s">
        <v>4465</v>
      </c>
      <c r="B3367" s="9">
        <v>6</v>
      </c>
      <c r="C3367" s="257" t="s">
        <v>11256</v>
      </c>
      <c r="D3367" s="9">
        <v>-4.6738045703800532E-3</v>
      </c>
      <c r="E3367" s="9"/>
      <c r="F3367" s="257" t="s">
        <v>15644</v>
      </c>
      <c r="G3367" s="9"/>
      <c r="H3367" s="257" t="s">
        <v>21479</v>
      </c>
      <c r="I3367" s="9">
        <v>2</v>
      </c>
    </row>
    <row r="3368" spans="1:9">
      <c r="A3368" s="257" t="s">
        <v>4466</v>
      </c>
      <c r="B3368" s="9">
        <v>6</v>
      </c>
      <c r="C3368" s="257" t="s">
        <v>11256</v>
      </c>
      <c r="D3368" s="9"/>
      <c r="E3368" s="9"/>
      <c r="F3368" s="257" t="s">
        <v>15645</v>
      </c>
      <c r="G3368" s="9"/>
      <c r="H3368" s="257" t="s">
        <v>21480</v>
      </c>
      <c r="I3368" s="9">
        <v>2</v>
      </c>
    </row>
    <row r="3369" spans="1:9">
      <c r="A3369" s="257" t="s">
        <v>4467</v>
      </c>
      <c r="B3369" s="9">
        <v>6</v>
      </c>
      <c r="C3369" s="257" t="s">
        <v>11256</v>
      </c>
      <c r="D3369" s="9"/>
      <c r="E3369" s="9"/>
      <c r="F3369" s="257" t="s">
        <v>15646</v>
      </c>
      <c r="G3369" s="9"/>
      <c r="H3369" s="257" t="s">
        <v>21481</v>
      </c>
      <c r="I3369" s="9">
        <v>2</v>
      </c>
    </row>
    <row r="3370" spans="1:9">
      <c r="A3370" s="257" t="s">
        <v>4468</v>
      </c>
      <c r="B3370" s="9">
        <v>6</v>
      </c>
      <c r="C3370" s="257" t="s">
        <v>11256</v>
      </c>
      <c r="D3370" s="9"/>
      <c r="E3370" s="9"/>
      <c r="F3370" s="257" t="s">
        <v>15647</v>
      </c>
      <c r="G3370" s="9"/>
      <c r="H3370" s="257" t="s">
        <v>21482</v>
      </c>
      <c r="I3370" s="9">
        <v>2</v>
      </c>
    </row>
    <row r="3371" spans="1:9">
      <c r="A3371" s="257" t="s">
        <v>4469</v>
      </c>
      <c r="B3371" s="9">
        <v>6</v>
      </c>
      <c r="C3371" s="257" t="s">
        <v>11256</v>
      </c>
      <c r="D3371" s="9"/>
      <c r="E3371" s="9"/>
      <c r="F3371" s="257" t="s">
        <v>15648</v>
      </c>
      <c r="G3371" s="9"/>
      <c r="H3371" s="257" t="s">
        <v>21483</v>
      </c>
      <c r="I3371" s="9">
        <v>2</v>
      </c>
    </row>
    <row r="3372" spans="1:9">
      <c r="A3372" s="257" t="s">
        <v>4470</v>
      </c>
      <c r="B3372" s="9">
        <v>6</v>
      </c>
      <c r="C3372" s="257" t="s">
        <v>11256</v>
      </c>
      <c r="D3372" s="9">
        <v>5.8067906600741922E-4</v>
      </c>
      <c r="E3372" s="9"/>
      <c r="F3372" s="257" t="s">
        <v>15649</v>
      </c>
      <c r="G3372" s="9"/>
      <c r="H3372" s="257" t="s">
        <v>21484</v>
      </c>
      <c r="I3372" s="9">
        <v>2</v>
      </c>
    </row>
    <row r="3373" spans="1:9">
      <c r="A3373" s="257" t="s">
        <v>4471</v>
      </c>
      <c r="B3373" s="9">
        <v>6</v>
      </c>
      <c r="C3373" s="257" t="s">
        <v>11256</v>
      </c>
      <c r="D3373" s="9"/>
      <c r="E3373" s="9"/>
      <c r="F3373" s="257" t="s">
        <v>15650</v>
      </c>
      <c r="G3373" s="9"/>
      <c r="H3373" s="257" t="s">
        <v>21485</v>
      </c>
      <c r="I3373" s="9">
        <v>2</v>
      </c>
    </row>
    <row r="3374" spans="1:9">
      <c r="A3374" s="257" t="s">
        <v>4472</v>
      </c>
      <c r="B3374" s="9">
        <v>6</v>
      </c>
      <c r="C3374" s="257" t="s">
        <v>11256</v>
      </c>
      <c r="D3374" s="9">
        <v>1.3460410413994411E-2</v>
      </c>
      <c r="E3374" s="9"/>
      <c r="F3374" s="257" t="s">
        <v>15651</v>
      </c>
      <c r="G3374" s="9"/>
      <c r="H3374" s="257" t="s">
        <v>21486</v>
      </c>
      <c r="I3374" s="9">
        <v>2</v>
      </c>
    </row>
    <row r="3375" spans="1:9">
      <c r="A3375" s="257" t="s">
        <v>4473</v>
      </c>
      <c r="B3375" s="9">
        <v>6</v>
      </c>
      <c r="C3375" s="257" t="s">
        <v>11256</v>
      </c>
      <c r="D3375" s="9"/>
      <c r="E3375" s="9"/>
      <c r="F3375" s="257" t="s">
        <v>15652</v>
      </c>
      <c r="G3375" s="9"/>
      <c r="H3375" s="257" t="s">
        <v>21487</v>
      </c>
      <c r="I3375" s="9">
        <v>2</v>
      </c>
    </row>
    <row r="3376" spans="1:9">
      <c r="A3376" s="257" t="s">
        <v>4474</v>
      </c>
      <c r="B3376" s="9">
        <v>6</v>
      </c>
      <c r="C3376" s="257" t="s">
        <v>11256</v>
      </c>
      <c r="D3376" s="9">
        <v>1.2615936009303084E-2</v>
      </c>
      <c r="E3376" s="9"/>
      <c r="F3376" s="257" t="s">
        <v>15653</v>
      </c>
      <c r="G3376" s="9"/>
      <c r="H3376" s="257" t="s">
        <v>21488</v>
      </c>
      <c r="I3376" s="9">
        <v>2</v>
      </c>
    </row>
    <row r="3377" spans="1:9">
      <c r="A3377" s="257" t="s">
        <v>4475</v>
      </c>
      <c r="B3377" s="9">
        <v>6</v>
      </c>
      <c r="C3377" s="257" t="s">
        <v>11256</v>
      </c>
      <c r="D3377" s="9">
        <v>6.8301549165220065E-3</v>
      </c>
      <c r="E3377" s="9"/>
      <c r="F3377" s="257" t="s">
        <v>15654</v>
      </c>
      <c r="G3377" s="9"/>
      <c r="H3377" s="257" t="s">
        <v>21489</v>
      </c>
      <c r="I3377" s="9">
        <v>2</v>
      </c>
    </row>
    <row r="3378" spans="1:9">
      <c r="A3378" s="257" t="s">
        <v>4476</v>
      </c>
      <c r="B3378" s="9">
        <v>6</v>
      </c>
      <c r="C3378" s="257" t="s">
        <v>11256</v>
      </c>
      <c r="D3378" s="9">
        <v>2.2516207305204629E-3</v>
      </c>
      <c r="E3378" s="9"/>
      <c r="F3378" s="257" t="s">
        <v>15655</v>
      </c>
      <c r="G3378" s="9"/>
      <c r="H3378" s="257" t="s">
        <v>21490</v>
      </c>
      <c r="I3378" s="9">
        <v>2</v>
      </c>
    </row>
    <row r="3379" spans="1:9">
      <c r="A3379" s="257" t="s">
        <v>4477</v>
      </c>
      <c r="B3379" s="9">
        <v>6</v>
      </c>
      <c r="C3379" s="257" t="s">
        <v>11256</v>
      </c>
      <c r="D3379" s="9">
        <v>6.5048556274067857E-3</v>
      </c>
      <c r="E3379" s="9"/>
      <c r="F3379" s="257" t="s">
        <v>15656</v>
      </c>
      <c r="G3379" s="9"/>
      <c r="H3379" s="257" t="s">
        <v>21491</v>
      </c>
      <c r="I3379" s="9">
        <v>2</v>
      </c>
    </row>
    <row r="3380" spans="1:9">
      <c r="A3380" s="257" t="s">
        <v>4478</v>
      </c>
      <c r="B3380" s="9">
        <v>6</v>
      </c>
      <c r="C3380" s="257" t="s">
        <v>11256</v>
      </c>
      <c r="D3380" s="9">
        <v>-2.4481663107221228E-3</v>
      </c>
      <c r="E3380" s="9"/>
      <c r="F3380" s="257" t="s">
        <v>15657</v>
      </c>
      <c r="G3380" s="9"/>
      <c r="H3380" s="257" t="s">
        <v>21492</v>
      </c>
      <c r="I3380" s="9">
        <v>2</v>
      </c>
    </row>
    <row r="3381" spans="1:9">
      <c r="A3381" s="257" t="s">
        <v>4479</v>
      </c>
      <c r="B3381" s="9">
        <v>6</v>
      </c>
      <c r="C3381" s="257" t="s">
        <v>11256</v>
      </c>
      <c r="D3381" s="9">
        <v>-4.2125389883847942E-3</v>
      </c>
      <c r="E3381" s="9"/>
      <c r="F3381" s="257" t="s">
        <v>15658</v>
      </c>
      <c r="G3381" s="9"/>
      <c r="H3381" s="257" t="s">
        <v>21493</v>
      </c>
      <c r="I3381" s="9">
        <v>2</v>
      </c>
    </row>
    <row r="3382" spans="1:9">
      <c r="A3382" s="257" t="s">
        <v>4480</v>
      </c>
      <c r="B3382" s="9">
        <v>7</v>
      </c>
      <c r="C3382" s="257" t="s">
        <v>11256</v>
      </c>
      <c r="D3382" s="9">
        <v>1.1842037135533671E-2</v>
      </c>
      <c r="E3382" s="9"/>
      <c r="F3382" s="257" t="s">
        <v>15659</v>
      </c>
      <c r="G3382" s="9"/>
      <c r="H3382" s="257" t="s">
        <v>21494</v>
      </c>
      <c r="I3382" s="9">
        <v>2</v>
      </c>
    </row>
    <row r="3383" spans="1:9">
      <c r="A3383" s="257" t="s">
        <v>4481</v>
      </c>
      <c r="B3383" s="9">
        <v>7</v>
      </c>
      <c r="C3383" s="257" t="s">
        <v>11256</v>
      </c>
      <c r="D3383" s="9">
        <v>1.2433918386876705E-2</v>
      </c>
      <c r="E3383" s="9"/>
      <c r="F3383" s="257" t="s">
        <v>15660</v>
      </c>
      <c r="G3383" s="9"/>
      <c r="H3383" s="257" t="s">
        <v>21495</v>
      </c>
      <c r="I3383" s="9">
        <v>2</v>
      </c>
    </row>
    <row r="3384" spans="1:9">
      <c r="A3384" s="257" t="s">
        <v>4482</v>
      </c>
      <c r="B3384" s="9">
        <v>7</v>
      </c>
      <c r="C3384" s="257" t="s">
        <v>11256</v>
      </c>
      <c r="D3384" s="9">
        <v>4.1496544814371671E-3</v>
      </c>
      <c r="E3384" s="9"/>
      <c r="F3384" s="257" t="s">
        <v>15661</v>
      </c>
      <c r="G3384" s="9"/>
      <c r="H3384" s="257" t="s">
        <v>21496</v>
      </c>
      <c r="I3384" s="9">
        <v>2</v>
      </c>
    </row>
    <row r="3385" spans="1:9">
      <c r="A3385" s="257" t="s">
        <v>4483</v>
      </c>
      <c r="B3385" s="9">
        <v>7</v>
      </c>
      <c r="C3385" s="257" t="s">
        <v>11256</v>
      </c>
      <c r="D3385" s="9"/>
      <c r="E3385" s="9"/>
      <c r="F3385" s="257" t="s">
        <v>15662</v>
      </c>
      <c r="G3385" s="9"/>
      <c r="H3385" s="257" t="s">
        <v>21497</v>
      </c>
      <c r="I3385" s="9">
        <v>2</v>
      </c>
    </row>
    <row r="3386" spans="1:9">
      <c r="A3386" s="257" t="s">
        <v>4484</v>
      </c>
      <c r="B3386" s="9">
        <v>7</v>
      </c>
      <c r="C3386" s="257" t="s">
        <v>11256</v>
      </c>
      <c r="D3386" s="9">
        <v>6.0118875026291397E-4</v>
      </c>
      <c r="E3386" s="9"/>
      <c r="F3386" s="257" t="s">
        <v>15663</v>
      </c>
      <c r="G3386" s="9"/>
      <c r="H3386" s="257" t="s">
        <v>21498</v>
      </c>
      <c r="I3386" s="9">
        <v>2</v>
      </c>
    </row>
    <row r="3387" spans="1:9">
      <c r="A3387" s="257" t="s">
        <v>4485</v>
      </c>
      <c r="B3387" s="9">
        <v>7</v>
      </c>
      <c r="C3387" s="257" t="s">
        <v>11256</v>
      </c>
      <c r="D3387" s="9">
        <v>1.3331236646333013E-2</v>
      </c>
      <c r="E3387" s="9"/>
      <c r="F3387" s="257" t="s">
        <v>15664</v>
      </c>
      <c r="G3387" s="9"/>
      <c r="H3387" s="257" t="s">
        <v>21499</v>
      </c>
      <c r="I3387" s="9">
        <v>2</v>
      </c>
    </row>
    <row r="3388" spans="1:9">
      <c r="A3388" s="257" t="s">
        <v>4486</v>
      </c>
      <c r="B3388" s="9">
        <v>7</v>
      </c>
      <c r="C3388" s="257" t="s">
        <v>11256</v>
      </c>
      <c r="D3388" s="9">
        <v>1.2876899117968419E-2</v>
      </c>
      <c r="E3388" s="9"/>
      <c r="F3388" s="257" t="s">
        <v>15665</v>
      </c>
      <c r="G3388" s="9"/>
      <c r="H3388" s="257" t="s">
        <v>21500</v>
      </c>
      <c r="I3388" s="9">
        <v>2</v>
      </c>
    </row>
    <row r="3389" spans="1:9">
      <c r="A3389" s="257" t="s">
        <v>4487</v>
      </c>
      <c r="B3389" s="9">
        <v>7</v>
      </c>
      <c r="C3389" s="257" t="s">
        <v>11256</v>
      </c>
      <c r="D3389" s="9">
        <v>1.3331236646333013E-2</v>
      </c>
      <c r="E3389" s="9"/>
      <c r="F3389" s="257" t="s">
        <v>15666</v>
      </c>
      <c r="G3389" s="9"/>
      <c r="H3389" s="257" t="s">
        <v>21501</v>
      </c>
      <c r="I3389" s="9">
        <v>2</v>
      </c>
    </row>
    <row r="3390" spans="1:9">
      <c r="A3390" s="257" t="s">
        <v>4488</v>
      </c>
      <c r="B3390" s="9">
        <v>7</v>
      </c>
      <c r="C3390" s="257" t="s">
        <v>11256</v>
      </c>
      <c r="D3390" s="9">
        <v>1.5972826336891354E-2</v>
      </c>
      <c r="E3390" s="9"/>
      <c r="F3390" s="257" t="s">
        <v>15667</v>
      </c>
      <c r="G3390" s="9"/>
      <c r="H3390" s="257" t="s">
        <v>21502</v>
      </c>
      <c r="I3390" s="9">
        <v>2</v>
      </c>
    </row>
    <row r="3391" spans="1:9">
      <c r="A3391" s="257" t="s">
        <v>4489</v>
      </c>
      <c r="B3391" s="9">
        <v>7</v>
      </c>
      <c r="C3391" s="257" t="s">
        <v>11256</v>
      </c>
      <c r="D3391" s="9">
        <v>1.64282776811502E-2</v>
      </c>
      <c r="E3391" s="9"/>
      <c r="F3391" s="257" t="s">
        <v>15668</v>
      </c>
      <c r="G3391" s="9"/>
      <c r="H3391" s="257" t="s">
        <v>21503</v>
      </c>
      <c r="I3391" s="9">
        <v>2</v>
      </c>
    </row>
    <row r="3392" spans="1:9">
      <c r="A3392" s="257" t="s">
        <v>4490</v>
      </c>
      <c r="B3392" s="9">
        <v>7</v>
      </c>
      <c r="C3392" s="257" t="s">
        <v>11256</v>
      </c>
      <c r="D3392" s="9">
        <v>-4.6511772365891279E-3</v>
      </c>
      <c r="E3392" s="9"/>
      <c r="F3392" s="257" t="s">
        <v>15669</v>
      </c>
      <c r="G3392" s="9"/>
      <c r="H3392" s="257" t="s">
        <v>21504</v>
      </c>
      <c r="I3392" s="9">
        <v>2</v>
      </c>
    </row>
    <row r="3393" spans="1:9">
      <c r="A3393" s="257" t="s">
        <v>4491</v>
      </c>
      <c r="B3393" s="9">
        <v>7</v>
      </c>
      <c r="C3393" s="257" t="s">
        <v>11256</v>
      </c>
      <c r="D3393" s="9"/>
      <c r="E3393" s="9"/>
      <c r="F3393" s="257" t="s">
        <v>15670</v>
      </c>
      <c r="G3393" s="9"/>
      <c r="H3393" s="257" t="s">
        <v>21505</v>
      </c>
      <c r="I3393" s="9">
        <v>2</v>
      </c>
    </row>
    <row r="3394" spans="1:9">
      <c r="A3394" s="257" t="s">
        <v>4492</v>
      </c>
      <c r="B3394" s="9">
        <v>7</v>
      </c>
      <c r="C3394" s="257" t="s">
        <v>11256</v>
      </c>
      <c r="D3394" s="9"/>
      <c r="E3394" s="9"/>
      <c r="F3394" s="257" t="s">
        <v>15671</v>
      </c>
      <c r="G3394" s="9"/>
      <c r="H3394" s="257" t="s">
        <v>21506</v>
      </c>
      <c r="I3394" s="9">
        <v>2</v>
      </c>
    </row>
    <row r="3395" spans="1:9">
      <c r="A3395" s="257" t="s">
        <v>4493</v>
      </c>
      <c r="B3395" s="9">
        <v>7</v>
      </c>
      <c r="C3395" s="257" t="s">
        <v>11256</v>
      </c>
      <c r="D3395" s="9"/>
      <c r="E3395" s="9"/>
      <c r="F3395" s="257" t="s">
        <v>15672</v>
      </c>
      <c r="G3395" s="9"/>
      <c r="H3395" s="257" t="s">
        <v>21507</v>
      </c>
      <c r="I3395" s="9">
        <v>2</v>
      </c>
    </row>
    <row r="3396" spans="1:9">
      <c r="A3396" s="257" t="s">
        <v>4494</v>
      </c>
      <c r="B3396" s="9">
        <v>7</v>
      </c>
      <c r="C3396" s="257" t="s">
        <v>11256</v>
      </c>
      <c r="D3396" s="9"/>
      <c r="E3396" s="9"/>
      <c r="F3396" s="257" t="s">
        <v>15673</v>
      </c>
      <c r="G3396" s="9"/>
      <c r="H3396" s="257" t="s">
        <v>21508</v>
      </c>
      <c r="I3396" s="9">
        <v>2</v>
      </c>
    </row>
    <row r="3397" spans="1:9">
      <c r="A3397" s="257" t="s">
        <v>4495</v>
      </c>
      <c r="B3397" s="9">
        <v>7</v>
      </c>
      <c r="C3397" s="257" t="s">
        <v>11256</v>
      </c>
      <c r="D3397" s="9">
        <v>6.0118875026291397E-4</v>
      </c>
      <c r="E3397" s="9"/>
      <c r="F3397" s="257" t="s">
        <v>15674</v>
      </c>
      <c r="G3397" s="9"/>
      <c r="H3397" s="257" t="s">
        <v>21509</v>
      </c>
      <c r="I3397" s="9">
        <v>2</v>
      </c>
    </row>
    <row r="3398" spans="1:9">
      <c r="A3398" s="257" t="s">
        <v>4496</v>
      </c>
      <c r="B3398" s="9">
        <v>7</v>
      </c>
      <c r="C3398" s="257" t="s">
        <v>11256</v>
      </c>
      <c r="D3398" s="9"/>
      <c r="E3398" s="9"/>
      <c r="F3398" s="257" t="s">
        <v>15675</v>
      </c>
      <c r="G3398" s="9"/>
      <c r="H3398" s="257" t="s">
        <v>21510</v>
      </c>
      <c r="I3398" s="9">
        <v>2</v>
      </c>
    </row>
    <row r="3399" spans="1:9">
      <c r="A3399" s="257" t="s">
        <v>4497</v>
      </c>
      <c r="B3399" s="9">
        <v>7</v>
      </c>
      <c r="C3399" s="257" t="s">
        <v>11256</v>
      </c>
      <c r="D3399" s="9">
        <v>1.3772694105107021E-2</v>
      </c>
      <c r="E3399" s="9"/>
      <c r="F3399" s="257" t="s">
        <v>15676</v>
      </c>
      <c r="G3399" s="9"/>
      <c r="H3399" s="257" t="s">
        <v>21511</v>
      </c>
      <c r="I3399" s="9">
        <v>2</v>
      </c>
    </row>
    <row r="3400" spans="1:9">
      <c r="A3400" s="257" t="s">
        <v>4498</v>
      </c>
      <c r="B3400" s="9">
        <v>7</v>
      </c>
      <c r="C3400" s="257" t="s">
        <v>11256</v>
      </c>
      <c r="D3400" s="9"/>
      <c r="E3400" s="9"/>
      <c r="F3400" s="257" t="s">
        <v>15677</v>
      </c>
      <c r="G3400" s="9"/>
      <c r="H3400" s="257" t="s">
        <v>21512</v>
      </c>
      <c r="I3400" s="9">
        <v>2</v>
      </c>
    </row>
    <row r="3401" spans="1:9">
      <c r="A3401" s="257" t="s">
        <v>4499</v>
      </c>
      <c r="B3401" s="9">
        <v>7</v>
      </c>
      <c r="C3401" s="257" t="s">
        <v>11256</v>
      </c>
      <c r="D3401" s="9">
        <v>1.2840626760786763E-2</v>
      </c>
      <c r="E3401" s="9"/>
      <c r="F3401" s="257" t="s">
        <v>15678</v>
      </c>
      <c r="G3401" s="9"/>
      <c r="H3401" s="257" t="s">
        <v>21513</v>
      </c>
      <c r="I3401" s="9">
        <v>2</v>
      </c>
    </row>
    <row r="3402" spans="1:9">
      <c r="A3402" s="257" t="s">
        <v>4500</v>
      </c>
      <c r="B3402" s="9">
        <v>7</v>
      </c>
      <c r="C3402" s="257" t="s">
        <v>11256</v>
      </c>
      <c r="D3402" s="9">
        <v>6.9547183458394399E-3</v>
      </c>
      <c r="E3402" s="9"/>
      <c r="F3402" s="257" t="s">
        <v>15679</v>
      </c>
      <c r="G3402" s="9"/>
      <c r="H3402" s="257" t="s">
        <v>21514</v>
      </c>
      <c r="I3402" s="9">
        <v>2</v>
      </c>
    </row>
    <row r="3403" spans="1:9">
      <c r="A3403" s="257" t="s">
        <v>4501</v>
      </c>
      <c r="B3403" s="9">
        <v>7</v>
      </c>
      <c r="C3403" s="257" t="s">
        <v>11256</v>
      </c>
      <c r="D3403" s="9">
        <v>2.3029299593017617E-3</v>
      </c>
      <c r="E3403" s="9"/>
      <c r="F3403" s="257" t="s">
        <v>15680</v>
      </c>
      <c r="G3403" s="9"/>
      <c r="H3403" s="257" t="s">
        <v>21515</v>
      </c>
      <c r="I3403" s="9">
        <v>2</v>
      </c>
    </row>
    <row r="3404" spans="1:9">
      <c r="A3404" s="257" t="s">
        <v>4502</v>
      </c>
      <c r="B3404" s="9">
        <v>7</v>
      </c>
      <c r="C3404" s="257" t="s">
        <v>11256</v>
      </c>
      <c r="D3404" s="9">
        <v>6.9276210357893959E-3</v>
      </c>
      <c r="E3404" s="9"/>
      <c r="F3404" s="257" t="s">
        <v>15681</v>
      </c>
      <c r="G3404" s="9"/>
      <c r="H3404" s="257" t="s">
        <v>21516</v>
      </c>
      <c r="I3404" s="9">
        <v>2</v>
      </c>
    </row>
    <row r="3405" spans="1:9">
      <c r="A3405" s="257" t="s">
        <v>4503</v>
      </c>
      <c r="B3405" s="9">
        <v>7</v>
      </c>
      <c r="C3405" s="257" t="s">
        <v>11256</v>
      </c>
      <c r="D3405" s="9">
        <v>-3.7348179455102904E-3</v>
      </c>
      <c r="E3405" s="9"/>
      <c r="F3405" s="257" t="s">
        <v>15682</v>
      </c>
      <c r="G3405" s="9"/>
      <c r="H3405" s="257" t="s">
        <v>21517</v>
      </c>
      <c r="I3405" s="9">
        <v>2</v>
      </c>
    </row>
    <row r="3406" spans="1:9">
      <c r="A3406" s="257" t="s">
        <v>4504</v>
      </c>
      <c r="B3406" s="9">
        <v>7</v>
      </c>
      <c r="C3406" s="257" t="s">
        <v>11256</v>
      </c>
      <c r="D3406" s="9">
        <v>-4.1775709209867862E-3</v>
      </c>
      <c r="E3406" s="9"/>
      <c r="F3406" s="257" t="s">
        <v>15683</v>
      </c>
      <c r="G3406" s="9"/>
      <c r="H3406" s="257" t="s">
        <v>21518</v>
      </c>
      <c r="I3406" s="9">
        <v>2</v>
      </c>
    </row>
    <row r="3407" spans="1:9">
      <c r="A3407" s="257" t="s">
        <v>4505</v>
      </c>
      <c r="B3407" s="9">
        <v>8</v>
      </c>
      <c r="C3407" s="257" t="s">
        <v>11256</v>
      </c>
      <c r="D3407" s="9">
        <v>1.082432977100076E-2</v>
      </c>
      <c r="E3407" s="9"/>
      <c r="F3407" s="257" t="s">
        <v>15684</v>
      </c>
      <c r="G3407" s="9"/>
      <c r="H3407" s="257" t="s">
        <v>21519</v>
      </c>
      <c r="I3407" s="9">
        <v>2</v>
      </c>
    </row>
    <row r="3408" spans="1:9">
      <c r="A3408" s="257" t="s">
        <v>4506</v>
      </c>
      <c r="B3408" s="9">
        <v>8</v>
      </c>
      <c r="C3408" s="257" t="s">
        <v>11256</v>
      </c>
      <c r="D3408" s="9">
        <v>1.1372771406345638E-2</v>
      </c>
      <c r="E3408" s="9"/>
      <c r="F3408" s="257" t="s">
        <v>15685</v>
      </c>
      <c r="G3408" s="9"/>
      <c r="H3408" s="257" t="s">
        <v>21520</v>
      </c>
      <c r="I3408" s="9">
        <v>2</v>
      </c>
    </row>
    <row r="3409" spans="1:9">
      <c r="A3409" s="257" t="s">
        <v>4507</v>
      </c>
      <c r="B3409" s="9">
        <v>8</v>
      </c>
      <c r="C3409" s="257" t="s">
        <v>11256</v>
      </c>
      <c r="D3409" s="9">
        <v>4.6117304519982154E-3</v>
      </c>
      <c r="E3409" s="9"/>
      <c r="F3409" s="257" t="s">
        <v>15686</v>
      </c>
      <c r="G3409" s="9"/>
      <c r="H3409" s="257" t="s">
        <v>21521</v>
      </c>
      <c r="I3409" s="9">
        <v>2</v>
      </c>
    </row>
    <row r="3410" spans="1:9">
      <c r="A3410" s="257" t="s">
        <v>4508</v>
      </c>
      <c r="B3410" s="9">
        <v>8</v>
      </c>
      <c r="C3410" s="257" t="s">
        <v>11256</v>
      </c>
      <c r="D3410" s="9"/>
      <c r="E3410" s="9"/>
      <c r="F3410" s="257" t="s">
        <v>15687</v>
      </c>
      <c r="G3410" s="9"/>
      <c r="H3410" s="257" t="s">
        <v>21522</v>
      </c>
      <c r="I3410" s="9">
        <v>2</v>
      </c>
    </row>
    <row r="3411" spans="1:9">
      <c r="A3411" s="257" t="s">
        <v>4509</v>
      </c>
      <c r="B3411" s="9">
        <v>8</v>
      </c>
      <c r="C3411" s="257" t="s">
        <v>11256</v>
      </c>
      <c r="D3411" s="9">
        <v>5.4464665294508741E-4</v>
      </c>
      <c r="E3411" s="9"/>
      <c r="F3411" s="257" t="s">
        <v>15688</v>
      </c>
      <c r="G3411" s="9"/>
      <c r="H3411" s="257" t="s">
        <v>21523</v>
      </c>
      <c r="I3411" s="9">
        <v>2</v>
      </c>
    </row>
    <row r="3412" spans="1:9">
      <c r="A3412" s="257" t="s">
        <v>4510</v>
      </c>
      <c r="B3412" s="9">
        <v>8</v>
      </c>
      <c r="C3412" s="257" t="s">
        <v>11256</v>
      </c>
      <c r="D3412" s="9">
        <v>1.3915114557201883E-2</v>
      </c>
      <c r="E3412" s="9"/>
      <c r="F3412" s="257" t="s">
        <v>15689</v>
      </c>
      <c r="G3412" s="9"/>
      <c r="H3412" s="257" t="s">
        <v>21524</v>
      </c>
      <c r="I3412" s="9">
        <v>2</v>
      </c>
    </row>
    <row r="3413" spans="1:9">
      <c r="A3413" s="257" t="s">
        <v>4511</v>
      </c>
      <c r="B3413" s="9">
        <v>8</v>
      </c>
      <c r="C3413" s="257" t="s">
        <v>11256</v>
      </c>
      <c r="D3413" s="9">
        <v>1.3479541260480029E-2</v>
      </c>
      <c r="E3413" s="9"/>
      <c r="F3413" s="257" t="s">
        <v>15690</v>
      </c>
      <c r="G3413" s="9"/>
      <c r="H3413" s="257" t="s">
        <v>21525</v>
      </c>
      <c r="I3413" s="9">
        <v>2</v>
      </c>
    </row>
    <row r="3414" spans="1:9">
      <c r="A3414" s="257" t="s">
        <v>4512</v>
      </c>
      <c r="B3414" s="9">
        <v>8</v>
      </c>
      <c r="C3414" s="257" t="s">
        <v>11256</v>
      </c>
      <c r="D3414" s="9">
        <v>1.3915114557201883E-2</v>
      </c>
      <c r="E3414" s="9"/>
      <c r="F3414" s="257" t="s">
        <v>15691</v>
      </c>
      <c r="G3414" s="9"/>
      <c r="H3414" s="257" t="s">
        <v>21526</v>
      </c>
      <c r="I3414" s="9">
        <v>2</v>
      </c>
    </row>
    <row r="3415" spans="1:9">
      <c r="A3415" s="257" t="s">
        <v>4513</v>
      </c>
      <c r="B3415" s="9">
        <v>8</v>
      </c>
      <c r="C3415" s="257" t="s">
        <v>11256</v>
      </c>
      <c r="D3415" s="9">
        <v>1.7653234474353068E-2</v>
      </c>
      <c r="E3415" s="9"/>
      <c r="F3415" s="257" t="s">
        <v>15692</v>
      </c>
      <c r="G3415" s="9"/>
      <c r="H3415" s="257" t="s">
        <v>21527</v>
      </c>
      <c r="I3415" s="9">
        <v>2</v>
      </c>
    </row>
    <row r="3416" spans="1:9">
      <c r="A3416" s="257" t="s">
        <v>4514</v>
      </c>
      <c r="B3416" s="9">
        <v>8</v>
      </c>
      <c r="C3416" s="257" t="s">
        <v>11256</v>
      </c>
      <c r="D3416" s="9">
        <v>1.8110066155884452E-2</v>
      </c>
      <c r="E3416" s="9"/>
      <c r="F3416" s="257" t="s">
        <v>15693</v>
      </c>
      <c r="G3416" s="9"/>
      <c r="H3416" s="257" t="s">
        <v>21528</v>
      </c>
      <c r="I3416" s="9">
        <v>2</v>
      </c>
    </row>
    <row r="3417" spans="1:9">
      <c r="A3417" s="257" t="s">
        <v>4515</v>
      </c>
      <c r="B3417" s="9">
        <v>8</v>
      </c>
      <c r="C3417" s="257" t="s">
        <v>11256</v>
      </c>
      <c r="D3417" s="9">
        <v>-5.1704955125131211E-3</v>
      </c>
      <c r="E3417" s="9"/>
      <c r="F3417" s="257" t="s">
        <v>15694</v>
      </c>
      <c r="G3417" s="9"/>
      <c r="H3417" s="257" t="s">
        <v>21529</v>
      </c>
      <c r="I3417" s="9">
        <v>2</v>
      </c>
    </row>
    <row r="3418" spans="1:9">
      <c r="A3418" s="257" t="s">
        <v>4516</v>
      </c>
      <c r="B3418" s="9">
        <v>8</v>
      </c>
      <c r="C3418" s="257" t="s">
        <v>11256</v>
      </c>
      <c r="D3418" s="9"/>
      <c r="E3418" s="9"/>
      <c r="F3418" s="257" t="s">
        <v>15695</v>
      </c>
      <c r="G3418" s="9"/>
      <c r="H3418" s="257" t="s">
        <v>21530</v>
      </c>
      <c r="I3418" s="9">
        <v>2</v>
      </c>
    </row>
    <row r="3419" spans="1:9">
      <c r="A3419" s="257" t="s">
        <v>4517</v>
      </c>
      <c r="B3419" s="9">
        <v>8</v>
      </c>
      <c r="C3419" s="257" t="s">
        <v>11256</v>
      </c>
      <c r="D3419" s="9"/>
      <c r="E3419" s="9"/>
      <c r="F3419" s="257" t="s">
        <v>15696</v>
      </c>
      <c r="G3419" s="9"/>
      <c r="H3419" s="257" t="s">
        <v>21531</v>
      </c>
      <c r="I3419" s="9">
        <v>2</v>
      </c>
    </row>
    <row r="3420" spans="1:9">
      <c r="A3420" s="257" t="s">
        <v>4518</v>
      </c>
      <c r="B3420" s="9">
        <v>8</v>
      </c>
      <c r="C3420" s="257" t="s">
        <v>11256</v>
      </c>
      <c r="D3420" s="9"/>
      <c r="E3420" s="9"/>
      <c r="F3420" s="257" t="s">
        <v>15697</v>
      </c>
      <c r="G3420" s="9"/>
      <c r="H3420" s="257" t="s">
        <v>21532</v>
      </c>
      <c r="I3420" s="9">
        <v>2</v>
      </c>
    </row>
    <row r="3421" spans="1:9">
      <c r="A3421" s="257" t="s">
        <v>4519</v>
      </c>
      <c r="B3421" s="9">
        <v>8</v>
      </c>
      <c r="C3421" s="257" t="s">
        <v>11256</v>
      </c>
      <c r="D3421" s="9"/>
      <c r="E3421" s="9"/>
      <c r="F3421" s="257" t="s">
        <v>15698</v>
      </c>
      <c r="G3421" s="9"/>
      <c r="H3421" s="257" t="s">
        <v>21533</v>
      </c>
      <c r="I3421" s="9">
        <v>2</v>
      </c>
    </row>
    <row r="3422" spans="1:9">
      <c r="A3422" s="257" t="s">
        <v>4520</v>
      </c>
      <c r="B3422" s="9">
        <v>8</v>
      </c>
      <c r="C3422" s="257" t="s">
        <v>11256</v>
      </c>
      <c r="D3422" s="9">
        <v>5.4464665294508741E-4</v>
      </c>
      <c r="E3422" s="9"/>
      <c r="F3422" s="257" t="s">
        <v>15699</v>
      </c>
      <c r="G3422" s="9"/>
      <c r="H3422" s="257" t="s">
        <v>21534</v>
      </c>
      <c r="I3422" s="9">
        <v>2</v>
      </c>
    </row>
    <row r="3423" spans="1:9">
      <c r="A3423" s="257" t="s">
        <v>4521</v>
      </c>
      <c r="B3423" s="9">
        <v>8</v>
      </c>
      <c r="C3423" s="257" t="s">
        <v>11256</v>
      </c>
      <c r="D3423" s="9"/>
      <c r="E3423" s="9"/>
      <c r="F3423" s="257" t="s">
        <v>15700</v>
      </c>
      <c r="G3423" s="9"/>
      <c r="H3423" s="257" t="s">
        <v>21535</v>
      </c>
      <c r="I3423" s="9">
        <v>2</v>
      </c>
    </row>
    <row r="3424" spans="1:9">
      <c r="A3424" s="257" t="s">
        <v>4522</v>
      </c>
      <c r="B3424" s="9">
        <v>8</v>
      </c>
      <c r="C3424" s="257" t="s">
        <v>11256</v>
      </c>
      <c r="D3424" s="9">
        <v>1.290403393190314E-2</v>
      </c>
      <c r="E3424" s="9"/>
      <c r="F3424" s="257" t="s">
        <v>15701</v>
      </c>
      <c r="G3424" s="9"/>
      <c r="H3424" s="257" t="s">
        <v>21536</v>
      </c>
      <c r="I3424" s="9">
        <v>2</v>
      </c>
    </row>
    <row r="3425" spans="1:9">
      <c r="A3425" s="257" t="s">
        <v>4523</v>
      </c>
      <c r="B3425" s="9">
        <v>8</v>
      </c>
      <c r="C3425" s="257" t="s">
        <v>11256</v>
      </c>
      <c r="D3425" s="9"/>
      <c r="E3425" s="9"/>
      <c r="F3425" s="257" t="s">
        <v>15702</v>
      </c>
      <c r="G3425" s="9"/>
      <c r="H3425" s="257" t="s">
        <v>21537</v>
      </c>
      <c r="I3425" s="9">
        <v>2</v>
      </c>
    </row>
    <row r="3426" spans="1:9">
      <c r="A3426" s="257" t="s">
        <v>4524</v>
      </c>
      <c r="B3426" s="9">
        <v>8</v>
      </c>
      <c r="C3426" s="257" t="s">
        <v>11256</v>
      </c>
      <c r="D3426" s="9">
        <v>1.1971986888221492E-2</v>
      </c>
      <c r="E3426" s="9"/>
      <c r="F3426" s="257" t="s">
        <v>15703</v>
      </c>
      <c r="G3426" s="9"/>
      <c r="H3426" s="257" t="s">
        <v>21538</v>
      </c>
      <c r="I3426" s="9">
        <v>2</v>
      </c>
    </row>
    <row r="3427" spans="1:9">
      <c r="A3427" s="257" t="s">
        <v>4525</v>
      </c>
      <c r="B3427" s="9">
        <v>8</v>
      </c>
      <c r="C3427" s="257" t="s">
        <v>11256</v>
      </c>
      <c r="D3427" s="9">
        <v>7.538914681252562E-3</v>
      </c>
      <c r="E3427" s="9"/>
      <c r="F3427" s="257" t="s">
        <v>15704</v>
      </c>
      <c r="G3427" s="9"/>
      <c r="H3427" s="257" t="s">
        <v>21539</v>
      </c>
      <c r="I3427" s="9">
        <v>2</v>
      </c>
    </row>
    <row r="3428" spans="1:9">
      <c r="A3428" s="257" t="s">
        <v>4526</v>
      </c>
      <c r="B3428" s="9">
        <v>8</v>
      </c>
      <c r="C3428" s="257" t="s">
        <v>11256</v>
      </c>
      <c r="D3428" s="9">
        <v>2.3022181413043623E-3</v>
      </c>
      <c r="E3428" s="9"/>
      <c r="F3428" s="257" t="s">
        <v>15705</v>
      </c>
      <c r="G3428" s="9"/>
      <c r="H3428" s="257" t="s">
        <v>21540</v>
      </c>
      <c r="I3428" s="9">
        <v>2</v>
      </c>
    </row>
    <row r="3429" spans="1:9">
      <c r="A3429" s="257" t="s">
        <v>4527</v>
      </c>
      <c r="B3429" s="9">
        <v>8</v>
      </c>
      <c r="C3429" s="257" t="s">
        <v>11256</v>
      </c>
      <c r="D3429" s="9">
        <v>8.2871060096914168E-3</v>
      </c>
      <c r="E3429" s="9"/>
      <c r="F3429" s="257" t="s">
        <v>15706</v>
      </c>
      <c r="G3429" s="9"/>
      <c r="H3429" s="257" t="s">
        <v>21541</v>
      </c>
      <c r="I3429" s="9">
        <v>2</v>
      </c>
    </row>
    <row r="3430" spans="1:9">
      <c r="A3430" s="257" t="s">
        <v>4528</v>
      </c>
      <c r="B3430" s="9">
        <v>8</v>
      </c>
      <c r="C3430" s="257" t="s">
        <v>11256</v>
      </c>
      <c r="D3430" s="9">
        <v>-2.3436388970730138E-3</v>
      </c>
      <c r="E3430" s="9"/>
      <c r="F3430" s="257" t="s">
        <v>15707</v>
      </c>
      <c r="G3430" s="9"/>
      <c r="H3430" s="257" t="s">
        <v>21542</v>
      </c>
      <c r="I3430" s="9">
        <v>2</v>
      </c>
    </row>
    <row r="3431" spans="1:9">
      <c r="A3431" s="257" t="s">
        <v>4529</v>
      </c>
      <c r="B3431" s="9">
        <v>8</v>
      </c>
      <c r="C3431" s="257" t="s">
        <v>11256</v>
      </c>
      <c r="D3431" s="9">
        <v>-4.6297179429825447E-3</v>
      </c>
      <c r="E3431" s="9"/>
      <c r="F3431" s="257" t="s">
        <v>15708</v>
      </c>
      <c r="G3431" s="9"/>
      <c r="H3431" s="257" t="s">
        <v>21543</v>
      </c>
      <c r="I3431" s="9">
        <v>2</v>
      </c>
    </row>
    <row r="3432" spans="1:9">
      <c r="A3432" s="257" t="s">
        <v>4530</v>
      </c>
      <c r="B3432" s="9">
        <v>9</v>
      </c>
      <c r="C3432" s="257" t="s">
        <v>11256</v>
      </c>
      <c r="D3432" s="9">
        <v>1.0682584659853328E-2</v>
      </c>
      <c r="E3432" s="9"/>
      <c r="F3432" s="257" t="s">
        <v>15709</v>
      </c>
      <c r="G3432" s="9"/>
      <c r="H3432" s="257" t="s">
        <v>21544</v>
      </c>
      <c r="I3432" s="9">
        <v>2</v>
      </c>
    </row>
    <row r="3433" spans="1:9">
      <c r="A3433" s="257" t="s">
        <v>4531</v>
      </c>
      <c r="B3433" s="9">
        <v>9</v>
      </c>
      <c r="C3433" s="257" t="s">
        <v>11256</v>
      </c>
      <c r="D3433" s="9">
        <v>1.1215027619475959E-2</v>
      </c>
      <c r="E3433" s="9"/>
      <c r="F3433" s="257" t="s">
        <v>15710</v>
      </c>
      <c r="G3433" s="9"/>
      <c r="H3433" s="257" t="s">
        <v>21545</v>
      </c>
      <c r="I3433" s="9">
        <v>2</v>
      </c>
    </row>
    <row r="3434" spans="1:9">
      <c r="A3434" s="257" t="s">
        <v>4532</v>
      </c>
      <c r="B3434" s="9">
        <v>9</v>
      </c>
      <c r="C3434" s="257" t="s">
        <v>11256</v>
      </c>
      <c r="D3434" s="9">
        <v>4.7370832644419488E-3</v>
      </c>
      <c r="E3434" s="9"/>
      <c r="F3434" s="257" t="s">
        <v>15711</v>
      </c>
      <c r="G3434" s="9"/>
      <c r="H3434" s="257" t="s">
        <v>21546</v>
      </c>
      <c r="I3434" s="9">
        <v>2</v>
      </c>
    </row>
    <row r="3435" spans="1:9">
      <c r="A3435" s="257" t="s">
        <v>4533</v>
      </c>
      <c r="B3435" s="9">
        <v>9</v>
      </c>
      <c r="C3435" s="257" t="s">
        <v>11256</v>
      </c>
      <c r="D3435" s="9"/>
      <c r="E3435" s="9"/>
      <c r="F3435" s="257" t="s">
        <v>15712</v>
      </c>
      <c r="G3435" s="9"/>
      <c r="H3435" s="257" t="s">
        <v>21547</v>
      </c>
      <c r="I3435" s="9">
        <v>2</v>
      </c>
    </row>
    <row r="3436" spans="1:9">
      <c r="A3436" s="257" t="s">
        <v>4534</v>
      </c>
      <c r="B3436" s="9">
        <v>9</v>
      </c>
      <c r="C3436" s="257" t="s">
        <v>11256</v>
      </c>
      <c r="D3436" s="9">
        <v>5.3597786159955156E-4</v>
      </c>
      <c r="E3436" s="9"/>
      <c r="F3436" s="257" t="s">
        <v>15713</v>
      </c>
      <c r="G3436" s="9"/>
      <c r="H3436" s="257" t="s">
        <v>21548</v>
      </c>
      <c r="I3436" s="9">
        <v>2</v>
      </c>
    </row>
    <row r="3437" spans="1:9">
      <c r="A3437" s="257" t="s">
        <v>4535</v>
      </c>
      <c r="B3437" s="9">
        <v>9</v>
      </c>
      <c r="C3437" s="257" t="s">
        <v>11256</v>
      </c>
      <c r="D3437" s="9">
        <v>1.4605552419759792E-2</v>
      </c>
      <c r="E3437" s="9"/>
      <c r="F3437" s="257" t="s">
        <v>15714</v>
      </c>
      <c r="G3437" s="9"/>
      <c r="H3437" s="257" t="s">
        <v>21549</v>
      </c>
      <c r="I3437" s="9">
        <v>2</v>
      </c>
    </row>
    <row r="3438" spans="1:9">
      <c r="A3438" s="257" t="s">
        <v>4536</v>
      </c>
      <c r="B3438" s="9">
        <v>9</v>
      </c>
      <c r="C3438" s="257" t="s">
        <v>11256</v>
      </c>
      <c r="D3438" s="9">
        <v>1.412652608074369E-2</v>
      </c>
      <c r="E3438" s="9"/>
      <c r="F3438" s="257" t="s">
        <v>15715</v>
      </c>
      <c r="G3438" s="9"/>
      <c r="H3438" s="257" t="s">
        <v>21550</v>
      </c>
      <c r="I3438" s="9">
        <v>2</v>
      </c>
    </row>
    <row r="3439" spans="1:9">
      <c r="A3439" s="257" t="s">
        <v>4537</v>
      </c>
      <c r="B3439" s="9">
        <v>9</v>
      </c>
      <c r="C3439" s="257" t="s">
        <v>11256</v>
      </c>
      <c r="D3439" s="9">
        <v>1.4605552419759792E-2</v>
      </c>
      <c r="E3439" s="9"/>
      <c r="F3439" s="257" t="s">
        <v>15716</v>
      </c>
      <c r="G3439" s="9"/>
      <c r="H3439" s="257" t="s">
        <v>21551</v>
      </c>
      <c r="I3439" s="9">
        <v>2</v>
      </c>
    </row>
    <row r="3440" spans="1:9">
      <c r="A3440" s="257" t="s">
        <v>4538</v>
      </c>
      <c r="B3440" s="9">
        <v>9</v>
      </c>
      <c r="C3440" s="257" t="s">
        <v>11256</v>
      </c>
      <c r="D3440" s="9">
        <v>1.8628800004389393E-2</v>
      </c>
      <c r="E3440" s="9"/>
      <c r="F3440" s="257" t="s">
        <v>15717</v>
      </c>
      <c r="G3440" s="9"/>
      <c r="H3440" s="257" t="s">
        <v>21552</v>
      </c>
      <c r="I3440" s="9">
        <v>2</v>
      </c>
    </row>
    <row r="3441" spans="1:9">
      <c r="A3441" s="257" t="s">
        <v>4539</v>
      </c>
      <c r="B3441" s="9">
        <v>9</v>
      </c>
      <c r="C3441" s="257" t="s">
        <v>11256</v>
      </c>
      <c r="D3441" s="9">
        <v>1.9107826343405493E-2</v>
      </c>
      <c r="E3441" s="9"/>
      <c r="F3441" s="257" t="s">
        <v>15718</v>
      </c>
      <c r="G3441" s="9"/>
      <c r="H3441" s="257" t="s">
        <v>21553</v>
      </c>
      <c r="I3441" s="9">
        <v>2</v>
      </c>
    </row>
    <row r="3442" spans="1:9">
      <c r="A3442" s="257" t="s">
        <v>4540</v>
      </c>
      <c r="B3442" s="9">
        <v>9</v>
      </c>
      <c r="C3442" s="257" t="s">
        <v>11256</v>
      </c>
      <c r="D3442" s="9">
        <v>-4.9696058745183512E-3</v>
      </c>
      <c r="E3442" s="9"/>
      <c r="F3442" s="257" t="s">
        <v>15719</v>
      </c>
      <c r="G3442" s="9"/>
      <c r="H3442" s="257" t="s">
        <v>21554</v>
      </c>
      <c r="I3442" s="9">
        <v>2</v>
      </c>
    </row>
    <row r="3443" spans="1:9">
      <c r="A3443" s="257" t="s">
        <v>4541</v>
      </c>
      <c r="B3443" s="9">
        <v>9</v>
      </c>
      <c r="C3443" s="257" t="s">
        <v>11256</v>
      </c>
      <c r="D3443" s="9"/>
      <c r="E3443" s="9"/>
      <c r="F3443" s="257" t="s">
        <v>15720</v>
      </c>
      <c r="G3443" s="9"/>
      <c r="H3443" s="257" t="s">
        <v>21555</v>
      </c>
      <c r="I3443" s="9">
        <v>2</v>
      </c>
    </row>
    <row r="3444" spans="1:9">
      <c r="A3444" s="257" t="s">
        <v>4542</v>
      </c>
      <c r="B3444" s="9">
        <v>9</v>
      </c>
      <c r="C3444" s="257" t="s">
        <v>11256</v>
      </c>
      <c r="D3444" s="9"/>
      <c r="E3444" s="9"/>
      <c r="F3444" s="257" t="s">
        <v>15721</v>
      </c>
      <c r="G3444" s="9"/>
      <c r="H3444" s="257" t="s">
        <v>21556</v>
      </c>
      <c r="I3444" s="9">
        <v>2</v>
      </c>
    </row>
    <row r="3445" spans="1:9">
      <c r="A3445" s="257" t="s">
        <v>4543</v>
      </c>
      <c r="B3445" s="9">
        <v>9</v>
      </c>
      <c r="C3445" s="257" t="s">
        <v>11256</v>
      </c>
      <c r="D3445" s="9"/>
      <c r="E3445" s="9"/>
      <c r="F3445" s="257" t="s">
        <v>15722</v>
      </c>
      <c r="G3445" s="9"/>
      <c r="H3445" s="257" t="s">
        <v>21557</v>
      </c>
      <c r="I3445" s="9">
        <v>2</v>
      </c>
    </row>
    <row r="3446" spans="1:9">
      <c r="A3446" s="257" t="s">
        <v>4544</v>
      </c>
      <c r="B3446" s="9">
        <v>9</v>
      </c>
      <c r="C3446" s="257" t="s">
        <v>11256</v>
      </c>
      <c r="D3446" s="9"/>
      <c r="E3446" s="9"/>
      <c r="F3446" s="257" t="s">
        <v>15723</v>
      </c>
      <c r="G3446" s="9"/>
      <c r="H3446" s="257" t="s">
        <v>21558</v>
      </c>
      <c r="I3446" s="9">
        <v>2</v>
      </c>
    </row>
    <row r="3447" spans="1:9">
      <c r="A3447" s="257" t="s">
        <v>4545</v>
      </c>
      <c r="B3447" s="9">
        <v>9</v>
      </c>
      <c r="C3447" s="257" t="s">
        <v>11256</v>
      </c>
      <c r="D3447" s="9">
        <v>5.3597786159955156E-4</v>
      </c>
      <c r="E3447" s="9"/>
      <c r="F3447" s="257" t="s">
        <v>15724</v>
      </c>
      <c r="G3447" s="9"/>
      <c r="H3447" s="257" t="s">
        <v>21559</v>
      </c>
      <c r="I3447" s="9">
        <v>2</v>
      </c>
    </row>
    <row r="3448" spans="1:9">
      <c r="A3448" s="257" t="s">
        <v>4546</v>
      </c>
      <c r="B3448" s="9">
        <v>9</v>
      </c>
      <c r="C3448" s="257" t="s">
        <v>11256</v>
      </c>
      <c r="D3448" s="9"/>
      <c r="E3448" s="9"/>
      <c r="F3448" s="257" t="s">
        <v>15725</v>
      </c>
      <c r="G3448" s="9"/>
      <c r="H3448" s="257" t="s">
        <v>21560</v>
      </c>
      <c r="I3448" s="9">
        <v>2</v>
      </c>
    </row>
    <row r="3449" spans="1:9">
      <c r="A3449" s="257" t="s">
        <v>4547</v>
      </c>
      <c r="B3449" s="9">
        <v>9</v>
      </c>
      <c r="C3449" s="257" t="s">
        <v>11256</v>
      </c>
      <c r="D3449" s="9">
        <v>1.2819401516288225E-2</v>
      </c>
      <c r="E3449" s="9"/>
      <c r="F3449" s="257" t="s">
        <v>15726</v>
      </c>
      <c r="G3449" s="9"/>
      <c r="H3449" s="257" t="s">
        <v>21561</v>
      </c>
      <c r="I3449" s="9">
        <v>2</v>
      </c>
    </row>
    <row r="3450" spans="1:9">
      <c r="A3450" s="257" t="s">
        <v>4548</v>
      </c>
      <c r="B3450" s="9">
        <v>9</v>
      </c>
      <c r="C3450" s="257" t="s">
        <v>11256</v>
      </c>
      <c r="D3450" s="9"/>
      <c r="E3450" s="9"/>
      <c r="F3450" s="257" t="s">
        <v>15727</v>
      </c>
      <c r="G3450" s="9"/>
      <c r="H3450" s="257" t="s">
        <v>21562</v>
      </c>
      <c r="I3450" s="9">
        <v>2</v>
      </c>
    </row>
    <row r="3451" spans="1:9">
      <c r="A3451" s="257" t="s">
        <v>4549</v>
      </c>
      <c r="B3451" s="9">
        <v>9</v>
      </c>
      <c r="C3451" s="257" t="s">
        <v>11256</v>
      </c>
      <c r="D3451" s="9">
        <v>1.1912938219868588E-2</v>
      </c>
      <c r="E3451" s="9"/>
      <c r="F3451" s="257" t="s">
        <v>15728</v>
      </c>
      <c r="G3451" s="9"/>
      <c r="H3451" s="257" t="s">
        <v>21563</v>
      </c>
      <c r="I3451" s="9">
        <v>2</v>
      </c>
    </row>
    <row r="3452" spans="1:9">
      <c r="A3452" s="257" t="s">
        <v>4550</v>
      </c>
      <c r="B3452" s="9">
        <v>9</v>
      </c>
      <c r="C3452" s="257" t="s">
        <v>11256</v>
      </c>
      <c r="D3452" s="9">
        <v>7.0702291596736458E-3</v>
      </c>
      <c r="E3452" s="9"/>
      <c r="F3452" s="257" t="s">
        <v>15729</v>
      </c>
      <c r="G3452" s="9"/>
      <c r="H3452" s="257" t="s">
        <v>21564</v>
      </c>
      <c r="I3452" s="9">
        <v>2</v>
      </c>
    </row>
    <row r="3453" spans="1:9">
      <c r="A3453" s="257" t="s">
        <v>4551</v>
      </c>
      <c r="B3453" s="9">
        <v>9</v>
      </c>
      <c r="C3453" s="257" t="s">
        <v>11256</v>
      </c>
      <c r="D3453" s="9">
        <v>2.2806541471394118E-3</v>
      </c>
      <c r="E3453" s="9"/>
      <c r="F3453" s="257" t="s">
        <v>15730</v>
      </c>
      <c r="G3453" s="9"/>
      <c r="H3453" s="257" t="s">
        <v>21565</v>
      </c>
      <c r="I3453" s="9">
        <v>2</v>
      </c>
    </row>
    <row r="3454" spans="1:9">
      <c r="A3454" s="257" t="s">
        <v>4552</v>
      </c>
      <c r="B3454" s="9">
        <v>9</v>
      </c>
      <c r="C3454" s="257" t="s">
        <v>11256</v>
      </c>
      <c r="D3454" s="9">
        <v>8.6024617664559044E-3</v>
      </c>
      <c r="E3454" s="9"/>
      <c r="F3454" s="257" t="s">
        <v>15731</v>
      </c>
      <c r="G3454" s="9"/>
      <c r="H3454" s="257" t="s">
        <v>21566</v>
      </c>
      <c r="I3454" s="9">
        <v>2</v>
      </c>
    </row>
    <row r="3455" spans="1:9">
      <c r="A3455" s="257" t="s">
        <v>4553</v>
      </c>
      <c r="B3455" s="9">
        <v>9</v>
      </c>
      <c r="C3455" s="257" t="s">
        <v>11256</v>
      </c>
      <c r="D3455" s="9">
        <v>-2.0836672745609746E-3</v>
      </c>
      <c r="E3455" s="9"/>
      <c r="F3455" s="257" t="s">
        <v>15732</v>
      </c>
      <c r="G3455" s="9"/>
      <c r="H3455" s="257" t="s">
        <v>21567</v>
      </c>
      <c r="I3455" s="9">
        <v>2</v>
      </c>
    </row>
    <row r="3456" spans="1:9">
      <c r="A3456" s="257" t="s">
        <v>4554</v>
      </c>
      <c r="B3456" s="9">
        <v>9</v>
      </c>
      <c r="C3456" s="257" t="s">
        <v>11256</v>
      </c>
      <c r="D3456" s="9">
        <v>-4.3229901072297265E-3</v>
      </c>
      <c r="E3456" s="9"/>
      <c r="F3456" s="257" t="s">
        <v>15733</v>
      </c>
      <c r="G3456" s="9"/>
      <c r="H3456" s="257" t="s">
        <v>21568</v>
      </c>
      <c r="I3456" s="9">
        <v>2</v>
      </c>
    </row>
    <row r="3457" spans="1:9">
      <c r="A3457" s="257" t="s">
        <v>4555</v>
      </c>
      <c r="B3457" s="9">
        <v>10</v>
      </c>
      <c r="C3457" s="257" t="s">
        <v>11256</v>
      </c>
      <c r="D3457" s="9">
        <v>8.6021233096515246E-3</v>
      </c>
      <c r="E3457" s="9"/>
      <c r="F3457" s="257" t="s">
        <v>15734</v>
      </c>
      <c r="G3457" s="9"/>
      <c r="H3457" s="257" t="s">
        <v>21569</v>
      </c>
      <c r="I3457" s="9">
        <v>2</v>
      </c>
    </row>
    <row r="3458" spans="1:9">
      <c r="A3458" s="257" t="s">
        <v>4556</v>
      </c>
      <c r="B3458" s="9">
        <v>10</v>
      </c>
      <c r="C3458" s="257" t="s">
        <v>11256</v>
      </c>
      <c r="D3458" s="9">
        <v>9.0407741444062575E-3</v>
      </c>
      <c r="E3458" s="9"/>
      <c r="F3458" s="257" t="s">
        <v>15735</v>
      </c>
      <c r="G3458" s="9"/>
      <c r="H3458" s="257" t="s">
        <v>21570</v>
      </c>
      <c r="I3458" s="9">
        <v>2</v>
      </c>
    </row>
    <row r="3459" spans="1:9">
      <c r="A3459" s="257" t="s">
        <v>4557</v>
      </c>
      <c r="B3459" s="9">
        <v>10</v>
      </c>
      <c r="C3459" s="257" t="s">
        <v>11256</v>
      </c>
      <c r="D3459" s="9">
        <v>4.9036105591507752E-3</v>
      </c>
      <c r="E3459" s="9"/>
      <c r="F3459" s="257" t="s">
        <v>15736</v>
      </c>
      <c r="G3459" s="9"/>
      <c r="H3459" s="257" t="s">
        <v>21571</v>
      </c>
      <c r="I3459" s="9">
        <v>2</v>
      </c>
    </row>
    <row r="3460" spans="1:9">
      <c r="A3460" s="257" t="s">
        <v>4558</v>
      </c>
      <c r="B3460" s="9">
        <v>10</v>
      </c>
      <c r="C3460" s="257" t="s">
        <v>11256</v>
      </c>
      <c r="D3460" s="9"/>
      <c r="E3460" s="9"/>
      <c r="F3460" s="257" t="s">
        <v>15737</v>
      </c>
      <c r="G3460" s="9"/>
      <c r="H3460" s="257" t="s">
        <v>21572</v>
      </c>
      <c r="I3460" s="9">
        <v>2</v>
      </c>
    </row>
    <row r="3461" spans="1:9">
      <c r="A3461" s="257" t="s">
        <v>4559</v>
      </c>
      <c r="B3461" s="9">
        <v>10</v>
      </c>
      <c r="C3461" s="257" t="s">
        <v>11256</v>
      </c>
      <c r="D3461" s="9">
        <v>4.5866127439267098E-4</v>
      </c>
      <c r="E3461" s="9"/>
      <c r="F3461" s="257" t="s">
        <v>15738</v>
      </c>
      <c r="G3461" s="9"/>
      <c r="H3461" s="257" t="s">
        <v>21573</v>
      </c>
      <c r="I3461" s="9">
        <v>2</v>
      </c>
    </row>
    <row r="3462" spans="1:9">
      <c r="A3462" s="257" t="s">
        <v>4560</v>
      </c>
      <c r="B3462" s="9">
        <v>10</v>
      </c>
      <c r="C3462" s="257" t="s">
        <v>11256</v>
      </c>
      <c r="D3462" s="9">
        <v>1.3356149709600754E-2</v>
      </c>
      <c r="E3462" s="9"/>
      <c r="F3462" s="257" t="s">
        <v>15739</v>
      </c>
      <c r="G3462" s="9"/>
      <c r="H3462" s="257" t="s">
        <v>21574</v>
      </c>
      <c r="I3462" s="9">
        <v>2</v>
      </c>
    </row>
    <row r="3463" spans="1:9">
      <c r="A3463" s="257" t="s">
        <v>4561</v>
      </c>
      <c r="B3463" s="9">
        <v>10</v>
      </c>
      <c r="C3463" s="257" t="s">
        <v>11256</v>
      </c>
      <c r="D3463" s="9">
        <v>1.2932880760211048E-2</v>
      </c>
      <c r="E3463" s="9"/>
      <c r="F3463" s="257" t="s">
        <v>15740</v>
      </c>
      <c r="G3463" s="9"/>
      <c r="H3463" s="257" t="s">
        <v>21575</v>
      </c>
      <c r="I3463" s="9">
        <v>2</v>
      </c>
    </row>
    <row r="3464" spans="1:9">
      <c r="A3464" s="257" t="s">
        <v>4562</v>
      </c>
      <c r="B3464" s="9">
        <v>10</v>
      </c>
      <c r="C3464" s="257" t="s">
        <v>11256</v>
      </c>
      <c r="D3464" s="9">
        <v>1.3356149709600754E-2</v>
      </c>
      <c r="E3464" s="9"/>
      <c r="F3464" s="257" t="s">
        <v>15741</v>
      </c>
      <c r="G3464" s="9"/>
      <c r="H3464" s="257" t="s">
        <v>21576</v>
      </c>
      <c r="I3464" s="9">
        <v>2</v>
      </c>
    </row>
    <row r="3465" spans="1:9">
      <c r="A3465" s="257" t="s">
        <v>4563</v>
      </c>
      <c r="B3465" s="9">
        <v>10</v>
      </c>
      <c r="C3465" s="257" t="s">
        <v>11256</v>
      </c>
      <c r="D3465" s="9">
        <v>1.879211929954663E-2</v>
      </c>
      <c r="E3465" s="9"/>
      <c r="F3465" s="257" t="s">
        <v>15742</v>
      </c>
      <c r="G3465" s="9"/>
      <c r="H3465" s="257" t="s">
        <v>21577</v>
      </c>
      <c r="I3465" s="9">
        <v>2</v>
      </c>
    </row>
    <row r="3466" spans="1:9">
      <c r="A3466" s="257" t="s">
        <v>4564</v>
      </c>
      <c r="B3466" s="9">
        <v>10</v>
      </c>
      <c r="C3466" s="257" t="s">
        <v>11256</v>
      </c>
      <c r="D3466" s="9">
        <v>1.9215085715444873E-2</v>
      </c>
      <c r="E3466" s="9"/>
      <c r="F3466" s="257" t="s">
        <v>15743</v>
      </c>
      <c r="G3466" s="9"/>
      <c r="H3466" s="257" t="s">
        <v>21578</v>
      </c>
      <c r="I3466" s="9">
        <v>2</v>
      </c>
    </row>
    <row r="3467" spans="1:9">
      <c r="A3467" s="257" t="s">
        <v>4565</v>
      </c>
      <c r="B3467" s="9">
        <v>10</v>
      </c>
      <c r="C3467" s="257" t="s">
        <v>11256</v>
      </c>
      <c r="D3467" s="9">
        <v>-6.3152694976430458E-3</v>
      </c>
      <c r="E3467" s="9"/>
      <c r="F3467" s="257" t="s">
        <v>15744</v>
      </c>
      <c r="G3467" s="9"/>
      <c r="H3467" s="257" t="s">
        <v>21579</v>
      </c>
      <c r="I3467" s="9">
        <v>2</v>
      </c>
    </row>
    <row r="3468" spans="1:9">
      <c r="A3468" s="257" t="s">
        <v>4566</v>
      </c>
      <c r="B3468" s="9">
        <v>10</v>
      </c>
      <c r="C3468" s="257" t="s">
        <v>11256</v>
      </c>
      <c r="D3468" s="9"/>
      <c r="E3468" s="9"/>
      <c r="F3468" s="257" t="s">
        <v>15745</v>
      </c>
      <c r="G3468" s="9"/>
      <c r="H3468" s="257" t="s">
        <v>21580</v>
      </c>
      <c r="I3468" s="9">
        <v>2</v>
      </c>
    </row>
    <row r="3469" spans="1:9">
      <c r="A3469" s="257" t="s">
        <v>4567</v>
      </c>
      <c r="B3469" s="9">
        <v>10</v>
      </c>
      <c r="C3469" s="257" t="s">
        <v>11256</v>
      </c>
      <c r="D3469" s="9"/>
      <c r="E3469" s="9"/>
      <c r="F3469" s="257" t="s">
        <v>15746</v>
      </c>
      <c r="G3469" s="9"/>
      <c r="H3469" s="257" t="s">
        <v>21581</v>
      </c>
      <c r="I3469" s="9">
        <v>2</v>
      </c>
    </row>
    <row r="3470" spans="1:9">
      <c r="A3470" s="257" t="s">
        <v>4568</v>
      </c>
      <c r="B3470" s="9">
        <v>10</v>
      </c>
      <c r="C3470" s="257" t="s">
        <v>11256</v>
      </c>
      <c r="D3470" s="9"/>
      <c r="E3470" s="9"/>
      <c r="F3470" s="257" t="s">
        <v>15747</v>
      </c>
      <c r="G3470" s="9"/>
      <c r="H3470" s="257" t="s">
        <v>21582</v>
      </c>
      <c r="I3470" s="9">
        <v>2</v>
      </c>
    </row>
    <row r="3471" spans="1:9">
      <c r="A3471" s="257" t="s">
        <v>4569</v>
      </c>
      <c r="B3471" s="9">
        <v>10</v>
      </c>
      <c r="C3471" s="257" t="s">
        <v>11256</v>
      </c>
      <c r="D3471" s="9"/>
      <c r="E3471" s="9"/>
      <c r="F3471" s="257" t="s">
        <v>15748</v>
      </c>
      <c r="G3471" s="9"/>
      <c r="H3471" s="257" t="s">
        <v>21583</v>
      </c>
      <c r="I3471" s="9">
        <v>2</v>
      </c>
    </row>
    <row r="3472" spans="1:9">
      <c r="A3472" s="257" t="s">
        <v>4570</v>
      </c>
      <c r="B3472" s="9">
        <v>10</v>
      </c>
      <c r="C3472" s="257" t="s">
        <v>11256</v>
      </c>
      <c r="D3472" s="9">
        <v>4.5866127439267098E-4</v>
      </c>
      <c r="E3472" s="9"/>
      <c r="F3472" s="257" t="s">
        <v>15749</v>
      </c>
      <c r="G3472" s="9"/>
      <c r="H3472" s="257" t="s">
        <v>21584</v>
      </c>
      <c r="I3472" s="9">
        <v>2</v>
      </c>
    </row>
    <row r="3473" spans="1:9">
      <c r="A3473" s="257" t="s">
        <v>4571</v>
      </c>
      <c r="B3473" s="9">
        <v>10</v>
      </c>
      <c r="C3473" s="257" t="s">
        <v>11256</v>
      </c>
      <c r="D3473" s="9"/>
      <c r="E3473" s="9"/>
      <c r="F3473" s="257" t="s">
        <v>15750</v>
      </c>
      <c r="G3473" s="9"/>
      <c r="H3473" s="257" t="s">
        <v>21585</v>
      </c>
      <c r="I3473" s="9">
        <v>2</v>
      </c>
    </row>
    <row r="3474" spans="1:9">
      <c r="A3474" s="257" t="s">
        <v>4572</v>
      </c>
      <c r="B3474" s="9">
        <v>10</v>
      </c>
      <c r="C3474" s="257" t="s">
        <v>11256</v>
      </c>
      <c r="D3474" s="9">
        <v>1.115861241822306E-2</v>
      </c>
      <c r="E3474" s="9"/>
      <c r="F3474" s="257" t="s">
        <v>15751</v>
      </c>
      <c r="G3474" s="9"/>
      <c r="H3474" s="257" t="s">
        <v>21586</v>
      </c>
      <c r="I3474" s="9">
        <v>2</v>
      </c>
    </row>
    <row r="3475" spans="1:9">
      <c r="A3475" s="257" t="s">
        <v>4573</v>
      </c>
      <c r="B3475" s="9">
        <v>10</v>
      </c>
      <c r="C3475" s="257" t="s">
        <v>11256</v>
      </c>
      <c r="D3475" s="9"/>
      <c r="E3475" s="9"/>
      <c r="F3475" s="257" t="s">
        <v>15752</v>
      </c>
      <c r="G3475" s="9"/>
      <c r="H3475" s="257" t="s">
        <v>21587</v>
      </c>
      <c r="I3475" s="9">
        <v>2</v>
      </c>
    </row>
    <row r="3476" spans="1:9">
      <c r="A3476" s="257" t="s">
        <v>4574</v>
      </c>
      <c r="B3476" s="9">
        <v>10</v>
      </c>
      <c r="C3476" s="257" t="s">
        <v>11256</v>
      </c>
      <c r="D3476" s="9">
        <v>1.0214849966826381E-2</v>
      </c>
      <c r="E3476" s="9"/>
      <c r="F3476" s="257" t="s">
        <v>15753</v>
      </c>
      <c r="G3476" s="9"/>
      <c r="H3476" s="257" t="s">
        <v>21588</v>
      </c>
      <c r="I3476" s="9">
        <v>2</v>
      </c>
    </row>
    <row r="3477" spans="1:9">
      <c r="A3477" s="257" t="s">
        <v>4575</v>
      </c>
      <c r="B3477" s="9">
        <v>10</v>
      </c>
      <c r="C3477" s="257" t="s">
        <v>11256</v>
      </c>
      <c r="D3477" s="9">
        <v>7.9098158453898438E-3</v>
      </c>
      <c r="E3477" s="9"/>
      <c r="F3477" s="257" t="s">
        <v>15754</v>
      </c>
      <c r="G3477" s="9"/>
      <c r="H3477" s="257" t="s">
        <v>21589</v>
      </c>
      <c r="I3477" s="9">
        <v>2</v>
      </c>
    </row>
    <row r="3478" spans="1:9">
      <c r="A3478" s="257" t="s">
        <v>4576</v>
      </c>
      <c r="B3478" s="9">
        <v>10</v>
      </c>
      <c r="C3478" s="257" t="s">
        <v>11256</v>
      </c>
      <c r="D3478" s="9">
        <v>2.3443047247540243E-3</v>
      </c>
      <c r="E3478" s="9"/>
      <c r="F3478" s="257" t="s">
        <v>15755</v>
      </c>
      <c r="G3478" s="9"/>
      <c r="H3478" s="257" t="s">
        <v>21590</v>
      </c>
      <c r="I3478" s="9">
        <v>2</v>
      </c>
    </row>
    <row r="3479" spans="1:9">
      <c r="A3479" s="257" t="s">
        <v>4577</v>
      </c>
      <c r="B3479" s="9">
        <v>10</v>
      </c>
      <c r="C3479" s="257" t="s">
        <v>11256</v>
      </c>
      <c r="D3479" s="9">
        <v>9.5837287608474923E-3</v>
      </c>
      <c r="E3479" s="9"/>
      <c r="F3479" s="257" t="s">
        <v>15756</v>
      </c>
      <c r="G3479" s="9"/>
      <c r="H3479" s="257" t="s">
        <v>21591</v>
      </c>
      <c r="I3479" s="9">
        <v>2</v>
      </c>
    </row>
    <row r="3480" spans="1:9">
      <c r="A3480" s="257" t="s">
        <v>4578</v>
      </c>
      <c r="B3480" s="9">
        <v>10</v>
      </c>
      <c r="C3480" s="257" t="s">
        <v>11256</v>
      </c>
      <c r="D3480" s="9">
        <v>-2.6959651846983883E-3</v>
      </c>
      <c r="E3480" s="9"/>
      <c r="F3480" s="257" t="s">
        <v>15757</v>
      </c>
      <c r="G3480" s="9"/>
      <c r="H3480" s="257" t="s">
        <v>21592</v>
      </c>
      <c r="I3480" s="9">
        <v>2</v>
      </c>
    </row>
    <row r="3481" spans="1:9">
      <c r="A3481" s="257" t="s">
        <v>4579</v>
      </c>
      <c r="B3481" s="9">
        <v>10</v>
      </c>
      <c r="C3481" s="257" t="s">
        <v>11256</v>
      </c>
      <c r="D3481" s="9">
        <v>-5.1135108159867113E-3</v>
      </c>
      <c r="E3481" s="9"/>
      <c r="F3481" s="257" t="s">
        <v>15758</v>
      </c>
      <c r="G3481" s="9"/>
      <c r="H3481" s="257" t="s">
        <v>21593</v>
      </c>
      <c r="I3481" s="9">
        <v>2</v>
      </c>
    </row>
    <row r="3482" spans="1:9">
      <c r="A3482" s="257" t="s">
        <v>4580</v>
      </c>
      <c r="B3482" s="9">
        <v>1</v>
      </c>
      <c r="C3482" s="257" t="s">
        <v>11257</v>
      </c>
      <c r="D3482" s="9">
        <v>9.6236455056904497E-3</v>
      </c>
      <c r="E3482" s="9">
        <v>1721536.5294189453</v>
      </c>
      <c r="F3482" s="257" t="s">
        <v>15759</v>
      </c>
      <c r="G3482" s="9"/>
      <c r="H3482" s="257" t="s">
        <v>21594</v>
      </c>
      <c r="I3482" s="9">
        <v>2</v>
      </c>
    </row>
    <row r="3483" spans="1:9">
      <c r="A3483" s="257" t="s">
        <v>4581</v>
      </c>
      <c r="B3483" s="9">
        <v>1</v>
      </c>
      <c r="C3483" s="257" t="s">
        <v>11257</v>
      </c>
      <c r="D3483" s="9">
        <v>1.3757723997457637E-2</v>
      </c>
      <c r="E3483" s="9">
        <v>1721536.5294189453</v>
      </c>
      <c r="F3483" s="257" t="s">
        <v>15760</v>
      </c>
      <c r="G3483" s="9"/>
      <c r="H3483" s="257" t="s">
        <v>21595</v>
      </c>
      <c r="I3483" s="9">
        <v>2</v>
      </c>
    </row>
    <row r="3484" spans="1:9">
      <c r="A3484" s="257" t="s">
        <v>4582</v>
      </c>
      <c r="B3484" s="9">
        <v>1</v>
      </c>
      <c r="C3484" s="257" t="s">
        <v>11257</v>
      </c>
      <c r="D3484" s="9">
        <v>1.6061001913693522E-2</v>
      </c>
      <c r="E3484" s="9">
        <v>1721536.5294189453</v>
      </c>
      <c r="F3484" s="257" t="s">
        <v>15761</v>
      </c>
      <c r="G3484" s="9"/>
      <c r="H3484" s="257" t="s">
        <v>21596</v>
      </c>
      <c r="I3484" s="9">
        <v>2</v>
      </c>
    </row>
    <row r="3485" spans="1:9">
      <c r="A3485" s="257" t="s">
        <v>4583</v>
      </c>
      <c r="B3485" s="9">
        <v>1</v>
      </c>
      <c r="C3485" s="257" t="s">
        <v>11257</v>
      </c>
      <c r="D3485" s="9">
        <v>7.2884851897996716E-3</v>
      </c>
      <c r="E3485" s="9">
        <v>1721536.5294189453</v>
      </c>
      <c r="F3485" s="257" t="s">
        <v>15762</v>
      </c>
      <c r="G3485" s="9"/>
      <c r="H3485" s="257" t="s">
        <v>21597</v>
      </c>
      <c r="I3485" s="9">
        <v>2</v>
      </c>
    </row>
    <row r="3486" spans="1:9">
      <c r="A3486" s="257" t="s">
        <v>4584</v>
      </c>
      <c r="B3486" s="9">
        <v>1</v>
      </c>
      <c r="C3486" s="257" t="s">
        <v>11257</v>
      </c>
      <c r="D3486" s="9"/>
      <c r="E3486" s="9">
        <v>1721536.5294189453</v>
      </c>
      <c r="F3486" s="257" t="s">
        <v>15763</v>
      </c>
      <c r="G3486" s="9"/>
      <c r="H3486" s="257" t="s">
        <v>21598</v>
      </c>
      <c r="I3486" s="9">
        <v>2</v>
      </c>
    </row>
    <row r="3487" spans="1:9">
      <c r="A3487" s="257" t="s">
        <v>4585</v>
      </c>
      <c r="B3487" s="9">
        <v>1</v>
      </c>
      <c r="C3487" s="257" t="s">
        <v>11257</v>
      </c>
      <c r="D3487" s="9">
        <v>9.0229254804509683E-3</v>
      </c>
      <c r="E3487" s="9">
        <v>1721536.5294189453</v>
      </c>
      <c r="F3487" s="257" t="s">
        <v>15764</v>
      </c>
      <c r="G3487" s="9"/>
      <c r="H3487" s="257" t="s">
        <v>21599</v>
      </c>
      <c r="I3487" s="9">
        <v>2</v>
      </c>
    </row>
    <row r="3488" spans="1:9">
      <c r="A3488" s="257" t="s">
        <v>4586</v>
      </c>
      <c r="B3488" s="9">
        <v>1</v>
      </c>
      <c r="C3488" s="257" t="s">
        <v>11257</v>
      </c>
      <c r="D3488" s="9">
        <v>1.2132348124812798E-3</v>
      </c>
      <c r="E3488" s="9">
        <v>1721536.5294189453</v>
      </c>
      <c r="F3488" s="257" t="s">
        <v>15765</v>
      </c>
      <c r="G3488" s="9"/>
      <c r="H3488" s="257" t="s">
        <v>21600</v>
      </c>
      <c r="I3488" s="9">
        <v>2</v>
      </c>
    </row>
    <row r="3489" spans="1:9">
      <c r="A3489" s="257" t="s">
        <v>4587</v>
      </c>
      <c r="B3489" s="9">
        <v>1</v>
      </c>
      <c r="C3489" s="257" t="s">
        <v>11257</v>
      </c>
      <c r="D3489" s="9">
        <v>9.2088397891329048E-3</v>
      </c>
      <c r="E3489" s="9">
        <v>1721536.5294189453</v>
      </c>
      <c r="F3489" s="257" t="s">
        <v>15766</v>
      </c>
      <c r="G3489" s="9"/>
      <c r="H3489" s="257" t="s">
        <v>21601</v>
      </c>
      <c r="I3489" s="9">
        <v>2</v>
      </c>
    </row>
    <row r="3490" spans="1:9">
      <c r="A3490" s="257" t="s">
        <v>4588</v>
      </c>
      <c r="B3490" s="9">
        <v>1</v>
      </c>
      <c r="C3490" s="257" t="s">
        <v>11257</v>
      </c>
      <c r="D3490" s="9">
        <v>9.905679452263786E-3</v>
      </c>
      <c r="E3490" s="9">
        <v>1721536.5294189453</v>
      </c>
      <c r="F3490" s="257" t="s">
        <v>15767</v>
      </c>
      <c r="G3490" s="9"/>
      <c r="H3490" s="257" t="s">
        <v>21602</v>
      </c>
      <c r="I3490" s="9">
        <v>2</v>
      </c>
    </row>
    <row r="3491" spans="1:9">
      <c r="A3491" s="257" t="s">
        <v>4589</v>
      </c>
      <c r="B3491" s="9">
        <v>1</v>
      </c>
      <c r="C3491" s="257" t="s">
        <v>11257</v>
      </c>
      <c r="D3491" s="9"/>
      <c r="E3491" s="9">
        <v>1721536.5294189453</v>
      </c>
      <c r="F3491" s="257" t="s">
        <v>15768</v>
      </c>
      <c r="G3491" s="9"/>
      <c r="H3491" s="257" t="s">
        <v>21603</v>
      </c>
      <c r="I3491" s="9">
        <v>2</v>
      </c>
    </row>
    <row r="3492" spans="1:9">
      <c r="A3492" s="257" t="s">
        <v>4590</v>
      </c>
      <c r="B3492" s="9">
        <v>1</v>
      </c>
      <c r="C3492" s="257" t="s">
        <v>11257</v>
      </c>
      <c r="D3492" s="9"/>
      <c r="E3492" s="9">
        <v>1721536.5294189453</v>
      </c>
      <c r="F3492" s="257" t="s">
        <v>15769</v>
      </c>
      <c r="G3492" s="9"/>
      <c r="H3492" s="257" t="s">
        <v>21604</v>
      </c>
      <c r="I3492" s="9">
        <v>2</v>
      </c>
    </row>
    <row r="3493" spans="1:9">
      <c r="A3493" s="257" t="s">
        <v>4591</v>
      </c>
      <c r="B3493" s="9">
        <v>1</v>
      </c>
      <c r="C3493" s="257" t="s">
        <v>11257</v>
      </c>
      <c r="D3493" s="9">
        <v>1.0956873979061336E-2</v>
      </c>
      <c r="E3493" s="9">
        <v>1721536.5294189453</v>
      </c>
      <c r="F3493" s="257" t="s">
        <v>15770</v>
      </c>
      <c r="G3493" s="9"/>
      <c r="H3493" s="257" t="s">
        <v>21605</v>
      </c>
      <c r="I3493" s="9">
        <v>2</v>
      </c>
    </row>
    <row r="3494" spans="1:9">
      <c r="A3494" s="257" t="s">
        <v>4592</v>
      </c>
      <c r="B3494" s="9">
        <v>1</v>
      </c>
      <c r="C3494" s="257" t="s">
        <v>11257</v>
      </c>
      <c r="D3494" s="9">
        <v>7.7869126299968377E-3</v>
      </c>
      <c r="E3494" s="9">
        <v>1721536.5294189453</v>
      </c>
      <c r="F3494" s="257" t="s">
        <v>15771</v>
      </c>
      <c r="G3494" s="9"/>
      <c r="H3494" s="257" t="s">
        <v>21606</v>
      </c>
      <c r="I3494" s="9">
        <v>2</v>
      </c>
    </row>
    <row r="3495" spans="1:9">
      <c r="A3495" s="257" t="s">
        <v>4593</v>
      </c>
      <c r="B3495" s="9">
        <v>1</v>
      </c>
      <c r="C3495" s="257" t="s">
        <v>11257</v>
      </c>
      <c r="D3495" s="9">
        <v>2.4113190096632726E-2</v>
      </c>
      <c r="E3495" s="9">
        <v>1721536.5294189453</v>
      </c>
      <c r="F3495" s="257" t="s">
        <v>15772</v>
      </c>
      <c r="G3495" s="9"/>
      <c r="H3495" s="257" t="s">
        <v>21607</v>
      </c>
      <c r="I3495" s="9">
        <v>2</v>
      </c>
    </row>
    <row r="3496" spans="1:9">
      <c r="A3496" s="257" t="s">
        <v>4594</v>
      </c>
      <c r="B3496" s="9">
        <v>1</v>
      </c>
      <c r="C3496" s="257" t="s">
        <v>11257</v>
      </c>
      <c r="D3496" s="9">
        <v>1.0838624295860246E-2</v>
      </c>
      <c r="E3496" s="9">
        <v>1721536.5294189453</v>
      </c>
      <c r="F3496" s="257" t="s">
        <v>15773</v>
      </c>
      <c r="G3496" s="9"/>
      <c r="H3496" s="257" t="s">
        <v>21608</v>
      </c>
      <c r="I3496" s="9">
        <v>2</v>
      </c>
    </row>
    <row r="3497" spans="1:9">
      <c r="A3497" s="257" t="s">
        <v>4595</v>
      </c>
      <c r="B3497" s="9">
        <v>1</v>
      </c>
      <c r="C3497" s="257" t="s">
        <v>11257</v>
      </c>
      <c r="D3497" s="9">
        <v>1.0386948499812282E-2</v>
      </c>
      <c r="E3497" s="9">
        <v>1721536.5294189453</v>
      </c>
      <c r="F3497" s="257" t="s">
        <v>15774</v>
      </c>
      <c r="G3497" s="9"/>
      <c r="H3497" s="257" t="s">
        <v>21609</v>
      </c>
      <c r="I3497" s="9">
        <v>2</v>
      </c>
    </row>
    <row r="3498" spans="1:9">
      <c r="A3498" s="257" t="s">
        <v>4596</v>
      </c>
      <c r="B3498" s="9">
        <v>1</v>
      </c>
      <c r="C3498" s="257" t="s">
        <v>11257</v>
      </c>
      <c r="D3498" s="9">
        <v>1.0808190330463126E-2</v>
      </c>
      <c r="E3498" s="9">
        <v>1721536.5294189453</v>
      </c>
      <c r="F3498" s="257" t="s">
        <v>15775</v>
      </c>
      <c r="G3498" s="9"/>
      <c r="H3498" s="257" t="s">
        <v>21610</v>
      </c>
      <c r="I3498" s="9">
        <v>2</v>
      </c>
    </row>
    <row r="3499" spans="1:9">
      <c r="A3499" s="257" t="s">
        <v>4597</v>
      </c>
      <c r="B3499" s="9">
        <v>1</v>
      </c>
      <c r="C3499" s="257" t="s">
        <v>11257</v>
      </c>
      <c r="D3499" s="9"/>
      <c r="E3499" s="9">
        <v>1721536.5294189453</v>
      </c>
      <c r="F3499" s="257" t="s">
        <v>15776</v>
      </c>
      <c r="G3499" s="9"/>
      <c r="H3499" s="257" t="s">
        <v>21611</v>
      </c>
      <c r="I3499" s="9">
        <v>2</v>
      </c>
    </row>
    <row r="3500" spans="1:9">
      <c r="A3500" s="257" t="s">
        <v>4598</v>
      </c>
      <c r="B3500" s="9">
        <v>1</v>
      </c>
      <c r="C3500" s="257" t="s">
        <v>11257</v>
      </c>
      <c r="D3500" s="9"/>
      <c r="E3500" s="9">
        <v>1721536.5294189453</v>
      </c>
      <c r="F3500" s="257" t="s">
        <v>15777</v>
      </c>
      <c r="G3500" s="9"/>
      <c r="H3500" s="257" t="s">
        <v>21612</v>
      </c>
      <c r="I3500" s="9">
        <v>2</v>
      </c>
    </row>
    <row r="3501" spans="1:9">
      <c r="A3501" s="257" t="s">
        <v>4599</v>
      </c>
      <c r="B3501" s="9">
        <v>1</v>
      </c>
      <c r="C3501" s="257" t="s">
        <v>11257</v>
      </c>
      <c r="D3501" s="9">
        <v>1.0398797876575366E-2</v>
      </c>
      <c r="E3501" s="9">
        <v>1721536.5294189453</v>
      </c>
      <c r="F3501" s="257" t="s">
        <v>15778</v>
      </c>
      <c r="G3501" s="9"/>
      <c r="H3501" s="257" t="s">
        <v>21613</v>
      </c>
      <c r="I3501" s="9">
        <v>2</v>
      </c>
    </row>
    <row r="3502" spans="1:9">
      <c r="A3502" s="257" t="s">
        <v>4600</v>
      </c>
      <c r="B3502" s="9">
        <v>1</v>
      </c>
      <c r="C3502" s="257" t="s">
        <v>11257</v>
      </c>
      <c r="D3502" s="9">
        <v>2.3851802028715809E-2</v>
      </c>
      <c r="E3502" s="9">
        <v>1721536.5294189453</v>
      </c>
      <c r="F3502" s="257" t="s">
        <v>15779</v>
      </c>
      <c r="G3502" s="9"/>
      <c r="H3502" s="257" t="s">
        <v>21614</v>
      </c>
      <c r="I3502" s="9">
        <v>2</v>
      </c>
    </row>
    <row r="3503" spans="1:9">
      <c r="A3503" s="257" t="s">
        <v>4601</v>
      </c>
      <c r="B3503" s="9">
        <v>1</v>
      </c>
      <c r="C3503" s="257" t="s">
        <v>11257</v>
      </c>
      <c r="D3503" s="9">
        <v>9.905679452263786E-3</v>
      </c>
      <c r="E3503" s="9">
        <v>1721536.5294189453</v>
      </c>
      <c r="F3503" s="257" t="s">
        <v>15780</v>
      </c>
      <c r="G3503" s="9"/>
      <c r="H3503" s="257" t="s">
        <v>21615</v>
      </c>
      <c r="I3503" s="9">
        <v>2</v>
      </c>
    </row>
    <row r="3504" spans="1:9">
      <c r="A3504" s="257" t="s">
        <v>4602</v>
      </c>
      <c r="B3504" s="9">
        <v>1</v>
      </c>
      <c r="C3504" s="257" t="s">
        <v>11257</v>
      </c>
      <c r="D3504" s="9"/>
      <c r="E3504" s="9">
        <v>1721536.5294189453</v>
      </c>
      <c r="F3504" s="257" t="s">
        <v>15781</v>
      </c>
      <c r="G3504" s="9"/>
      <c r="H3504" s="257" t="s">
        <v>21616</v>
      </c>
      <c r="I3504" s="9">
        <v>2</v>
      </c>
    </row>
    <row r="3505" spans="1:9">
      <c r="A3505" s="257" t="s">
        <v>4603</v>
      </c>
      <c r="B3505" s="9">
        <v>1</v>
      </c>
      <c r="C3505" s="257" t="s">
        <v>11257</v>
      </c>
      <c r="D3505" s="9">
        <v>7.8943701682321777E-3</v>
      </c>
      <c r="E3505" s="9">
        <v>1721536.5294189453</v>
      </c>
      <c r="F3505" s="257" t="s">
        <v>15782</v>
      </c>
      <c r="G3505" s="9"/>
      <c r="H3505" s="257" t="s">
        <v>21617</v>
      </c>
      <c r="I3505" s="9">
        <v>2</v>
      </c>
    </row>
    <row r="3506" spans="1:9">
      <c r="A3506" s="257" t="s">
        <v>4604</v>
      </c>
      <c r="B3506" s="9">
        <v>1</v>
      </c>
      <c r="C3506" s="257" t="s">
        <v>11257</v>
      </c>
      <c r="D3506" s="9">
        <v>1.0808190330463126E-2</v>
      </c>
      <c r="E3506" s="9">
        <v>1721536.5294189453</v>
      </c>
      <c r="F3506" s="257" t="s">
        <v>15783</v>
      </c>
      <c r="G3506" s="9"/>
      <c r="H3506" s="257" t="s">
        <v>21618</v>
      </c>
      <c r="I3506" s="9">
        <v>2</v>
      </c>
    </row>
    <row r="3507" spans="1:9">
      <c r="A3507" s="257" t="s">
        <v>4605</v>
      </c>
      <c r="B3507" s="9">
        <v>2</v>
      </c>
      <c r="C3507" s="257" t="s">
        <v>11257</v>
      </c>
      <c r="D3507" s="9">
        <v>1.5337152049170041E-2</v>
      </c>
      <c r="E3507" s="9">
        <v>1728935.5716552734</v>
      </c>
      <c r="F3507" s="257" t="s">
        <v>15784</v>
      </c>
      <c r="G3507" s="9"/>
      <c r="H3507" s="257" t="s">
        <v>21619</v>
      </c>
      <c r="I3507" s="9">
        <v>2</v>
      </c>
    </row>
    <row r="3508" spans="1:9">
      <c r="A3508" s="257" t="s">
        <v>4606</v>
      </c>
      <c r="B3508" s="9">
        <v>2</v>
      </c>
      <c r="C3508" s="257" t="s">
        <v>11257</v>
      </c>
      <c r="D3508" s="9"/>
      <c r="E3508" s="9">
        <v>1728935.5716552734</v>
      </c>
      <c r="F3508" s="257" t="s">
        <v>15785</v>
      </c>
      <c r="G3508" s="9"/>
      <c r="H3508" s="257" t="s">
        <v>21620</v>
      </c>
      <c r="I3508" s="9">
        <v>2</v>
      </c>
    </row>
    <row r="3509" spans="1:9">
      <c r="A3509" s="257" t="s">
        <v>4607</v>
      </c>
      <c r="B3509" s="9">
        <v>2</v>
      </c>
      <c r="C3509" s="257" t="s">
        <v>11257</v>
      </c>
      <c r="D3509" s="9"/>
      <c r="E3509" s="9">
        <v>1728935.5716552734</v>
      </c>
      <c r="F3509" s="257" t="s">
        <v>15786</v>
      </c>
      <c r="G3509" s="9"/>
      <c r="H3509" s="257" t="s">
        <v>21621</v>
      </c>
      <c r="I3509" s="9">
        <v>2</v>
      </c>
    </row>
    <row r="3510" spans="1:9">
      <c r="A3510" s="257" t="s">
        <v>4608</v>
      </c>
      <c r="B3510" s="9">
        <v>2</v>
      </c>
      <c r="C3510" s="257" t="s">
        <v>11257</v>
      </c>
      <c r="D3510" s="9">
        <v>2.2772416815717275E-2</v>
      </c>
      <c r="E3510" s="9">
        <v>1728935.5716552734</v>
      </c>
      <c r="F3510" s="257" t="s">
        <v>15787</v>
      </c>
      <c r="G3510" s="9"/>
      <c r="H3510" s="257" t="s">
        <v>21622</v>
      </c>
      <c r="I3510" s="9">
        <v>2</v>
      </c>
    </row>
    <row r="3511" spans="1:9">
      <c r="A3511" s="257" t="s">
        <v>4609</v>
      </c>
      <c r="B3511" s="9">
        <v>2</v>
      </c>
      <c r="C3511" s="257" t="s">
        <v>11257</v>
      </c>
      <c r="D3511" s="9">
        <v>1.8708571073556876E-2</v>
      </c>
      <c r="E3511" s="9">
        <v>1728935.5716552734</v>
      </c>
      <c r="F3511" s="257" t="s">
        <v>15788</v>
      </c>
      <c r="G3511" s="9"/>
      <c r="H3511" s="257" t="s">
        <v>21623</v>
      </c>
      <c r="I3511" s="9">
        <v>2</v>
      </c>
    </row>
    <row r="3512" spans="1:9">
      <c r="A3512" s="257" t="s">
        <v>4610</v>
      </c>
      <c r="B3512" s="9">
        <v>2</v>
      </c>
      <c r="C3512" s="257" t="s">
        <v>11257</v>
      </c>
      <c r="D3512" s="9"/>
      <c r="E3512" s="9">
        <v>1728935.5716552734</v>
      </c>
      <c r="F3512" s="257" t="s">
        <v>15789</v>
      </c>
      <c r="G3512" s="9"/>
      <c r="H3512" s="257" t="s">
        <v>21624</v>
      </c>
      <c r="I3512" s="9">
        <v>2</v>
      </c>
    </row>
    <row r="3513" spans="1:9">
      <c r="A3513" s="257" t="s">
        <v>4611</v>
      </c>
      <c r="B3513" s="9">
        <v>2</v>
      </c>
      <c r="C3513" s="257" t="s">
        <v>11257</v>
      </c>
      <c r="D3513" s="9">
        <v>8.6740431979074589E-3</v>
      </c>
      <c r="E3513" s="9">
        <v>1728935.5716552734</v>
      </c>
      <c r="F3513" s="257" t="s">
        <v>15790</v>
      </c>
      <c r="G3513" s="9"/>
      <c r="H3513" s="257" t="s">
        <v>21625</v>
      </c>
      <c r="I3513" s="9">
        <v>2</v>
      </c>
    </row>
    <row r="3514" spans="1:9">
      <c r="A3514" s="257" t="s">
        <v>4612</v>
      </c>
      <c r="B3514" s="9">
        <v>2</v>
      </c>
      <c r="C3514" s="257" t="s">
        <v>11257</v>
      </c>
      <c r="D3514" s="9">
        <v>1.600166417820309E-2</v>
      </c>
      <c r="E3514" s="9">
        <v>1728935.5716552734</v>
      </c>
      <c r="F3514" s="257" t="s">
        <v>15791</v>
      </c>
      <c r="G3514" s="9"/>
      <c r="H3514" s="257" t="s">
        <v>21626</v>
      </c>
      <c r="I3514" s="9">
        <v>2</v>
      </c>
    </row>
    <row r="3515" spans="1:9">
      <c r="A3515" s="257" t="s">
        <v>4613</v>
      </c>
      <c r="B3515" s="9">
        <v>2</v>
      </c>
      <c r="C3515" s="257" t="s">
        <v>11257</v>
      </c>
      <c r="D3515" s="9">
        <v>2.8319278163590395E-2</v>
      </c>
      <c r="E3515" s="9">
        <v>1728935.5716552734</v>
      </c>
      <c r="F3515" s="257" t="s">
        <v>15792</v>
      </c>
      <c r="G3515" s="9"/>
      <c r="H3515" s="257" t="s">
        <v>21627</v>
      </c>
      <c r="I3515" s="9">
        <v>2</v>
      </c>
    </row>
    <row r="3516" spans="1:9">
      <c r="A3516" s="257" t="s">
        <v>4614</v>
      </c>
      <c r="B3516" s="9">
        <v>2</v>
      </c>
      <c r="C3516" s="257" t="s">
        <v>11257</v>
      </c>
      <c r="D3516" s="9">
        <v>1.7616386049189917E-2</v>
      </c>
      <c r="E3516" s="9">
        <v>1728935.5716552734</v>
      </c>
      <c r="F3516" s="257" t="s">
        <v>15793</v>
      </c>
      <c r="G3516" s="9"/>
      <c r="H3516" s="257" t="s">
        <v>21628</v>
      </c>
      <c r="I3516" s="9">
        <v>2</v>
      </c>
    </row>
    <row r="3517" spans="1:9">
      <c r="A3517" s="257" t="s">
        <v>4615</v>
      </c>
      <c r="B3517" s="9">
        <v>2</v>
      </c>
      <c r="C3517" s="257" t="s">
        <v>11257</v>
      </c>
      <c r="D3517" s="9">
        <v>3.7367319909258317E-2</v>
      </c>
      <c r="E3517" s="9">
        <v>1728935.5716552734</v>
      </c>
      <c r="F3517" s="257" t="s">
        <v>15794</v>
      </c>
      <c r="G3517" s="9"/>
      <c r="H3517" s="257" t="s">
        <v>21629</v>
      </c>
      <c r="I3517" s="9">
        <v>2</v>
      </c>
    </row>
    <row r="3518" spans="1:9">
      <c r="A3518" s="257" t="s">
        <v>4616</v>
      </c>
      <c r="B3518" s="9">
        <v>2</v>
      </c>
      <c r="C3518" s="257" t="s">
        <v>11257</v>
      </c>
      <c r="D3518" s="9">
        <v>2.0396697876990402E-2</v>
      </c>
      <c r="E3518" s="9">
        <v>1728935.5716552734</v>
      </c>
      <c r="F3518" s="257" t="s">
        <v>15795</v>
      </c>
      <c r="G3518" s="9"/>
      <c r="H3518" s="257" t="s">
        <v>21630</v>
      </c>
      <c r="I3518" s="9">
        <v>2</v>
      </c>
    </row>
    <row r="3519" spans="1:9">
      <c r="A3519" s="257" t="s">
        <v>4617</v>
      </c>
      <c r="B3519" s="9">
        <v>2</v>
      </c>
      <c r="C3519" s="257" t="s">
        <v>11257</v>
      </c>
      <c r="D3519" s="9">
        <v>2.1085401717721913E-2</v>
      </c>
      <c r="E3519" s="9">
        <v>1728935.5716552734</v>
      </c>
      <c r="F3519" s="257" t="s">
        <v>15796</v>
      </c>
      <c r="G3519" s="9"/>
      <c r="H3519" s="257" t="s">
        <v>21631</v>
      </c>
      <c r="I3519" s="9">
        <v>2</v>
      </c>
    </row>
    <row r="3520" spans="1:9">
      <c r="A3520" s="257" t="s">
        <v>4618</v>
      </c>
      <c r="B3520" s="9">
        <v>2</v>
      </c>
      <c r="C3520" s="257" t="s">
        <v>11257</v>
      </c>
      <c r="D3520" s="9">
        <v>2.0396537499281421E-2</v>
      </c>
      <c r="E3520" s="9">
        <v>1728935.5716552734</v>
      </c>
      <c r="F3520" s="257" t="s">
        <v>15797</v>
      </c>
      <c r="G3520" s="9"/>
      <c r="H3520" s="257" t="s">
        <v>21632</v>
      </c>
      <c r="I3520" s="9">
        <v>2</v>
      </c>
    </row>
    <row r="3521" spans="1:9">
      <c r="A3521" s="257" t="s">
        <v>4619</v>
      </c>
      <c r="B3521" s="9">
        <v>2</v>
      </c>
      <c r="C3521" s="257" t="s">
        <v>11257</v>
      </c>
      <c r="D3521" s="9">
        <v>1.8708571073556876E-2</v>
      </c>
      <c r="E3521" s="9">
        <v>1728935.5716552734</v>
      </c>
      <c r="F3521" s="257" t="s">
        <v>15798</v>
      </c>
      <c r="G3521" s="9"/>
      <c r="H3521" s="257" t="s">
        <v>21633</v>
      </c>
      <c r="I3521" s="9">
        <v>2</v>
      </c>
    </row>
    <row r="3522" spans="1:9">
      <c r="A3522" s="257" t="s">
        <v>4620</v>
      </c>
      <c r="B3522" s="9">
        <v>2</v>
      </c>
      <c r="C3522" s="257" t="s">
        <v>11257</v>
      </c>
      <c r="D3522" s="9">
        <v>2.5816213308908369E-2</v>
      </c>
      <c r="E3522" s="9">
        <v>1728935.5716552734</v>
      </c>
      <c r="F3522" s="257" t="s">
        <v>15799</v>
      </c>
      <c r="G3522" s="9"/>
      <c r="H3522" s="257" t="s">
        <v>21634</v>
      </c>
      <c r="I3522" s="9">
        <v>2</v>
      </c>
    </row>
    <row r="3523" spans="1:9">
      <c r="A3523" s="257" t="s">
        <v>4621</v>
      </c>
      <c r="B3523" s="9">
        <v>2</v>
      </c>
      <c r="C3523" s="257" t="s">
        <v>11257</v>
      </c>
      <c r="D3523" s="9"/>
      <c r="E3523" s="9">
        <v>1728935.5716552734</v>
      </c>
      <c r="F3523" s="257" t="s">
        <v>15800</v>
      </c>
      <c r="G3523" s="9"/>
      <c r="H3523" s="257" t="s">
        <v>21635</v>
      </c>
      <c r="I3523" s="9">
        <v>2</v>
      </c>
    </row>
    <row r="3524" spans="1:9">
      <c r="A3524" s="257" t="s">
        <v>4622</v>
      </c>
      <c r="B3524" s="9">
        <v>2</v>
      </c>
      <c r="C3524" s="257" t="s">
        <v>11257</v>
      </c>
      <c r="D3524" s="9">
        <v>2.0453458155899426E-2</v>
      </c>
      <c r="E3524" s="9">
        <v>1728935.5716552734</v>
      </c>
      <c r="F3524" s="257" t="s">
        <v>15801</v>
      </c>
      <c r="G3524" s="9"/>
      <c r="H3524" s="257" t="s">
        <v>21636</v>
      </c>
      <c r="I3524" s="9">
        <v>2</v>
      </c>
    </row>
    <row r="3525" spans="1:9">
      <c r="A3525" s="257" t="s">
        <v>4623</v>
      </c>
      <c r="B3525" s="9">
        <v>2</v>
      </c>
      <c r="C3525" s="257" t="s">
        <v>11257</v>
      </c>
      <c r="D3525" s="9">
        <v>2.0356133076464715E-2</v>
      </c>
      <c r="E3525" s="9">
        <v>1728935.5716552734</v>
      </c>
      <c r="F3525" s="257" t="s">
        <v>15802</v>
      </c>
      <c r="G3525" s="9"/>
      <c r="H3525" s="257" t="s">
        <v>21637</v>
      </c>
      <c r="I3525" s="9">
        <v>2</v>
      </c>
    </row>
    <row r="3526" spans="1:9">
      <c r="A3526" s="257" t="s">
        <v>4624</v>
      </c>
      <c r="B3526" s="9">
        <v>2</v>
      </c>
      <c r="C3526" s="257" t="s">
        <v>11257</v>
      </c>
      <c r="D3526" s="9">
        <v>3.7446555105965555E-2</v>
      </c>
      <c r="E3526" s="9">
        <v>1728935.5716552734</v>
      </c>
      <c r="F3526" s="257" t="s">
        <v>15803</v>
      </c>
      <c r="G3526" s="9"/>
      <c r="H3526" s="257" t="s">
        <v>21638</v>
      </c>
      <c r="I3526" s="9">
        <v>2</v>
      </c>
    </row>
    <row r="3527" spans="1:9">
      <c r="A3527" s="257" t="s">
        <v>4625</v>
      </c>
      <c r="B3527" s="9">
        <v>2</v>
      </c>
      <c r="C3527" s="257" t="s">
        <v>11257</v>
      </c>
      <c r="D3527" s="9"/>
      <c r="E3527" s="9">
        <v>1728935.5716552734</v>
      </c>
      <c r="F3527" s="257" t="s">
        <v>15804</v>
      </c>
      <c r="G3527" s="9"/>
      <c r="H3527" s="257" t="s">
        <v>21639</v>
      </c>
      <c r="I3527" s="9">
        <v>2</v>
      </c>
    </row>
    <row r="3528" spans="1:9">
      <c r="A3528" s="257" t="s">
        <v>4626</v>
      </c>
      <c r="B3528" s="9">
        <v>2</v>
      </c>
      <c r="C3528" s="257" t="s">
        <v>11257</v>
      </c>
      <c r="D3528" s="9">
        <v>2.0243131947405946E-2</v>
      </c>
      <c r="E3528" s="9">
        <v>1728935.5716552734</v>
      </c>
      <c r="F3528" s="257" t="s">
        <v>15805</v>
      </c>
      <c r="G3528" s="9"/>
      <c r="H3528" s="257" t="s">
        <v>21640</v>
      </c>
      <c r="I3528" s="9">
        <v>2</v>
      </c>
    </row>
    <row r="3529" spans="1:9">
      <c r="A3529" s="257" t="s">
        <v>4627</v>
      </c>
      <c r="B3529" s="9">
        <v>2</v>
      </c>
      <c r="C3529" s="257" t="s">
        <v>11257</v>
      </c>
      <c r="D3529" s="9">
        <v>1.5857043182557942E-2</v>
      </c>
      <c r="E3529" s="9">
        <v>1728935.5716552734</v>
      </c>
      <c r="F3529" s="257" t="s">
        <v>15806</v>
      </c>
      <c r="G3529" s="9"/>
      <c r="H3529" s="257" t="s">
        <v>21641</v>
      </c>
      <c r="I3529" s="9">
        <v>2</v>
      </c>
    </row>
    <row r="3530" spans="1:9">
      <c r="A3530" s="257" t="s">
        <v>4628</v>
      </c>
      <c r="B3530" s="9">
        <v>2</v>
      </c>
      <c r="C3530" s="257" t="s">
        <v>11257</v>
      </c>
      <c r="D3530" s="9"/>
      <c r="E3530" s="9">
        <v>1728935.5716552734</v>
      </c>
      <c r="F3530" s="257" t="s">
        <v>15807</v>
      </c>
      <c r="G3530" s="9"/>
      <c r="H3530" s="257" t="s">
        <v>21642</v>
      </c>
      <c r="I3530" s="9">
        <v>2</v>
      </c>
    </row>
    <row r="3531" spans="1:9">
      <c r="A3531" s="257" t="s">
        <v>4629</v>
      </c>
      <c r="B3531" s="9">
        <v>2</v>
      </c>
      <c r="C3531" s="257" t="s">
        <v>11257</v>
      </c>
      <c r="D3531" s="9">
        <v>2.0396537499281421E-2</v>
      </c>
      <c r="E3531" s="9">
        <v>1728935.5716552734</v>
      </c>
      <c r="F3531" s="257" t="s">
        <v>15808</v>
      </c>
      <c r="G3531" s="9"/>
      <c r="H3531" s="257" t="s">
        <v>21643</v>
      </c>
      <c r="I3531" s="9">
        <v>2</v>
      </c>
    </row>
    <row r="3532" spans="1:9">
      <c r="A3532" s="257" t="s">
        <v>4630</v>
      </c>
      <c r="B3532" s="9">
        <v>3</v>
      </c>
      <c r="C3532" s="257" t="s">
        <v>11257</v>
      </c>
      <c r="D3532" s="9">
        <v>2.666599867105364E-2</v>
      </c>
      <c r="E3532" s="9">
        <v>1724459.8235549927</v>
      </c>
      <c r="F3532" s="257" t="s">
        <v>15809</v>
      </c>
      <c r="G3532" s="9"/>
      <c r="H3532" s="257" t="s">
        <v>21644</v>
      </c>
      <c r="I3532" s="9">
        <v>2</v>
      </c>
    </row>
    <row r="3533" spans="1:9">
      <c r="A3533" s="257" t="s">
        <v>4631</v>
      </c>
      <c r="B3533" s="9">
        <v>3</v>
      </c>
      <c r="C3533" s="257" t="s">
        <v>11257</v>
      </c>
      <c r="D3533" s="9">
        <v>2.678398774147402E-2</v>
      </c>
      <c r="E3533" s="9">
        <v>1724459.8235549927</v>
      </c>
      <c r="F3533" s="257" t="s">
        <v>15810</v>
      </c>
      <c r="G3533" s="9"/>
      <c r="H3533" s="257" t="s">
        <v>21645</v>
      </c>
      <c r="I3533" s="9">
        <v>2</v>
      </c>
    </row>
    <row r="3534" spans="1:9">
      <c r="A3534" s="257" t="s">
        <v>4632</v>
      </c>
      <c r="B3534" s="9">
        <v>3</v>
      </c>
      <c r="C3534" s="257" t="s">
        <v>11257</v>
      </c>
      <c r="D3534" s="9">
        <v>2.5643255922646886E-2</v>
      </c>
      <c r="E3534" s="9">
        <v>1724459.8235549927</v>
      </c>
      <c r="F3534" s="257" t="s">
        <v>15811</v>
      </c>
      <c r="G3534" s="9"/>
      <c r="H3534" s="257" t="s">
        <v>21646</v>
      </c>
      <c r="I3534" s="9">
        <v>2</v>
      </c>
    </row>
    <row r="3535" spans="1:9">
      <c r="A3535" s="257" t="s">
        <v>4633</v>
      </c>
      <c r="B3535" s="9">
        <v>3</v>
      </c>
      <c r="C3535" s="257" t="s">
        <v>11257</v>
      </c>
      <c r="D3535" s="9">
        <v>2.7561160500017348E-2</v>
      </c>
      <c r="E3535" s="9">
        <v>1724459.8235549927</v>
      </c>
      <c r="F3535" s="257" t="s">
        <v>15812</v>
      </c>
      <c r="G3535" s="9"/>
      <c r="H3535" s="257" t="s">
        <v>21647</v>
      </c>
      <c r="I3535" s="9">
        <v>2</v>
      </c>
    </row>
    <row r="3536" spans="1:9">
      <c r="A3536" s="257" t="s">
        <v>4634</v>
      </c>
      <c r="B3536" s="9">
        <v>3</v>
      </c>
      <c r="C3536" s="257" t="s">
        <v>11257</v>
      </c>
      <c r="D3536" s="9">
        <v>2.3389442919678136E-2</v>
      </c>
      <c r="E3536" s="9">
        <v>1724459.8235549927</v>
      </c>
      <c r="F3536" s="257" t="s">
        <v>15813</v>
      </c>
      <c r="G3536" s="9"/>
      <c r="H3536" s="257" t="s">
        <v>21648</v>
      </c>
      <c r="I3536" s="9">
        <v>2</v>
      </c>
    </row>
    <row r="3537" spans="1:9">
      <c r="A3537" s="257" t="s">
        <v>4635</v>
      </c>
      <c r="B3537" s="9">
        <v>3</v>
      </c>
      <c r="C3537" s="257" t="s">
        <v>11257</v>
      </c>
      <c r="D3537" s="9">
        <v>1.4205059467144864E-2</v>
      </c>
      <c r="E3537" s="9">
        <v>1724459.8235549927</v>
      </c>
      <c r="F3537" s="257" t="s">
        <v>15814</v>
      </c>
      <c r="G3537" s="9"/>
      <c r="H3537" s="257" t="s">
        <v>21649</v>
      </c>
      <c r="I3537" s="9">
        <v>2</v>
      </c>
    </row>
    <row r="3538" spans="1:9">
      <c r="A3538" s="257" t="s">
        <v>4636</v>
      </c>
      <c r="B3538" s="9">
        <v>3</v>
      </c>
      <c r="C3538" s="257" t="s">
        <v>11257</v>
      </c>
      <c r="D3538" s="9">
        <v>2.7730998542368653E-2</v>
      </c>
      <c r="E3538" s="9">
        <v>1724459.8235549927</v>
      </c>
      <c r="F3538" s="257" t="s">
        <v>15815</v>
      </c>
      <c r="G3538" s="9"/>
      <c r="H3538" s="257" t="s">
        <v>21650</v>
      </c>
      <c r="I3538" s="9">
        <v>2</v>
      </c>
    </row>
    <row r="3539" spans="1:9">
      <c r="A3539" s="257" t="s">
        <v>4637</v>
      </c>
      <c r="B3539" s="9">
        <v>3</v>
      </c>
      <c r="C3539" s="257" t="s">
        <v>11257</v>
      </c>
      <c r="D3539" s="9">
        <v>2.968862845444965E-2</v>
      </c>
      <c r="E3539" s="9">
        <v>1724459.8235549927</v>
      </c>
      <c r="F3539" s="257" t="s">
        <v>15816</v>
      </c>
      <c r="G3539" s="9"/>
      <c r="H3539" s="257" t="s">
        <v>21651</v>
      </c>
      <c r="I3539" s="9">
        <v>2</v>
      </c>
    </row>
    <row r="3540" spans="1:9">
      <c r="A3540" s="257" t="s">
        <v>4638</v>
      </c>
      <c r="B3540" s="9">
        <v>3</v>
      </c>
      <c r="C3540" s="257" t="s">
        <v>11257</v>
      </c>
      <c r="D3540" s="9">
        <v>4.6386531257942239E-2</v>
      </c>
      <c r="E3540" s="9">
        <v>1724459.8235549927</v>
      </c>
      <c r="F3540" s="257" t="s">
        <v>15817</v>
      </c>
      <c r="G3540" s="9"/>
      <c r="H3540" s="257" t="s">
        <v>21652</v>
      </c>
      <c r="I3540" s="9">
        <v>2</v>
      </c>
    </row>
    <row r="3541" spans="1:9">
      <c r="A3541" s="257" t="s">
        <v>4639</v>
      </c>
      <c r="B3541" s="9">
        <v>3</v>
      </c>
      <c r="C3541" s="257" t="s">
        <v>11257</v>
      </c>
      <c r="D3541" s="9"/>
      <c r="E3541" s="9">
        <v>1724459.8235549927</v>
      </c>
      <c r="F3541" s="257" t="s">
        <v>15818</v>
      </c>
      <c r="G3541" s="9"/>
      <c r="H3541" s="257" t="s">
        <v>21653</v>
      </c>
      <c r="I3541" s="9">
        <v>2</v>
      </c>
    </row>
    <row r="3542" spans="1:9">
      <c r="A3542" s="257" t="s">
        <v>4640</v>
      </c>
      <c r="B3542" s="9">
        <v>3</v>
      </c>
      <c r="C3542" s="257" t="s">
        <v>11257</v>
      </c>
      <c r="D3542" s="9"/>
      <c r="E3542" s="9">
        <v>1724459.8235549927</v>
      </c>
      <c r="F3542" s="257" t="s">
        <v>15819</v>
      </c>
      <c r="G3542" s="9"/>
      <c r="H3542" s="257" t="s">
        <v>21654</v>
      </c>
      <c r="I3542" s="9">
        <v>2</v>
      </c>
    </row>
    <row r="3543" spans="1:9">
      <c r="A3543" s="257" t="s">
        <v>4641</v>
      </c>
      <c r="B3543" s="9">
        <v>3</v>
      </c>
      <c r="C3543" s="257" t="s">
        <v>11257</v>
      </c>
      <c r="D3543" s="9">
        <v>2.968862845444965E-2</v>
      </c>
      <c r="E3543" s="9">
        <v>1724459.8235549927</v>
      </c>
      <c r="F3543" s="257" t="s">
        <v>15820</v>
      </c>
      <c r="G3543" s="9"/>
      <c r="H3543" s="257" t="s">
        <v>21655</v>
      </c>
      <c r="I3543" s="9">
        <v>2</v>
      </c>
    </row>
    <row r="3544" spans="1:9">
      <c r="A3544" s="257" t="s">
        <v>4642</v>
      </c>
      <c r="B3544" s="9">
        <v>3</v>
      </c>
      <c r="C3544" s="257" t="s">
        <v>11257</v>
      </c>
      <c r="D3544" s="9">
        <v>2.2893337762086428E-2</v>
      </c>
      <c r="E3544" s="9">
        <v>1724459.8235549927</v>
      </c>
      <c r="F3544" s="257" t="s">
        <v>15821</v>
      </c>
      <c r="G3544" s="9"/>
      <c r="H3544" s="257" t="s">
        <v>21656</v>
      </c>
      <c r="I3544" s="9">
        <v>2</v>
      </c>
    </row>
    <row r="3545" spans="1:9">
      <c r="A3545" s="257" t="s">
        <v>4643</v>
      </c>
      <c r="B3545" s="9">
        <v>3</v>
      </c>
      <c r="C3545" s="257" t="s">
        <v>11257</v>
      </c>
      <c r="D3545" s="9">
        <v>4.5895122583935799E-2</v>
      </c>
      <c r="E3545" s="9">
        <v>1724459.8235549927</v>
      </c>
      <c r="F3545" s="257" t="s">
        <v>15822</v>
      </c>
      <c r="G3545" s="9"/>
      <c r="H3545" s="257" t="s">
        <v>21657</v>
      </c>
      <c r="I3545" s="9">
        <v>2</v>
      </c>
    </row>
    <row r="3546" spans="1:9">
      <c r="A3546" s="257" t="s">
        <v>4644</v>
      </c>
      <c r="B3546" s="9">
        <v>3</v>
      </c>
      <c r="C3546" s="257" t="s">
        <v>11257</v>
      </c>
      <c r="D3546" s="9">
        <v>2.7595552873641703E-2</v>
      </c>
      <c r="E3546" s="9">
        <v>1724459.8235549927</v>
      </c>
      <c r="F3546" s="257" t="s">
        <v>15823</v>
      </c>
      <c r="G3546" s="9"/>
      <c r="H3546" s="257" t="s">
        <v>21658</v>
      </c>
      <c r="I3546" s="9">
        <v>2</v>
      </c>
    </row>
    <row r="3547" spans="1:9">
      <c r="A3547" s="257" t="s">
        <v>4645</v>
      </c>
      <c r="B3547" s="9">
        <v>3</v>
      </c>
      <c r="C3547" s="257" t="s">
        <v>11257</v>
      </c>
      <c r="D3547" s="9"/>
      <c r="E3547" s="9">
        <v>1724459.8235549927</v>
      </c>
      <c r="F3547" s="257" t="s">
        <v>15824</v>
      </c>
      <c r="G3547" s="9"/>
      <c r="H3547" s="257" t="s">
        <v>21659</v>
      </c>
      <c r="I3547" s="9">
        <v>2</v>
      </c>
    </row>
    <row r="3548" spans="1:9">
      <c r="A3548" s="257" t="s">
        <v>4646</v>
      </c>
      <c r="B3548" s="9">
        <v>3</v>
      </c>
      <c r="C3548" s="257" t="s">
        <v>11257</v>
      </c>
      <c r="D3548" s="9"/>
      <c r="E3548" s="9">
        <v>1724459.8235549927</v>
      </c>
      <c r="F3548" s="257" t="s">
        <v>15825</v>
      </c>
      <c r="G3548" s="9"/>
      <c r="H3548" s="257" t="s">
        <v>21660</v>
      </c>
      <c r="I3548" s="9">
        <v>2</v>
      </c>
    </row>
    <row r="3549" spans="1:9">
      <c r="A3549" s="257" t="s">
        <v>4647</v>
      </c>
      <c r="B3549" s="9">
        <v>3</v>
      </c>
      <c r="C3549" s="257" t="s">
        <v>11257</v>
      </c>
      <c r="D3549" s="9"/>
      <c r="E3549" s="9">
        <v>1724459.8235549927</v>
      </c>
      <c r="F3549" s="257" t="s">
        <v>15826</v>
      </c>
      <c r="G3549" s="9"/>
      <c r="H3549" s="257" t="s">
        <v>21661</v>
      </c>
      <c r="I3549" s="9">
        <v>2</v>
      </c>
    </row>
    <row r="3550" spans="1:9">
      <c r="A3550" s="257" t="s">
        <v>4648</v>
      </c>
      <c r="B3550" s="9">
        <v>3</v>
      </c>
      <c r="C3550" s="257" t="s">
        <v>11257</v>
      </c>
      <c r="D3550" s="9"/>
      <c r="E3550" s="9">
        <v>1724459.8235549927</v>
      </c>
      <c r="F3550" s="257" t="s">
        <v>15827</v>
      </c>
      <c r="G3550" s="9"/>
      <c r="H3550" s="257" t="s">
        <v>21662</v>
      </c>
      <c r="I3550" s="9">
        <v>2</v>
      </c>
    </row>
    <row r="3551" spans="1:9">
      <c r="A3551" s="257" t="s">
        <v>4649</v>
      </c>
      <c r="B3551" s="9">
        <v>3</v>
      </c>
      <c r="C3551" s="257" t="s">
        <v>11257</v>
      </c>
      <c r="D3551" s="9">
        <v>3.4924892030359277E-2</v>
      </c>
      <c r="E3551" s="9">
        <v>1724459.8235549927</v>
      </c>
      <c r="F3551" s="257" t="s">
        <v>15828</v>
      </c>
      <c r="G3551" s="9"/>
      <c r="H3551" s="257" t="s">
        <v>21663</v>
      </c>
      <c r="I3551" s="9">
        <v>2</v>
      </c>
    </row>
    <row r="3552" spans="1:9">
      <c r="A3552" s="257" t="s">
        <v>4650</v>
      </c>
      <c r="B3552" s="9">
        <v>3</v>
      </c>
      <c r="C3552" s="257" t="s">
        <v>11257</v>
      </c>
      <c r="D3552" s="9">
        <v>2.9719429798462968E-2</v>
      </c>
      <c r="E3552" s="9">
        <v>1724459.8235549927</v>
      </c>
      <c r="F3552" s="257" t="s">
        <v>15829</v>
      </c>
      <c r="G3552" s="9"/>
      <c r="H3552" s="257" t="s">
        <v>21664</v>
      </c>
      <c r="I3552" s="9">
        <v>2</v>
      </c>
    </row>
    <row r="3553" spans="1:9">
      <c r="A3553" s="257" t="s">
        <v>4651</v>
      </c>
      <c r="B3553" s="9">
        <v>3</v>
      </c>
      <c r="C3553" s="257" t="s">
        <v>11257</v>
      </c>
      <c r="D3553" s="9">
        <v>2.9712105662112645E-2</v>
      </c>
      <c r="E3553" s="9">
        <v>1724459.8235549927</v>
      </c>
      <c r="F3553" s="257" t="s">
        <v>15830</v>
      </c>
      <c r="G3553" s="9"/>
      <c r="H3553" s="257" t="s">
        <v>21665</v>
      </c>
      <c r="I3553" s="9">
        <v>2</v>
      </c>
    </row>
    <row r="3554" spans="1:9">
      <c r="A3554" s="257" t="s">
        <v>4652</v>
      </c>
      <c r="B3554" s="9">
        <v>3</v>
      </c>
      <c r="C3554" s="257" t="s">
        <v>11257</v>
      </c>
      <c r="D3554" s="9">
        <v>2.1741740658339559E-2</v>
      </c>
      <c r="E3554" s="9">
        <v>1724459.8235549927</v>
      </c>
      <c r="F3554" s="257" t="s">
        <v>15831</v>
      </c>
      <c r="G3554" s="9"/>
      <c r="H3554" s="257" t="s">
        <v>21666</v>
      </c>
      <c r="I3554" s="9">
        <v>2</v>
      </c>
    </row>
    <row r="3555" spans="1:9">
      <c r="A3555" s="257" t="s">
        <v>4653</v>
      </c>
      <c r="B3555" s="9">
        <v>3</v>
      </c>
      <c r="C3555" s="257" t="s">
        <v>11257</v>
      </c>
      <c r="D3555" s="9">
        <v>2.8992418314590561E-2</v>
      </c>
      <c r="E3555" s="9">
        <v>1724459.8235549927</v>
      </c>
      <c r="F3555" s="257" t="s">
        <v>15832</v>
      </c>
      <c r="G3555" s="9"/>
      <c r="H3555" s="257" t="s">
        <v>21667</v>
      </c>
      <c r="I3555" s="9">
        <v>2</v>
      </c>
    </row>
    <row r="3556" spans="1:9">
      <c r="A3556" s="257" t="s">
        <v>4654</v>
      </c>
      <c r="B3556" s="9">
        <v>3</v>
      </c>
      <c r="C3556" s="257" t="s">
        <v>11257</v>
      </c>
      <c r="D3556" s="9">
        <v>2.8992418314590561E-2</v>
      </c>
      <c r="E3556" s="9">
        <v>1724459.8235549927</v>
      </c>
      <c r="F3556" s="257" t="s">
        <v>15833</v>
      </c>
      <c r="G3556" s="9"/>
      <c r="H3556" s="257" t="s">
        <v>21668</v>
      </c>
      <c r="I3556" s="9">
        <v>2</v>
      </c>
    </row>
    <row r="3557" spans="1:9">
      <c r="A3557" s="257" t="s">
        <v>4655</v>
      </c>
      <c r="B3557" s="9">
        <v>4</v>
      </c>
      <c r="C3557" s="257" t="s">
        <v>11257</v>
      </c>
      <c r="D3557" s="9">
        <v>4.4063002781709652E-2</v>
      </c>
      <c r="E3557" s="9">
        <v>1728561.5107574463</v>
      </c>
      <c r="F3557" s="257" t="s">
        <v>15834</v>
      </c>
      <c r="G3557" s="9"/>
      <c r="H3557" s="257" t="s">
        <v>21669</v>
      </c>
      <c r="I3557" s="9">
        <v>2</v>
      </c>
    </row>
    <row r="3558" spans="1:9">
      <c r="A3558" s="257" t="s">
        <v>4656</v>
      </c>
      <c r="B3558" s="9">
        <v>4</v>
      </c>
      <c r="C3558" s="257" t="s">
        <v>11257</v>
      </c>
      <c r="D3558" s="9"/>
      <c r="E3558" s="9">
        <v>1728561.5107574463</v>
      </c>
      <c r="F3558" s="257" t="s">
        <v>15835</v>
      </c>
      <c r="G3558" s="9"/>
      <c r="H3558" s="257" t="s">
        <v>21670</v>
      </c>
      <c r="I3558" s="9">
        <v>2</v>
      </c>
    </row>
    <row r="3559" spans="1:9">
      <c r="A3559" s="257" t="s">
        <v>4657</v>
      </c>
      <c r="B3559" s="9">
        <v>4</v>
      </c>
      <c r="C3559" s="257" t="s">
        <v>11257</v>
      </c>
      <c r="D3559" s="9">
        <v>4.4662868872254312E-2</v>
      </c>
      <c r="E3559" s="9">
        <v>1728561.5107574463</v>
      </c>
      <c r="F3559" s="257" t="s">
        <v>15836</v>
      </c>
      <c r="G3559" s="9"/>
      <c r="H3559" s="257" t="s">
        <v>21671</v>
      </c>
      <c r="I3559" s="9">
        <v>2</v>
      </c>
    </row>
    <row r="3560" spans="1:9">
      <c r="A3560" s="257" t="s">
        <v>4658</v>
      </c>
      <c r="B3560" s="9">
        <v>4</v>
      </c>
      <c r="C3560" s="257" t="s">
        <v>11257</v>
      </c>
      <c r="D3560" s="9"/>
      <c r="E3560" s="9">
        <v>1728561.5107574463</v>
      </c>
      <c r="F3560" s="257" t="s">
        <v>15837</v>
      </c>
      <c r="G3560" s="9"/>
      <c r="H3560" s="257" t="s">
        <v>21672</v>
      </c>
      <c r="I3560" s="9">
        <v>2</v>
      </c>
    </row>
    <row r="3561" spans="1:9">
      <c r="A3561" s="257" t="s">
        <v>4659</v>
      </c>
      <c r="B3561" s="9">
        <v>4</v>
      </c>
      <c r="C3561" s="257" t="s">
        <v>11257</v>
      </c>
      <c r="D3561" s="9">
        <v>2.7647271653358268E-2</v>
      </c>
      <c r="E3561" s="9">
        <v>1728561.5107574463</v>
      </c>
      <c r="F3561" s="257" t="s">
        <v>15838</v>
      </c>
      <c r="G3561" s="9"/>
      <c r="H3561" s="257" t="s">
        <v>21673</v>
      </c>
      <c r="I3561" s="9">
        <v>2</v>
      </c>
    </row>
    <row r="3562" spans="1:9">
      <c r="A3562" s="257" t="s">
        <v>4660</v>
      </c>
      <c r="B3562" s="9">
        <v>4</v>
      </c>
      <c r="C3562" s="257" t="s">
        <v>11257</v>
      </c>
      <c r="D3562" s="9">
        <v>5.5847824462011336E-2</v>
      </c>
      <c r="E3562" s="9">
        <v>1728561.5107574463</v>
      </c>
      <c r="F3562" s="257" t="s">
        <v>15839</v>
      </c>
      <c r="G3562" s="9"/>
      <c r="H3562" s="257" t="s">
        <v>21674</v>
      </c>
      <c r="I3562" s="9">
        <v>2</v>
      </c>
    </row>
    <row r="3563" spans="1:9">
      <c r="A3563" s="257" t="s">
        <v>4661</v>
      </c>
      <c r="B3563" s="9">
        <v>4</v>
      </c>
      <c r="C3563" s="257" t="s">
        <v>11257</v>
      </c>
      <c r="D3563" s="9">
        <v>3.1202656400071711E-2</v>
      </c>
      <c r="E3563" s="9">
        <v>1728561.5107574463</v>
      </c>
      <c r="F3563" s="257" t="s">
        <v>15840</v>
      </c>
      <c r="G3563" s="9"/>
      <c r="H3563" s="257" t="s">
        <v>21675</v>
      </c>
      <c r="I3563" s="9">
        <v>2</v>
      </c>
    </row>
    <row r="3564" spans="1:9">
      <c r="A3564" s="257" t="s">
        <v>4662</v>
      </c>
      <c r="B3564" s="9">
        <v>4</v>
      </c>
      <c r="C3564" s="257" t="s">
        <v>11257</v>
      </c>
      <c r="D3564" s="9">
        <v>4.2619928512645316E-2</v>
      </c>
      <c r="E3564" s="9">
        <v>1728561.5107574463</v>
      </c>
      <c r="F3564" s="257" t="s">
        <v>15841</v>
      </c>
      <c r="G3564" s="9"/>
      <c r="H3564" s="257" t="s">
        <v>21676</v>
      </c>
      <c r="I3564" s="9">
        <v>2</v>
      </c>
    </row>
    <row r="3565" spans="1:9">
      <c r="A3565" s="257" t="s">
        <v>4663</v>
      </c>
      <c r="B3565" s="9">
        <v>4</v>
      </c>
      <c r="C3565" s="257" t="s">
        <v>11257</v>
      </c>
      <c r="D3565" s="9">
        <v>4.5045673799941462E-2</v>
      </c>
      <c r="E3565" s="9">
        <v>1728561.5107574463</v>
      </c>
      <c r="F3565" s="257" t="s">
        <v>15842</v>
      </c>
      <c r="G3565" s="9"/>
      <c r="H3565" s="257" t="s">
        <v>21677</v>
      </c>
      <c r="I3565" s="9">
        <v>2</v>
      </c>
    </row>
    <row r="3566" spans="1:9">
      <c r="A3566" s="257" t="s">
        <v>4664</v>
      </c>
      <c r="B3566" s="9">
        <v>4</v>
      </c>
      <c r="C3566" s="257" t="s">
        <v>11257</v>
      </c>
      <c r="D3566" s="9">
        <v>3.1357172683946492E-2</v>
      </c>
      <c r="E3566" s="9">
        <v>1728561.5107574463</v>
      </c>
      <c r="F3566" s="257" t="s">
        <v>15843</v>
      </c>
      <c r="G3566" s="9"/>
      <c r="H3566" s="257" t="s">
        <v>21678</v>
      </c>
      <c r="I3566" s="9">
        <v>2</v>
      </c>
    </row>
    <row r="3567" spans="1:9">
      <c r="A3567" s="257" t="s">
        <v>4665</v>
      </c>
      <c r="B3567" s="9">
        <v>4</v>
      </c>
      <c r="C3567" s="257" t="s">
        <v>11257</v>
      </c>
      <c r="D3567" s="9">
        <v>1.1384745360381608E-2</v>
      </c>
      <c r="E3567" s="9">
        <v>1728561.5107574463</v>
      </c>
      <c r="F3567" s="257" t="s">
        <v>15844</v>
      </c>
      <c r="G3567" s="9"/>
      <c r="H3567" s="257" t="s">
        <v>21679</v>
      </c>
      <c r="I3567" s="9">
        <v>2</v>
      </c>
    </row>
    <row r="3568" spans="1:9">
      <c r="A3568" s="257" t="s">
        <v>4666</v>
      </c>
      <c r="B3568" s="9">
        <v>4</v>
      </c>
      <c r="C3568" s="257" t="s">
        <v>11257</v>
      </c>
      <c r="D3568" s="9">
        <v>4.1099544591045888E-2</v>
      </c>
      <c r="E3568" s="9">
        <v>1728561.5107574463</v>
      </c>
      <c r="F3568" s="257" t="s">
        <v>15845</v>
      </c>
      <c r="G3568" s="9"/>
      <c r="H3568" s="257" t="s">
        <v>21680</v>
      </c>
      <c r="I3568" s="9">
        <v>2</v>
      </c>
    </row>
    <row r="3569" spans="1:9">
      <c r="A3569" s="257" t="s">
        <v>4667</v>
      </c>
      <c r="B3569" s="9">
        <v>4</v>
      </c>
      <c r="C3569" s="257" t="s">
        <v>11257</v>
      </c>
      <c r="D3569" s="9"/>
      <c r="E3569" s="9">
        <v>1728561.5107574463</v>
      </c>
      <c r="F3569" s="257" t="s">
        <v>15846</v>
      </c>
      <c r="G3569" s="9"/>
      <c r="H3569" s="257" t="s">
        <v>21681</v>
      </c>
      <c r="I3569" s="9">
        <v>2</v>
      </c>
    </row>
    <row r="3570" spans="1:9">
      <c r="A3570" s="257" t="s">
        <v>4668</v>
      </c>
      <c r="B3570" s="9">
        <v>4</v>
      </c>
      <c r="C3570" s="257" t="s">
        <v>11257</v>
      </c>
      <c r="D3570" s="9">
        <v>4.4010501950856457E-2</v>
      </c>
      <c r="E3570" s="9">
        <v>1728561.5107574463</v>
      </c>
      <c r="F3570" s="257" t="s">
        <v>15847</v>
      </c>
      <c r="G3570" s="9"/>
      <c r="H3570" s="257" t="s">
        <v>21682</v>
      </c>
      <c r="I3570" s="9">
        <v>2</v>
      </c>
    </row>
    <row r="3571" spans="1:9">
      <c r="A3571" s="257" t="s">
        <v>4669</v>
      </c>
      <c r="B3571" s="9">
        <v>4</v>
      </c>
      <c r="C3571" s="257" t="s">
        <v>11257</v>
      </c>
      <c r="D3571" s="9"/>
      <c r="E3571" s="9">
        <v>1728561.5107574463</v>
      </c>
      <c r="F3571" s="257" t="s">
        <v>15848</v>
      </c>
      <c r="G3571" s="9"/>
      <c r="H3571" s="257" t="s">
        <v>21683</v>
      </c>
      <c r="I3571" s="9">
        <v>2</v>
      </c>
    </row>
    <row r="3572" spans="1:9">
      <c r="A3572" s="257" t="s">
        <v>4670</v>
      </c>
      <c r="B3572" s="9">
        <v>4</v>
      </c>
      <c r="C3572" s="257" t="s">
        <v>11257</v>
      </c>
      <c r="D3572" s="9">
        <v>4.0070906458886703E-2</v>
      </c>
      <c r="E3572" s="9">
        <v>1728561.5107574463</v>
      </c>
      <c r="F3572" s="257" t="s">
        <v>15849</v>
      </c>
      <c r="G3572" s="9"/>
      <c r="H3572" s="257" t="s">
        <v>21684</v>
      </c>
      <c r="I3572" s="9">
        <v>2</v>
      </c>
    </row>
    <row r="3573" spans="1:9">
      <c r="A3573" s="257" t="s">
        <v>4671</v>
      </c>
      <c r="B3573" s="9">
        <v>4</v>
      </c>
      <c r="C3573" s="257" t="s">
        <v>11257</v>
      </c>
      <c r="D3573" s="9">
        <v>3.9201453325315272E-2</v>
      </c>
      <c r="E3573" s="9">
        <v>1728561.5107574463</v>
      </c>
      <c r="F3573" s="257" t="s">
        <v>15850</v>
      </c>
      <c r="G3573" s="9"/>
      <c r="H3573" s="257" t="s">
        <v>21685</v>
      </c>
      <c r="I3573" s="9">
        <v>2</v>
      </c>
    </row>
    <row r="3574" spans="1:9">
      <c r="A3574" s="257" t="s">
        <v>4672</v>
      </c>
      <c r="B3574" s="9">
        <v>4</v>
      </c>
      <c r="C3574" s="257" t="s">
        <v>11257</v>
      </c>
      <c r="D3574" s="9"/>
      <c r="E3574" s="9">
        <v>1728561.5107574463</v>
      </c>
      <c r="F3574" s="257" t="s">
        <v>15851</v>
      </c>
      <c r="G3574" s="9"/>
      <c r="H3574" s="257" t="s">
        <v>21686</v>
      </c>
      <c r="I3574" s="9">
        <v>2</v>
      </c>
    </row>
    <row r="3575" spans="1:9">
      <c r="A3575" s="257" t="s">
        <v>4673</v>
      </c>
      <c r="B3575" s="9">
        <v>4</v>
      </c>
      <c r="C3575" s="257" t="s">
        <v>11257</v>
      </c>
      <c r="D3575" s="9">
        <v>4.0190447505472238E-2</v>
      </c>
      <c r="E3575" s="9">
        <v>1728561.5107574463</v>
      </c>
      <c r="F3575" s="257" t="s">
        <v>15852</v>
      </c>
      <c r="G3575" s="9"/>
      <c r="H3575" s="257" t="s">
        <v>21687</v>
      </c>
      <c r="I3575" s="9">
        <v>2</v>
      </c>
    </row>
    <row r="3576" spans="1:9">
      <c r="A3576" s="257" t="s">
        <v>4674</v>
      </c>
      <c r="B3576" s="9">
        <v>4</v>
      </c>
      <c r="C3576" s="257" t="s">
        <v>11257</v>
      </c>
      <c r="D3576" s="9">
        <v>4.4675356504297117E-2</v>
      </c>
      <c r="E3576" s="9">
        <v>1728561.5107574463</v>
      </c>
      <c r="F3576" s="257" t="s">
        <v>15853</v>
      </c>
      <c r="G3576" s="9"/>
      <c r="H3576" s="257" t="s">
        <v>21688</v>
      </c>
      <c r="I3576" s="9">
        <v>2</v>
      </c>
    </row>
    <row r="3577" spans="1:9">
      <c r="A3577" s="257" t="s">
        <v>4675</v>
      </c>
      <c r="B3577" s="9">
        <v>4</v>
      </c>
      <c r="C3577" s="257" t="s">
        <v>11257</v>
      </c>
      <c r="D3577" s="9"/>
      <c r="E3577" s="9">
        <v>1728561.5107574463</v>
      </c>
      <c r="F3577" s="257" t="s">
        <v>15854</v>
      </c>
      <c r="G3577" s="9"/>
      <c r="H3577" s="257" t="s">
        <v>21689</v>
      </c>
      <c r="I3577" s="9">
        <v>2</v>
      </c>
    </row>
    <row r="3578" spans="1:9">
      <c r="A3578" s="257" t="s">
        <v>4676</v>
      </c>
      <c r="B3578" s="9">
        <v>4</v>
      </c>
      <c r="C3578" s="257" t="s">
        <v>11257</v>
      </c>
      <c r="D3578" s="9">
        <v>5.8354640922200288E-2</v>
      </c>
      <c r="E3578" s="9">
        <v>1728561.5107574463</v>
      </c>
      <c r="F3578" s="257" t="s">
        <v>15855</v>
      </c>
      <c r="G3578" s="9"/>
      <c r="H3578" s="257" t="s">
        <v>21690</v>
      </c>
      <c r="I3578" s="9">
        <v>2</v>
      </c>
    </row>
    <row r="3579" spans="1:9">
      <c r="A3579" s="257" t="s">
        <v>4677</v>
      </c>
      <c r="B3579" s="9">
        <v>4</v>
      </c>
      <c r="C3579" s="257" t="s">
        <v>11257</v>
      </c>
      <c r="D3579" s="9">
        <v>4.5045673799941462E-2</v>
      </c>
      <c r="E3579" s="9">
        <v>1728561.5107574463</v>
      </c>
      <c r="F3579" s="257" t="s">
        <v>15856</v>
      </c>
      <c r="G3579" s="9"/>
      <c r="H3579" s="257" t="s">
        <v>21691</v>
      </c>
      <c r="I3579" s="9">
        <v>2</v>
      </c>
    </row>
    <row r="3580" spans="1:9">
      <c r="A3580" s="257" t="s">
        <v>4678</v>
      </c>
      <c r="B3580" s="9">
        <v>4</v>
      </c>
      <c r="C3580" s="257" t="s">
        <v>11257</v>
      </c>
      <c r="D3580" s="9">
        <v>4.5779260845661487E-2</v>
      </c>
      <c r="E3580" s="9">
        <v>1728561.5107574463</v>
      </c>
      <c r="F3580" s="257" t="s">
        <v>15857</v>
      </c>
      <c r="G3580" s="9"/>
      <c r="H3580" s="257" t="s">
        <v>21692</v>
      </c>
      <c r="I3580" s="9">
        <v>2</v>
      </c>
    </row>
    <row r="3581" spans="1:9">
      <c r="A3581" s="257" t="s">
        <v>4679</v>
      </c>
      <c r="B3581" s="9">
        <v>4</v>
      </c>
      <c r="C3581" s="257" t="s">
        <v>11257</v>
      </c>
      <c r="D3581" s="9">
        <v>4.4675356504297117E-2</v>
      </c>
      <c r="E3581" s="9">
        <v>1728561.5107574463</v>
      </c>
      <c r="F3581" s="257" t="s">
        <v>15858</v>
      </c>
      <c r="G3581" s="9"/>
      <c r="H3581" s="257" t="s">
        <v>21693</v>
      </c>
      <c r="I3581" s="9">
        <v>2</v>
      </c>
    </row>
    <row r="3582" spans="1:9">
      <c r="A3582" s="257" t="s">
        <v>4680</v>
      </c>
      <c r="B3582" s="9">
        <v>5</v>
      </c>
      <c r="C3582" s="257" t="s">
        <v>11257</v>
      </c>
      <c r="D3582" s="9">
        <v>4.4962651424182438E-2</v>
      </c>
      <c r="E3582" s="9">
        <v>1724465.2324523926</v>
      </c>
      <c r="F3582" s="257" t="s">
        <v>15859</v>
      </c>
      <c r="G3582" s="9"/>
      <c r="H3582" s="257" t="s">
        <v>21694</v>
      </c>
      <c r="I3582" s="9">
        <v>2</v>
      </c>
    </row>
    <row r="3583" spans="1:9">
      <c r="A3583" s="257" t="s">
        <v>4681</v>
      </c>
      <c r="B3583" s="9">
        <v>5</v>
      </c>
      <c r="C3583" s="257" t="s">
        <v>11257</v>
      </c>
      <c r="D3583" s="9">
        <v>5.2426945031584793E-2</v>
      </c>
      <c r="E3583" s="9">
        <v>1724465.2324523926</v>
      </c>
      <c r="F3583" s="257" t="s">
        <v>15860</v>
      </c>
      <c r="G3583" s="9"/>
      <c r="H3583" s="257" t="s">
        <v>21695</v>
      </c>
      <c r="I3583" s="9">
        <v>2</v>
      </c>
    </row>
    <row r="3584" spans="1:9">
      <c r="A3584" s="257" t="s">
        <v>4682</v>
      </c>
      <c r="B3584" s="9">
        <v>5</v>
      </c>
      <c r="C3584" s="257" t="s">
        <v>11257</v>
      </c>
      <c r="D3584" s="9">
        <v>9.5647078387357722E-3</v>
      </c>
      <c r="E3584" s="9">
        <v>1724465.2324523926</v>
      </c>
      <c r="F3584" s="257" t="s">
        <v>15861</v>
      </c>
      <c r="G3584" s="9"/>
      <c r="H3584" s="257" t="s">
        <v>21696</v>
      </c>
      <c r="I3584" s="9">
        <v>2</v>
      </c>
    </row>
    <row r="3585" spans="1:9">
      <c r="A3585" s="257" t="s">
        <v>4683</v>
      </c>
      <c r="B3585" s="9">
        <v>5</v>
      </c>
      <c r="C3585" s="257" t="s">
        <v>11257</v>
      </c>
      <c r="D3585" s="9">
        <v>5.7235855386778577E-2</v>
      </c>
      <c r="E3585" s="9">
        <v>1724465.2324523926</v>
      </c>
      <c r="F3585" s="257" t="s">
        <v>15862</v>
      </c>
      <c r="G3585" s="9"/>
      <c r="H3585" s="257" t="s">
        <v>21697</v>
      </c>
      <c r="I3585" s="9">
        <v>2</v>
      </c>
    </row>
    <row r="3586" spans="1:9">
      <c r="A3586" s="257" t="s">
        <v>4684</v>
      </c>
      <c r="B3586" s="9">
        <v>5</v>
      </c>
      <c r="C3586" s="257" t="s">
        <v>11257</v>
      </c>
      <c r="D3586" s="9">
        <v>5.3452922838709907E-2</v>
      </c>
      <c r="E3586" s="9">
        <v>1724465.2324523926</v>
      </c>
      <c r="F3586" s="257" t="s">
        <v>15863</v>
      </c>
      <c r="G3586" s="9"/>
      <c r="H3586" s="257" t="s">
        <v>21698</v>
      </c>
      <c r="I3586" s="9">
        <v>2</v>
      </c>
    </row>
    <row r="3587" spans="1:9">
      <c r="A3587" s="257" t="s">
        <v>4685</v>
      </c>
      <c r="B3587" s="9">
        <v>5</v>
      </c>
      <c r="C3587" s="257" t="s">
        <v>11257</v>
      </c>
      <c r="D3587" s="9"/>
      <c r="E3587" s="9">
        <v>1724465.2324523926</v>
      </c>
      <c r="F3587" s="257" t="s">
        <v>15864</v>
      </c>
      <c r="G3587" s="9"/>
      <c r="H3587" s="257" t="s">
        <v>21699</v>
      </c>
      <c r="I3587" s="9">
        <v>2</v>
      </c>
    </row>
    <row r="3588" spans="1:9">
      <c r="A3588" s="257" t="s">
        <v>4686</v>
      </c>
      <c r="B3588" s="9">
        <v>5</v>
      </c>
      <c r="C3588" s="257" t="s">
        <v>11257</v>
      </c>
      <c r="D3588" s="9"/>
      <c r="E3588" s="9">
        <v>1724465.2324523926</v>
      </c>
      <c r="F3588" s="257" t="s">
        <v>15865</v>
      </c>
      <c r="G3588" s="9"/>
      <c r="H3588" s="257" t="s">
        <v>21700</v>
      </c>
      <c r="I3588" s="9">
        <v>2</v>
      </c>
    </row>
    <row r="3589" spans="1:9">
      <c r="A3589" s="257" t="s">
        <v>4687</v>
      </c>
      <c r="B3589" s="9">
        <v>5</v>
      </c>
      <c r="C3589" s="257" t="s">
        <v>11257</v>
      </c>
      <c r="D3589" s="9">
        <v>6.8156677179737779E-2</v>
      </c>
      <c r="E3589" s="9">
        <v>1724465.2324523926</v>
      </c>
      <c r="F3589" s="257" t="s">
        <v>15866</v>
      </c>
      <c r="G3589" s="9"/>
      <c r="H3589" s="257" t="s">
        <v>21701</v>
      </c>
      <c r="I3589" s="9">
        <v>2</v>
      </c>
    </row>
    <row r="3590" spans="1:9">
      <c r="A3590" s="257" t="s">
        <v>4688</v>
      </c>
      <c r="B3590" s="9">
        <v>5</v>
      </c>
      <c r="C3590" s="257" t="s">
        <v>11257</v>
      </c>
      <c r="D3590" s="9">
        <v>5.6885383996386207E-2</v>
      </c>
      <c r="E3590" s="9">
        <v>1724465.2324523926</v>
      </c>
      <c r="F3590" s="257" t="s">
        <v>15867</v>
      </c>
      <c r="G3590" s="9"/>
      <c r="H3590" s="257" t="s">
        <v>21702</v>
      </c>
      <c r="I3590" s="9">
        <v>2</v>
      </c>
    </row>
    <row r="3591" spans="1:9">
      <c r="A3591" s="257" t="s">
        <v>4689</v>
      </c>
      <c r="B3591" s="9">
        <v>5</v>
      </c>
      <c r="C3591" s="257" t="s">
        <v>11257</v>
      </c>
      <c r="D3591" s="9">
        <v>5.8565203957735533E-2</v>
      </c>
      <c r="E3591" s="9">
        <v>1724465.2324523926</v>
      </c>
      <c r="F3591" s="257" t="s">
        <v>15868</v>
      </c>
      <c r="G3591" s="9"/>
      <c r="H3591" s="257" t="s">
        <v>21703</v>
      </c>
      <c r="I3591" s="9">
        <v>2</v>
      </c>
    </row>
    <row r="3592" spans="1:9">
      <c r="A3592" s="257" t="s">
        <v>4690</v>
      </c>
      <c r="B3592" s="9">
        <v>5</v>
      </c>
      <c r="C3592" s="257" t="s">
        <v>11257</v>
      </c>
      <c r="D3592" s="9">
        <v>4.553168747092648E-2</v>
      </c>
      <c r="E3592" s="9">
        <v>1724465.2324523926</v>
      </c>
      <c r="F3592" s="257" t="s">
        <v>15869</v>
      </c>
      <c r="G3592" s="9"/>
      <c r="H3592" s="257" t="s">
        <v>21704</v>
      </c>
      <c r="I3592" s="9">
        <v>2</v>
      </c>
    </row>
    <row r="3593" spans="1:9">
      <c r="A3593" s="257" t="s">
        <v>4691</v>
      </c>
      <c r="B3593" s="9">
        <v>5</v>
      </c>
      <c r="C3593" s="257" t="s">
        <v>11257</v>
      </c>
      <c r="D3593" s="9">
        <v>3.8612168346694169E-2</v>
      </c>
      <c r="E3593" s="9">
        <v>1724465.2324523926</v>
      </c>
      <c r="F3593" s="257" t="s">
        <v>15870</v>
      </c>
      <c r="G3593" s="9"/>
      <c r="H3593" s="257" t="s">
        <v>21705</v>
      </c>
      <c r="I3593" s="9">
        <v>2</v>
      </c>
    </row>
    <row r="3594" spans="1:9">
      <c r="A3594" s="257" t="s">
        <v>4692</v>
      </c>
      <c r="B3594" s="9">
        <v>5</v>
      </c>
      <c r="C3594" s="257" t="s">
        <v>11257</v>
      </c>
      <c r="D3594" s="9">
        <v>5.2080950288095965E-2</v>
      </c>
      <c r="E3594" s="9">
        <v>1724465.2324523926</v>
      </c>
      <c r="F3594" s="257" t="s">
        <v>15871</v>
      </c>
      <c r="G3594" s="9"/>
      <c r="H3594" s="257" t="s">
        <v>21706</v>
      </c>
      <c r="I3594" s="9">
        <v>2</v>
      </c>
    </row>
    <row r="3595" spans="1:9">
      <c r="A3595" s="257" t="s">
        <v>4693</v>
      </c>
      <c r="B3595" s="9">
        <v>5</v>
      </c>
      <c r="C3595" s="257" t="s">
        <v>11257</v>
      </c>
      <c r="D3595" s="9">
        <v>6.9262926254852669E-2</v>
      </c>
      <c r="E3595" s="9">
        <v>1724465.2324523926</v>
      </c>
      <c r="F3595" s="257" t="s">
        <v>15872</v>
      </c>
      <c r="G3595" s="9"/>
      <c r="H3595" s="257" t="s">
        <v>21707</v>
      </c>
      <c r="I3595" s="9">
        <v>2</v>
      </c>
    </row>
    <row r="3596" spans="1:9">
      <c r="A3596" s="257" t="s">
        <v>4694</v>
      </c>
      <c r="B3596" s="9">
        <v>5</v>
      </c>
      <c r="C3596" s="257" t="s">
        <v>11257</v>
      </c>
      <c r="D3596" s="9">
        <v>5.1954030817576609E-2</v>
      </c>
      <c r="E3596" s="9">
        <v>1724465.2324523926</v>
      </c>
      <c r="F3596" s="257" t="s">
        <v>15873</v>
      </c>
      <c r="G3596" s="9"/>
      <c r="H3596" s="257" t="s">
        <v>21708</v>
      </c>
      <c r="I3596" s="9">
        <v>2</v>
      </c>
    </row>
    <row r="3597" spans="1:9">
      <c r="A3597" s="257" t="s">
        <v>4695</v>
      </c>
      <c r="B3597" s="9">
        <v>5</v>
      </c>
      <c r="C3597" s="257" t="s">
        <v>11257</v>
      </c>
      <c r="D3597" s="9"/>
      <c r="E3597" s="9">
        <v>1724465.2324523926</v>
      </c>
      <c r="F3597" s="257" t="s">
        <v>15874</v>
      </c>
      <c r="G3597" s="9"/>
      <c r="H3597" s="257" t="s">
        <v>21709</v>
      </c>
      <c r="I3597" s="9">
        <v>2</v>
      </c>
    </row>
    <row r="3598" spans="1:9">
      <c r="A3598" s="257" t="s">
        <v>4696</v>
      </c>
      <c r="B3598" s="9">
        <v>5</v>
      </c>
      <c r="C3598" s="257" t="s">
        <v>11257</v>
      </c>
      <c r="D3598" s="9"/>
      <c r="E3598" s="9">
        <v>1724465.2324523926</v>
      </c>
      <c r="F3598" s="257" t="s">
        <v>15875</v>
      </c>
      <c r="G3598" s="9"/>
      <c r="H3598" s="257" t="s">
        <v>21710</v>
      </c>
      <c r="I3598" s="9">
        <v>2</v>
      </c>
    </row>
    <row r="3599" spans="1:9">
      <c r="A3599" s="257" t="s">
        <v>4697</v>
      </c>
      <c r="B3599" s="9">
        <v>5</v>
      </c>
      <c r="C3599" s="257" t="s">
        <v>11257</v>
      </c>
      <c r="D3599" s="9">
        <v>5.1762907149682812E-2</v>
      </c>
      <c r="E3599" s="9">
        <v>1724465.2324523926</v>
      </c>
      <c r="F3599" s="257" t="s">
        <v>15876</v>
      </c>
      <c r="G3599" s="9"/>
      <c r="H3599" s="257" t="s">
        <v>21711</v>
      </c>
      <c r="I3599" s="9">
        <v>2</v>
      </c>
    </row>
    <row r="3600" spans="1:9">
      <c r="A3600" s="257" t="s">
        <v>4698</v>
      </c>
      <c r="B3600" s="9">
        <v>5</v>
      </c>
      <c r="C3600" s="257" t="s">
        <v>11257</v>
      </c>
      <c r="D3600" s="9">
        <v>5.5971335361112207E-2</v>
      </c>
      <c r="E3600" s="9">
        <v>1724465.2324523926</v>
      </c>
      <c r="F3600" s="257" t="s">
        <v>15877</v>
      </c>
      <c r="G3600" s="9"/>
      <c r="H3600" s="257" t="s">
        <v>21712</v>
      </c>
      <c r="I3600" s="9">
        <v>2</v>
      </c>
    </row>
    <row r="3601" spans="1:9">
      <c r="A3601" s="257" t="s">
        <v>4699</v>
      </c>
      <c r="B3601" s="9">
        <v>5</v>
      </c>
      <c r="C3601" s="257" t="s">
        <v>11257</v>
      </c>
      <c r="D3601" s="9">
        <v>5.6896816863228311E-2</v>
      </c>
      <c r="E3601" s="9">
        <v>1724465.2324523926</v>
      </c>
      <c r="F3601" s="257" t="s">
        <v>15878</v>
      </c>
      <c r="G3601" s="9"/>
      <c r="H3601" s="257" t="s">
        <v>21713</v>
      </c>
      <c r="I3601" s="9">
        <v>2</v>
      </c>
    </row>
    <row r="3602" spans="1:9">
      <c r="A3602" s="257" t="s">
        <v>4700</v>
      </c>
      <c r="B3602" s="9">
        <v>5</v>
      </c>
      <c r="C3602" s="257" t="s">
        <v>11257</v>
      </c>
      <c r="D3602" s="9"/>
      <c r="E3602" s="9">
        <v>1724465.2324523926</v>
      </c>
      <c r="F3602" s="257" t="s">
        <v>15879</v>
      </c>
      <c r="G3602" s="9"/>
      <c r="H3602" s="257" t="s">
        <v>21714</v>
      </c>
      <c r="I3602" s="9">
        <v>2</v>
      </c>
    </row>
    <row r="3603" spans="1:9">
      <c r="A3603" s="257" t="s">
        <v>4701</v>
      </c>
      <c r="B3603" s="9">
        <v>5</v>
      </c>
      <c r="C3603" s="257" t="s">
        <v>11257</v>
      </c>
      <c r="D3603" s="9">
        <v>5.6896816863228311E-2</v>
      </c>
      <c r="E3603" s="9">
        <v>1724465.2324523926</v>
      </c>
      <c r="F3603" s="257" t="s">
        <v>15880</v>
      </c>
      <c r="G3603" s="9"/>
      <c r="H3603" s="257" t="s">
        <v>21715</v>
      </c>
      <c r="I3603" s="9">
        <v>2</v>
      </c>
    </row>
    <row r="3604" spans="1:9">
      <c r="A3604" s="257" t="s">
        <v>4702</v>
      </c>
      <c r="B3604" s="9">
        <v>5</v>
      </c>
      <c r="C3604" s="257" t="s">
        <v>11257</v>
      </c>
      <c r="D3604" s="9">
        <v>5.7235855386778577E-2</v>
      </c>
      <c r="E3604" s="9">
        <v>1724465.2324523926</v>
      </c>
      <c r="F3604" s="257" t="s">
        <v>15881</v>
      </c>
      <c r="G3604" s="9"/>
      <c r="H3604" s="257" t="s">
        <v>21716</v>
      </c>
      <c r="I3604" s="9">
        <v>2</v>
      </c>
    </row>
    <row r="3605" spans="1:9">
      <c r="A3605" s="257" t="s">
        <v>4703</v>
      </c>
      <c r="B3605" s="9">
        <v>5</v>
      </c>
      <c r="C3605" s="257" t="s">
        <v>11257</v>
      </c>
      <c r="D3605" s="9">
        <v>5.5903776279032577E-2</v>
      </c>
      <c r="E3605" s="9">
        <v>1724465.2324523926</v>
      </c>
      <c r="F3605" s="257" t="s">
        <v>15882</v>
      </c>
      <c r="G3605" s="9"/>
      <c r="H3605" s="257" t="s">
        <v>21717</v>
      </c>
      <c r="I3605" s="9">
        <v>2</v>
      </c>
    </row>
    <row r="3606" spans="1:9">
      <c r="A3606" s="257" t="s">
        <v>4704</v>
      </c>
      <c r="B3606" s="9">
        <v>5</v>
      </c>
      <c r="C3606" s="257" t="s">
        <v>11257</v>
      </c>
      <c r="D3606" s="9"/>
      <c r="E3606" s="9">
        <v>1724465.2324523926</v>
      </c>
      <c r="F3606" s="257" t="s">
        <v>15883</v>
      </c>
      <c r="G3606" s="9"/>
      <c r="H3606" s="257" t="s">
        <v>21718</v>
      </c>
      <c r="I3606" s="9">
        <v>2</v>
      </c>
    </row>
    <row r="3607" spans="1:9">
      <c r="A3607" s="257" t="s">
        <v>4705</v>
      </c>
      <c r="B3607" s="9">
        <v>6</v>
      </c>
      <c r="C3607" s="257" t="s">
        <v>11257</v>
      </c>
      <c r="D3607" s="9">
        <v>6.312123584585376E-2</v>
      </c>
      <c r="E3607" s="9">
        <v>1727309.5965805054</v>
      </c>
      <c r="F3607" s="257" t="s">
        <v>15884</v>
      </c>
      <c r="G3607" s="9"/>
      <c r="H3607" s="257" t="s">
        <v>21719</v>
      </c>
      <c r="I3607" s="9">
        <v>2</v>
      </c>
    </row>
    <row r="3608" spans="1:9">
      <c r="A3608" s="257" t="s">
        <v>4706</v>
      </c>
      <c r="B3608" s="9">
        <v>6</v>
      </c>
      <c r="C3608" s="257" t="s">
        <v>11257</v>
      </c>
      <c r="D3608" s="9"/>
      <c r="E3608" s="9">
        <v>1727309.5965805054</v>
      </c>
      <c r="F3608" s="257" t="s">
        <v>15885</v>
      </c>
      <c r="G3608" s="9"/>
      <c r="H3608" s="257" t="s">
        <v>21720</v>
      </c>
      <c r="I3608" s="9">
        <v>2</v>
      </c>
    </row>
    <row r="3609" spans="1:9">
      <c r="A3609" s="257" t="s">
        <v>4707</v>
      </c>
      <c r="B3609" s="9">
        <v>6</v>
      </c>
      <c r="C3609" s="257" t="s">
        <v>11257</v>
      </c>
      <c r="D3609" s="9">
        <v>8.1353075837813579E-2</v>
      </c>
      <c r="E3609" s="9">
        <v>1727309.5965805054</v>
      </c>
      <c r="F3609" s="257" t="s">
        <v>15886</v>
      </c>
      <c r="G3609" s="9"/>
      <c r="H3609" s="257" t="s">
        <v>21721</v>
      </c>
      <c r="I3609" s="9">
        <v>2</v>
      </c>
    </row>
    <row r="3610" spans="1:9">
      <c r="A3610" s="257" t="s">
        <v>4708</v>
      </c>
      <c r="B3610" s="9">
        <v>6</v>
      </c>
      <c r="C3610" s="257" t="s">
        <v>11257</v>
      </c>
      <c r="D3610" s="9"/>
      <c r="E3610" s="9">
        <v>1727309.5965805054</v>
      </c>
      <c r="F3610" s="257" t="s">
        <v>15887</v>
      </c>
      <c r="G3610" s="9"/>
      <c r="H3610" s="257" t="s">
        <v>21722</v>
      </c>
      <c r="I3610" s="9">
        <v>2</v>
      </c>
    </row>
    <row r="3611" spans="1:9">
      <c r="A3611" s="257" t="s">
        <v>4709</v>
      </c>
      <c r="B3611" s="9">
        <v>6</v>
      </c>
      <c r="C3611" s="257" t="s">
        <v>11257</v>
      </c>
      <c r="D3611" s="9">
        <v>7.9896364354204788E-2</v>
      </c>
      <c r="E3611" s="9">
        <v>1727309.5965805054</v>
      </c>
      <c r="F3611" s="257" t="s">
        <v>15888</v>
      </c>
      <c r="G3611" s="9"/>
      <c r="H3611" s="257" t="s">
        <v>21723</v>
      </c>
      <c r="I3611" s="9">
        <v>2</v>
      </c>
    </row>
    <row r="3612" spans="1:9">
      <c r="A3612" s="257" t="s">
        <v>4710</v>
      </c>
      <c r="B3612" s="9">
        <v>6</v>
      </c>
      <c r="C3612" s="257" t="s">
        <v>11257</v>
      </c>
      <c r="D3612" s="9">
        <v>7.6585967989752715E-2</v>
      </c>
      <c r="E3612" s="9">
        <v>1727309.5965805054</v>
      </c>
      <c r="F3612" s="257" t="s">
        <v>15889</v>
      </c>
      <c r="G3612" s="9"/>
      <c r="H3612" s="257" t="s">
        <v>21724</v>
      </c>
      <c r="I3612" s="9">
        <v>2</v>
      </c>
    </row>
    <row r="3613" spans="1:9">
      <c r="A3613" s="257" t="s">
        <v>4711</v>
      </c>
      <c r="B3613" s="9">
        <v>6</v>
      </c>
      <c r="C3613" s="257" t="s">
        <v>11257</v>
      </c>
      <c r="D3613" s="9">
        <v>7.9489743203614238E-2</v>
      </c>
      <c r="E3613" s="9">
        <v>1727309.5965805054</v>
      </c>
      <c r="F3613" s="257" t="s">
        <v>15890</v>
      </c>
      <c r="G3613" s="9"/>
      <c r="H3613" s="257" t="s">
        <v>21725</v>
      </c>
      <c r="I3613" s="9">
        <v>2</v>
      </c>
    </row>
    <row r="3614" spans="1:9">
      <c r="A3614" s="257" t="s">
        <v>4712</v>
      </c>
      <c r="B3614" s="9">
        <v>6</v>
      </c>
      <c r="C3614" s="257" t="s">
        <v>11257</v>
      </c>
      <c r="D3614" s="9">
        <v>7.7946577550652235E-2</v>
      </c>
      <c r="E3614" s="9">
        <v>1727309.5965805054</v>
      </c>
      <c r="F3614" s="257" t="s">
        <v>15891</v>
      </c>
      <c r="G3614" s="9"/>
      <c r="H3614" s="257" t="s">
        <v>21726</v>
      </c>
      <c r="I3614" s="9">
        <v>2</v>
      </c>
    </row>
    <row r="3615" spans="1:9">
      <c r="A3615" s="257" t="s">
        <v>4713</v>
      </c>
      <c r="B3615" s="9">
        <v>6</v>
      </c>
      <c r="C3615" s="257" t="s">
        <v>11257</v>
      </c>
      <c r="D3615" s="9">
        <v>5.7175895232142122E-2</v>
      </c>
      <c r="E3615" s="9">
        <v>1727309.5965805054</v>
      </c>
      <c r="F3615" s="257" t="s">
        <v>15892</v>
      </c>
      <c r="G3615" s="9"/>
      <c r="H3615" s="257" t="s">
        <v>21727</v>
      </c>
      <c r="I3615" s="9">
        <v>2</v>
      </c>
    </row>
    <row r="3616" spans="1:9">
      <c r="A3616" s="257" t="s">
        <v>4714</v>
      </c>
      <c r="B3616" s="9">
        <v>6</v>
      </c>
      <c r="C3616" s="257" t="s">
        <v>11257</v>
      </c>
      <c r="D3616" s="9"/>
      <c r="E3616" s="9">
        <v>1727309.5965805054</v>
      </c>
      <c r="F3616" s="257" t="s">
        <v>15893</v>
      </c>
      <c r="G3616" s="9"/>
      <c r="H3616" s="257" t="s">
        <v>21728</v>
      </c>
      <c r="I3616" s="9">
        <v>2</v>
      </c>
    </row>
    <row r="3617" spans="1:9">
      <c r="A3617" s="257" t="s">
        <v>4715</v>
      </c>
      <c r="B3617" s="9">
        <v>6</v>
      </c>
      <c r="C3617" s="257" t="s">
        <v>11257</v>
      </c>
      <c r="D3617" s="9">
        <v>7.9909807599407384E-2</v>
      </c>
      <c r="E3617" s="9">
        <v>1727309.5965805054</v>
      </c>
      <c r="F3617" s="257" t="s">
        <v>15894</v>
      </c>
      <c r="G3617" s="9"/>
      <c r="H3617" s="257" t="s">
        <v>21729</v>
      </c>
      <c r="I3617" s="9">
        <v>2</v>
      </c>
    </row>
    <row r="3618" spans="1:9">
      <c r="A3618" s="257" t="s">
        <v>4716</v>
      </c>
      <c r="B3618" s="9">
        <v>6</v>
      </c>
      <c r="C3618" s="257" t="s">
        <v>11257</v>
      </c>
      <c r="D3618" s="9">
        <v>3.9061917323978228E-2</v>
      </c>
      <c r="E3618" s="9">
        <v>1727309.5965805054</v>
      </c>
      <c r="F3618" s="257" t="s">
        <v>15895</v>
      </c>
      <c r="G3618" s="9"/>
      <c r="H3618" s="257" t="s">
        <v>21730</v>
      </c>
      <c r="I3618" s="9">
        <v>2</v>
      </c>
    </row>
    <row r="3619" spans="1:9">
      <c r="A3619" s="257" t="s">
        <v>4717</v>
      </c>
      <c r="B3619" s="9">
        <v>6</v>
      </c>
      <c r="C3619" s="257" t="s">
        <v>11257</v>
      </c>
      <c r="D3619" s="9">
        <v>6.84186092233625E-2</v>
      </c>
      <c r="E3619" s="9">
        <v>1727309.5965805054</v>
      </c>
      <c r="F3619" s="257" t="s">
        <v>15896</v>
      </c>
      <c r="G3619" s="9"/>
      <c r="H3619" s="257" t="s">
        <v>21731</v>
      </c>
      <c r="I3619" s="9">
        <v>2</v>
      </c>
    </row>
    <row r="3620" spans="1:9">
      <c r="A3620" s="257" t="s">
        <v>4718</v>
      </c>
      <c r="B3620" s="9">
        <v>6</v>
      </c>
      <c r="C3620" s="257" t="s">
        <v>11257</v>
      </c>
      <c r="D3620" s="9">
        <v>7.2303243997629218E-2</v>
      </c>
      <c r="E3620" s="9">
        <v>1727309.5965805054</v>
      </c>
      <c r="F3620" s="257" t="s">
        <v>15897</v>
      </c>
      <c r="G3620" s="9"/>
      <c r="H3620" s="257" t="s">
        <v>21732</v>
      </c>
      <c r="I3620" s="9">
        <v>2</v>
      </c>
    </row>
    <row r="3621" spans="1:9">
      <c r="A3621" s="257" t="s">
        <v>4719</v>
      </c>
      <c r="B3621" s="9">
        <v>6</v>
      </c>
      <c r="C3621" s="257" t="s">
        <v>11257</v>
      </c>
      <c r="D3621" s="9">
        <v>7.9489743203614238E-2</v>
      </c>
      <c r="E3621" s="9">
        <v>1727309.5965805054</v>
      </c>
      <c r="F3621" s="257" t="s">
        <v>15898</v>
      </c>
      <c r="G3621" s="9"/>
      <c r="H3621" s="257" t="s">
        <v>21733</v>
      </c>
      <c r="I3621" s="9">
        <v>2</v>
      </c>
    </row>
    <row r="3622" spans="1:9">
      <c r="A3622" s="257" t="s">
        <v>4720</v>
      </c>
      <c r="B3622" s="9">
        <v>6</v>
      </c>
      <c r="C3622" s="257" t="s">
        <v>11257</v>
      </c>
      <c r="D3622" s="9">
        <v>7.9932250237260541E-2</v>
      </c>
      <c r="E3622" s="9">
        <v>1727309.5965805054</v>
      </c>
      <c r="F3622" s="257" t="s">
        <v>15899</v>
      </c>
      <c r="G3622" s="9"/>
      <c r="H3622" s="257" t="s">
        <v>21734</v>
      </c>
      <c r="I3622" s="9">
        <v>2</v>
      </c>
    </row>
    <row r="3623" spans="1:9">
      <c r="A3623" s="257" t="s">
        <v>4721</v>
      </c>
      <c r="B3623" s="9">
        <v>6</v>
      </c>
      <c r="C3623" s="257" t="s">
        <v>11257</v>
      </c>
      <c r="D3623" s="9">
        <v>7.4407416941388291E-2</v>
      </c>
      <c r="E3623" s="9">
        <v>1727309.5965805054</v>
      </c>
      <c r="F3623" s="257" t="s">
        <v>15900</v>
      </c>
      <c r="G3623" s="9"/>
      <c r="H3623" s="257" t="s">
        <v>21735</v>
      </c>
      <c r="I3623" s="9">
        <v>2</v>
      </c>
    </row>
    <row r="3624" spans="1:9">
      <c r="A3624" s="257" t="s">
        <v>4722</v>
      </c>
      <c r="B3624" s="9">
        <v>6</v>
      </c>
      <c r="C3624" s="257" t="s">
        <v>11257</v>
      </c>
      <c r="D3624" s="9"/>
      <c r="E3624" s="9">
        <v>1727309.5965805054</v>
      </c>
      <c r="F3624" s="257" t="s">
        <v>15901</v>
      </c>
      <c r="G3624" s="9"/>
      <c r="H3624" s="257" t="s">
        <v>21736</v>
      </c>
      <c r="I3624" s="9">
        <v>2</v>
      </c>
    </row>
    <row r="3625" spans="1:9">
      <c r="A3625" s="257" t="s">
        <v>4723</v>
      </c>
      <c r="B3625" s="9">
        <v>6</v>
      </c>
      <c r="C3625" s="257" t="s">
        <v>11257</v>
      </c>
      <c r="D3625" s="9"/>
      <c r="E3625" s="9">
        <v>1727309.5965805054</v>
      </c>
      <c r="F3625" s="257" t="s">
        <v>15902</v>
      </c>
      <c r="G3625" s="9"/>
      <c r="H3625" s="257" t="s">
        <v>21737</v>
      </c>
      <c r="I3625" s="9">
        <v>2</v>
      </c>
    </row>
    <row r="3626" spans="1:9">
      <c r="A3626" s="257" t="s">
        <v>4724</v>
      </c>
      <c r="B3626" s="9">
        <v>6</v>
      </c>
      <c r="C3626" s="257" t="s">
        <v>11257</v>
      </c>
      <c r="D3626" s="9">
        <v>7.2475931799384274E-2</v>
      </c>
      <c r="E3626" s="9">
        <v>1727309.5965805054</v>
      </c>
      <c r="F3626" s="257" t="s">
        <v>15903</v>
      </c>
      <c r="G3626" s="9"/>
      <c r="H3626" s="257" t="s">
        <v>21738</v>
      </c>
      <c r="I3626" s="9">
        <v>2</v>
      </c>
    </row>
    <row r="3627" spans="1:9">
      <c r="A3627" s="257" t="s">
        <v>4725</v>
      </c>
      <c r="B3627" s="9">
        <v>6</v>
      </c>
      <c r="C3627" s="257" t="s">
        <v>11257</v>
      </c>
      <c r="D3627" s="9">
        <v>7.7946577550652235E-2</v>
      </c>
      <c r="E3627" s="9">
        <v>1727309.5965805054</v>
      </c>
      <c r="F3627" s="257" t="s">
        <v>15904</v>
      </c>
      <c r="G3627" s="9"/>
      <c r="H3627" s="257" t="s">
        <v>21739</v>
      </c>
      <c r="I3627" s="9">
        <v>2</v>
      </c>
    </row>
    <row r="3628" spans="1:9">
      <c r="A3628" s="257" t="s">
        <v>4726</v>
      </c>
      <c r="B3628" s="9">
        <v>6</v>
      </c>
      <c r="C3628" s="257" t="s">
        <v>11257</v>
      </c>
      <c r="D3628" s="9">
        <v>7.7894539784439415E-2</v>
      </c>
      <c r="E3628" s="9">
        <v>1727309.5965805054</v>
      </c>
      <c r="F3628" s="257" t="s">
        <v>15905</v>
      </c>
      <c r="G3628" s="9"/>
      <c r="H3628" s="257" t="s">
        <v>21740</v>
      </c>
      <c r="I3628" s="9">
        <v>2</v>
      </c>
    </row>
    <row r="3629" spans="1:9">
      <c r="A3629" s="257" t="s">
        <v>4727</v>
      </c>
      <c r="B3629" s="9">
        <v>6</v>
      </c>
      <c r="C3629" s="257" t="s">
        <v>11257</v>
      </c>
      <c r="D3629" s="9">
        <v>6.11360524424523E-2</v>
      </c>
      <c r="E3629" s="9">
        <v>1727309.5965805054</v>
      </c>
      <c r="F3629" s="257" t="s">
        <v>15906</v>
      </c>
      <c r="G3629" s="9"/>
      <c r="H3629" s="257" t="s">
        <v>21741</v>
      </c>
      <c r="I3629" s="9">
        <v>2</v>
      </c>
    </row>
    <row r="3630" spans="1:9">
      <c r="A3630" s="257" t="s">
        <v>4728</v>
      </c>
      <c r="B3630" s="9">
        <v>6</v>
      </c>
      <c r="C3630" s="257" t="s">
        <v>11257</v>
      </c>
      <c r="D3630" s="9"/>
      <c r="E3630" s="9">
        <v>1727309.5965805054</v>
      </c>
      <c r="F3630" s="257" t="s">
        <v>15907</v>
      </c>
      <c r="G3630" s="9"/>
      <c r="H3630" s="257" t="s">
        <v>21742</v>
      </c>
      <c r="I3630" s="9">
        <v>2</v>
      </c>
    </row>
    <row r="3631" spans="1:9">
      <c r="A3631" s="257" t="s">
        <v>4729</v>
      </c>
      <c r="B3631" s="9">
        <v>6</v>
      </c>
      <c r="C3631" s="257" t="s">
        <v>11257</v>
      </c>
      <c r="D3631" s="9">
        <v>7.6205478649203032E-2</v>
      </c>
      <c r="E3631" s="9">
        <v>1727309.5965805054</v>
      </c>
      <c r="F3631" s="257" t="s">
        <v>15908</v>
      </c>
      <c r="G3631" s="9"/>
      <c r="H3631" s="257" t="s">
        <v>21743</v>
      </c>
      <c r="I3631" s="9">
        <v>2</v>
      </c>
    </row>
    <row r="3632" spans="1:9">
      <c r="A3632" s="257" t="s">
        <v>4730</v>
      </c>
      <c r="B3632" s="9">
        <v>7</v>
      </c>
      <c r="C3632" s="257" t="s">
        <v>11257</v>
      </c>
      <c r="D3632" s="9">
        <v>0.11638336172684863</v>
      </c>
      <c r="E3632" s="9">
        <v>1724929.0217895508</v>
      </c>
      <c r="F3632" s="257" t="s">
        <v>15909</v>
      </c>
      <c r="G3632" s="9"/>
      <c r="H3632" s="257" t="s">
        <v>21744</v>
      </c>
      <c r="I3632" s="9">
        <v>2</v>
      </c>
    </row>
    <row r="3633" spans="1:9">
      <c r="A3633" s="257" t="s">
        <v>4731</v>
      </c>
      <c r="B3633" s="9">
        <v>7</v>
      </c>
      <c r="C3633" s="257" t="s">
        <v>11257</v>
      </c>
      <c r="D3633" s="9"/>
      <c r="E3633" s="9">
        <v>1724929.0217895508</v>
      </c>
      <c r="F3633" s="257" t="s">
        <v>15910</v>
      </c>
      <c r="G3633" s="9"/>
      <c r="H3633" s="257" t="s">
        <v>21745</v>
      </c>
      <c r="I3633" s="9">
        <v>2</v>
      </c>
    </row>
    <row r="3634" spans="1:9">
      <c r="A3634" s="257" t="s">
        <v>4732</v>
      </c>
      <c r="B3634" s="9">
        <v>7</v>
      </c>
      <c r="C3634" s="257" t="s">
        <v>11257</v>
      </c>
      <c r="D3634" s="9">
        <v>9.9419900505453518E-2</v>
      </c>
      <c r="E3634" s="9">
        <v>1724929.0217895508</v>
      </c>
      <c r="F3634" s="257" t="s">
        <v>15911</v>
      </c>
      <c r="G3634" s="9"/>
      <c r="H3634" s="257" t="s">
        <v>21746</v>
      </c>
      <c r="I3634" s="9">
        <v>2</v>
      </c>
    </row>
    <row r="3635" spans="1:9">
      <c r="A3635" s="257" t="s">
        <v>4733</v>
      </c>
      <c r="B3635" s="9">
        <v>7</v>
      </c>
      <c r="C3635" s="257" t="s">
        <v>11257</v>
      </c>
      <c r="D3635" s="9">
        <v>9.9040966384497928E-2</v>
      </c>
      <c r="E3635" s="9">
        <v>1724929.0217895508</v>
      </c>
      <c r="F3635" s="257" t="s">
        <v>15912</v>
      </c>
      <c r="G3635" s="9"/>
      <c r="H3635" s="257" t="s">
        <v>21747</v>
      </c>
      <c r="I3635" s="9">
        <v>2</v>
      </c>
    </row>
    <row r="3636" spans="1:9">
      <c r="A3636" s="257" t="s">
        <v>4734</v>
      </c>
      <c r="B3636" s="9">
        <v>7</v>
      </c>
      <c r="C3636" s="257" t="s">
        <v>11257</v>
      </c>
      <c r="D3636" s="9"/>
      <c r="E3636" s="9">
        <v>1724929.0217895508</v>
      </c>
      <c r="F3636" s="257" t="s">
        <v>15913</v>
      </c>
      <c r="G3636" s="9"/>
      <c r="H3636" s="257" t="s">
        <v>21748</v>
      </c>
      <c r="I3636" s="9">
        <v>2</v>
      </c>
    </row>
    <row r="3637" spans="1:9">
      <c r="A3637" s="257" t="s">
        <v>4735</v>
      </c>
      <c r="B3637" s="9">
        <v>7</v>
      </c>
      <c r="C3637" s="257" t="s">
        <v>11257</v>
      </c>
      <c r="D3637" s="9">
        <v>9.5481885625935778E-2</v>
      </c>
      <c r="E3637" s="9">
        <v>1724929.0217895508</v>
      </c>
      <c r="F3637" s="257" t="s">
        <v>15914</v>
      </c>
      <c r="G3637" s="9"/>
      <c r="H3637" s="257" t="s">
        <v>21749</v>
      </c>
      <c r="I3637" s="9">
        <v>2</v>
      </c>
    </row>
    <row r="3638" spans="1:9">
      <c r="A3638" s="257" t="s">
        <v>4736</v>
      </c>
      <c r="B3638" s="9">
        <v>7</v>
      </c>
      <c r="C3638" s="257" t="s">
        <v>11257</v>
      </c>
      <c r="D3638" s="9">
        <v>0.10010900752559372</v>
      </c>
      <c r="E3638" s="9">
        <v>1724929.0217895508</v>
      </c>
      <c r="F3638" s="257" t="s">
        <v>15915</v>
      </c>
      <c r="G3638" s="9"/>
      <c r="H3638" s="257" t="s">
        <v>21750</v>
      </c>
      <c r="I3638" s="9">
        <v>2</v>
      </c>
    </row>
    <row r="3639" spans="1:9">
      <c r="A3639" s="257" t="s">
        <v>4737</v>
      </c>
      <c r="B3639" s="9">
        <v>7</v>
      </c>
      <c r="C3639" s="257" t="s">
        <v>11257</v>
      </c>
      <c r="D3639" s="9"/>
      <c r="E3639" s="9">
        <v>1724929.0217895508</v>
      </c>
      <c r="F3639" s="257" t="s">
        <v>15916</v>
      </c>
      <c r="G3639" s="9"/>
      <c r="H3639" s="257" t="s">
        <v>21751</v>
      </c>
      <c r="I3639" s="9">
        <v>2</v>
      </c>
    </row>
    <row r="3640" spans="1:9">
      <c r="A3640" s="257" t="s">
        <v>4738</v>
      </c>
      <c r="B3640" s="9">
        <v>7</v>
      </c>
      <c r="C3640" s="257" t="s">
        <v>11257</v>
      </c>
      <c r="D3640" s="9">
        <v>8.2094736661593781E-2</v>
      </c>
      <c r="E3640" s="9">
        <v>1724929.0217895508</v>
      </c>
      <c r="F3640" s="257" t="s">
        <v>15917</v>
      </c>
      <c r="G3640" s="9"/>
      <c r="H3640" s="257" t="s">
        <v>21752</v>
      </c>
      <c r="I3640" s="9">
        <v>2</v>
      </c>
    </row>
    <row r="3641" spans="1:9">
      <c r="A3641" s="257" t="s">
        <v>4739</v>
      </c>
      <c r="B3641" s="9">
        <v>7</v>
      </c>
      <c r="C3641" s="257" t="s">
        <v>11257</v>
      </c>
      <c r="D3641" s="9"/>
      <c r="E3641" s="9">
        <v>1724929.0217895508</v>
      </c>
      <c r="F3641" s="257" t="s">
        <v>15918</v>
      </c>
      <c r="G3641" s="9"/>
      <c r="H3641" s="257" t="s">
        <v>21753</v>
      </c>
      <c r="I3641" s="9">
        <v>2</v>
      </c>
    </row>
    <row r="3642" spans="1:9">
      <c r="A3642" s="257" t="s">
        <v>4740</v>
      </c>
      <c r="B3642" s="9">
        <v>7</v>
      </c>
      <c r="C3642" s="257" t="s">
        <v>11257</v>
      </c>
      <c r="D3642" s="9">
        <v>0.11646739334254254</v>
      </c>
      <c r="E3642" s="9">
        <v>1724929.0217895508</v>
      </c>
      <c r="F3642" s="257" t="s">
        <v>15919</v>
      </c>
      <c r="G3642" s="9"/>
      <c r="H3642" s="257" t="s">
        <v>21754</v>
      </c>
      <c r="I3642" s="9">
        <v>2</v>
      </c>
    </row>
    <row r="3643" spans="1:9">
      <c r="A3643" s="257" t="s">
        <v>4741</v>
      </c>
      <c r="B3643" s="9">
        <v>7</v>
      </c>
      <c r="C3643" s="257" t="s">
        <v>11257</v>
      </c>
      <c r="D3643" s="9">
        <v>9.8241105898608752E-2</v>
      </c>
      <c r="E3643" s="9">
        <v>1724929.0217895508</v>
      </c>
      <c r="F3643" s="257" t="s">
        <v>15920</v>
      </c>
      <c r="G3643" s="9"/>
      <c r="H3643" s="257" t="s">
        <v>21755</v>
      </c>
      <c r="I3643" s="9">
        <v>2</v>
      </c>
    </row>
    <row r="3644" spans="1:9">
      <c r="A3644" s="257" t="s">
        <v>4742</v>
      </c>
      <c r="B3644" s="9">
        <v>7</v>
      </c>
      <c r="C3644" s="257" t="s">
        <v>11257</v>
      </c>
      <c r="D3644" s="9">
        <v>0.10872736099372277</v>
      </c>
      <c r="E3644" s="9">
        <v>1724929.0217895508</v>
      </c>
      <c r="F3644" s="257" t="s">
        <v>15921</v>
      </c>
      <c r="G3644" s="9"/>
      <c r="H3644" s="257" t="s">
        <v>21756</v>
      </c>
      <c r="I3644" s="9">
        <v>2</v>
      </c>
    </row>
    <row r="3645" spans="1:9">
      <c r="A3645" s="257" t="s">
        <v>4743</v>
      </c>
      <c r="B3645" s="9">
        <v>7</v>
      </c>
      <c r="C3645" s="257" t="s">
        <v>11257</v>
      </c>
      <c r="D3645" s="9">
        <v>7.2834255968722797E-2</v>
      </c>
      <c r="E3645" s="9">
        <v>1724929.0217895508</v>
      </c>
      <c r="F3645" s="257" t="s">
        <v>15922</v>
      </c>
      <c r="G3645" s="9"/>
      <c r="H3645" s="257" t="s">
        <v>21757</v>
      </c>
      <c r="I3645" s="9">
        <v>2</v>
      </c>
    </row>
    <row r="3646" spans="1:9">
      <c r="A3646" s="257" t="s">
        <v>4744</v>
      </c>
      <c r="B3646" s="9">
        <v>7</v>
      </c>
      <c r="C3646" s="257" t="s">
        <v>11257</v>
      </c>
      <c r="D3646" s="9">
        <v>0.10926684707355663</v>
      </c>
      <c r="E3646" s="9">
        <v>1724929.0217895508</v>
      </c>
      <c r="F3646" s="257" t="s">
        <v>15923</v>
      </c>
      <c r="G3646" s="9"/>
      <c r="H3646" s="257" t="s">
        <v>21758</v>
      </c>
      <c r="I3646" s="9">
        <v>2</v>
      </c>
    </row>
    <row r="3647" spans="1:9">
      <c r="A3647" s="257" t="s">
        <v>4745</v>
      </c>
      <c r="B3647" s="9">
        <v>7</v>
      </c>
      <c r="C3647" s="257" t="s">
        <v>11257</v>
      </c>
      <c r="D3647" s="9">
        <v>0.1148105212209813</v>
      </c>
      <c r="E3647" s="9">
        <v>1724929.0217895508</v>
      </c>
      <c r="F3647" s="257" t="s">
        <v>15924</v>
      </c>
      <c r="G3647" s="9"/>
      <c r="H3647" s="257" t="s">
        <v>21759</v>
      </c>
      <c r="I3647" s="9">
        <v>2</v>
      </c>
    </row>
    <row r="3648" spans="1:9">
      <c r="A3648" s="257" t="s">
        <v>4746</v>
      </c>
      <c r="B3648" s="9">
        <v>7</v>
      </c>
      <c r="C3648" s="257" t="s">
        <v>11257</v>
      </c>
      <c r="D3648" s="9"/>
      <c r="E3648" s="9">
        <v>1724929.0217895508</v>
      </c>
      <c r="F3648" s="257" t="s">
        <v>15925</v>
      </c>
      <c r="G3648" s="9"/>
      <c r="H3648" s="257" t="s">
        <v>21760</v>
      </c>
      <c r="I3648" s="9">
        <v>2</v>
      </c>
    </row>
    <row r="3649" spans="1:9">
      <c r="A3649" s="257" t="s">
        <v>4747</v>
      </c>
      <c r="B3649" s="9">
        <v>7</v>
      </c>
      <c r="C3649" s="257" t="s">
        <v>11257</v>
      </c>
      <c r="D3649" s="9">
        <v>0.110534120392781</v>
      </c>
      <c r="E3649" s="9">
        <v>1724929.0217895508</v>
      </c>
      <c r="F3649" s="257" t="s">
        <v>15926</v>
      </c>
      <c r="G3649" s="9"/>
      <c r="H3649" s="257" t="s">
        <v>21761</v>
      </c>
      <c r="I3649" s="9">
        <v>2</v>
      </c>
    </row>
    <row r="3650" spans="1:9">
      <c r="A3650" s="257" t="s">
        <v>4748</v>
      </c>
      <c r="B3650" s="9">
        <v>7</v>
      </c>
      <c r="C3650" s="257" t="s">
        <v>11257</v>
      </c>
      <c r="D3650" s="9">
        <v>5.1883374976125718E-2</v>
      </c>
      <c r="E3650" s="9">
        <v>1724929.0217895508</v>
      </c>
      <c r="F3650" s="257" t="s">
        <v>15927</v>
      </c>
      <c r="G3650" s="9"/>
      <c r="H3650" s="257" t="s">
        <v>21762</v>
      </c>
      <c r="I3650" s="9">
        <v>2</v>
      </c>
    </row>
    <row r="3651" spans="1:9">
      <c r="A3651" s="257" t="s">
        <v>4749</v>
      </c>
      <c r="B3651" s="9">
        <v>7</v>
      </c>
      <c r="C3651" s="257" t="s">
        <v>11257</v>
      </c>
      <c r="D3651" s="9">
        <v>7.7414629360245471E-2</v>
      </c>
      <c r="E3651" s="9">
        <v>1724929.0217895508</v>
      </c>
      <c r="F3651" s="257" t="s">
        <v>15928</v>
      </c>
      <c r="G3651" s="9"/>
      <c r="H3651" s="257" t="s">
        <v>21763</v>
      </c>
      <c r="I3651" s="9">
        <v>2</v>
      </c>
    </row>
    <row r="3652" spans="1:9">
      <c r="A3652" s="257" t="s">
        <v>4750</v>
      </c>
      <c r="B3652" s="9">
        <v>7</v>
      </c>
      <c r="C3652" s="257" t="s">
        <v>11257</v>
      </c>
      <c r="D3652" s="9">
        <v>0.1148105212209813</v>
      </c>
      <c r="E3652" s="9">
        <v>1724929.0217895508</v>
      </c>
      <c r="F3652" s="257" t="s">
        <v>15929</v>
      </c>
      <c r="G3652" s="9"/>
      <c r="H3652" s="257" t="s">
        <v>21764</v>
      </c>
      <c r="I3652" s="9">
        <v>2</v>
      </c>
    </row>
    <row r="3653" spans="1:9">
      <c r="A3653" s="257" t="s">
        <v>4751</v>
      </c>
      <c r="B3653" s="9">
        <v>7</v>
      </c>
      <c r="C3653" s="257" t="s">
        <v>11257</v>
      </c>
      <c r="D3653" s="9">
        <v>0.1089258021868246</v>
      </c>
      <c r="E3653" s="9">
        <v>1724929.0217895508</v>
      </c>
      <c r="F3653" s="257" t="s">
        <v>15930</v>
      </c>
      <c r="G3653" s="9"/>
      <c r="H3653" s="257" t="s">
        <v>21765</v>
      </c>
      <c r="I3653" s="9">
        <v>2</v>
      </c>
    </row>
    <row r="3654" spans="1:9">
      <c r="A3654" s="257" t="s">
        <v>4752</v>
      </c>
      <c r="B3654" s="9">
        <v>7</v>
      </c>
      <c r="C3654" s="257" t="s">
        <v>11257</v>
      </c>
      <c r="D3654" s="9">
        <v>0.1089258021868246</v>
      </c>
      <c r="E3654" s="9">
        <v>1724929.0217895508</v>
      </c>
      <c r="F3654" s="257" t="s">
        <v>15931</v>
      </c>
      <c r="G3654" s="9"/>
      <c r="H3654" s="257" t="s">
        <v>21766</v>
      </c>
      <c r="I3654" s="9">
        <v>2</v>
      </c>
    </row>
    <row r="3655" spans="1:9">
      <c r="A3655" s="257" t="s">
        <v>4753</v>
      </c>
      <c r="B3655" s="9">
        <v>7</v>
      </c>
      <c r="C3655" s="257" t="s">
        <v>11257</v>
      </c>
      <c r="D3655" s="9">
        <v>8.7328893989228759E-2</v>
      </c>
      <c r="E3655" s="9">
        <v>1724929.0217895508</v>
      </c>
      <c r="F3655" s="257" t="s">
        <v>15932</v>
      </c>
      <c r="G3655" s="9"/>
      <c r="H3655" s="257" t="s">
        <v>21767</v>
      </c>
      <c r="I3655" s="9">
        <v>2</v>
      </c>
    </row>
    <row r="3656" spans="1:9">
      <c r="A3656" s="257" t="s">
        <v>4754</v>
      </c>
      <c r="B3656" s="9">
        <v>7</v>
      </c>
      <c r="C3656" s="257" t="s">
        <v>11257</v>
      </c>
      <c r="D3656" s="9"/>
      <c r="E3656" s="9">
        <v>1724929.0217895508</v>
      </c>
      <c r="F3656" s="257" t="s">
        <v>15933</v>
      </c>
      <c r="G3656" s="9"/>
      <c r="H3656" s="257" t="s">
        <v>21768</v>
      </c>
      <c r="I3656" s="9">
        <v>2</v>
      </c>
    </row>
    <row r="3657" spans="1:9">
      <c r="A3657" s="257" t="s">
        <v>4755</v>
      </c>
      <c r="B3657" s="9">
        <v>8</v>
      </c>
      <c r="C3657" s="257" t="s">
        <v>11257</v>
      </c>
      <c r="D3657" s="9">
        <v>0.14398810536896078</v>
      </c>
      <c r="E3657" s="9">
        <v>1724851.1857852936</v>
      </c>
      <c r="F3657" s="257" t="s">
        <v>15934</v>
      </c>
      <c r="G3657" s="9"/>
      <c r="H3657" s="257" t="s">
        <v>21769</v>
      </c>
      <c r="I3657" s="9">
        <v>2</v>
      </c>
    </row>
    <row r="3658" spans="1:9">
      <c r="A3658" s="257" t="s">
        <v>4756</v>
      </c>
      <c r="B3658" s="9">
        <v>8</v>
      </c>
      <c r="C3658" s="257" t="s">
        <v>11257</v>
      </c>
      <c r="D3658" s="9">
        <v>0.12137539801981556</v>
      </c>
      <c r="E3658" s="9">
        <v>1724851.1857852936</v>
      </c>
      <c r="F3658" s="257" t="s">
        <v>15935</v>
      </c>
      <c r="G3658" s="9"/>
      <c r="H3658" s="257" t="s">
        <v>21770</v>
      </c>
      <c r="I3658" s="9">
        <v>2</v>
      </c>
    </row>
    <row r="3659" spans="1:9">
      <c r="A3659" s="257" t="s">
        <v>4757</v>
      </c>
      <c r="B3659" s="9">
        <v>8</v>
      </c>
      <c r="C3659" s="257" t="s">
        <v>11257</v>
      </c>
      <c r="D3659" s="9">
        <v>0.12838482127535122</v>
      </c>
      <c r="E3659" s="9">
        <v>1724851.1857852936</v>
      </c>
      <c r="F3659" s="257" t="s">
        <v>15936</v>
      </c>
      <c r="G3659" s="9"/>
      <c r="H3659" s="257" t="s">
        <v>21771</v>
      </c>
      <c r="I3659" s="9">
        <v>2</v>
      </c>
    </row>
    <row r="3660" spans="1:9">
      <c r="A3660" s="257" t="s">
        <v>4758</v>
      </c>
      <c r="B3660" s="9">
        <v>8</v>
      </c>
      <c r="C3660" s="257" t="s">
        <v>11257</v>
      </c>
      <c r="D3660" s="9">
        <v>0.13827903395678082</v>
      </c>
      <c r="E3660" s="9">
        <v>1724851.1857852936</v>
      </c>
      <c r="F3660" s="257" t="s">
        <v>15937</v>
      </c>
      <c r="G3660" s="9"/>
      <c r="H3660" s="257" t="s">
        <v>21772</v>
      </c>
      <c r="I3660" s="9">
        <v>2</v>
      </c>
    </row>
    <row r="3661" spans="1:9">
      <c r="A3661" s="257" t="s">
        <v>4759</v>
      </c>
      <c r="B3661" s="9">
        <v>8</v>
      </c>
      <c r="C3661" s="257" t="s">
        <v>11257</v>
      </c>
      <c r="D3661" s="9">
        <v>0.13792236047488957</v>
      </c>
      <c r="E3661" s="9">
        <v>1724851.1857852936</v>
      </c>
      <c r="F3661" s="257" t="s">
        <v>15938</v>
      </c>
      <c r="G3661" s="9"/>
      <c r="H3661" s="257" t="s">
        <v>21773</v>
      </c>
      <c r="I3661" s="9">
        <v>2</v>
      </c>
    </row>
    <row r="3662" spans="1:9">
      <c r="A3662" s="257" t="s">
        <v>4760</v>
      </c>
      <c r="B3662" s="9">
        <v>8</v>
      </c>
      <c r="C3662" s="257" t="s">
        <v>11257</v>
      </c>
      <c r="D3662" s="9">
        <v>0.13913756229370122</v>
      </c>
      <c r="E3662" s="9">
        <v>1724851.1857852936</v>
      </c>
      <c r="F3662" s="257" t="s">
        <v>15939</v>
      </c>
      <c r="G3662" s="9"/>
      <c r="H3662" s="257" t="s">
        <v>21774</v>
      </c>
      <c r="I3662" s="9">
        <v>2</v>
      </c>
    </row>
    <row r="3663" spans="1:9">
      <c r="A3663" s="257" t="s">
        <v>4761</v>
      </c>
      <c r="B3663" s="9">
        <v>8</v>
      </c>
      <c r="C3663" s="257" t="s">
        <v>11257</v>
      </c>
      <c r="D3663" s="9">
        <v>0.12393752944203629</v>
      </c>
      <c r="E3663" s="9">
        <v>1724851.1857852936</v>
      </c>
      <c r="F3663" s="257" t="s">
        <v>15940</v>
      </c>
      <c r="G3663" s="9"/>
      <c r="H3663" s="257" t="s">
        <v>21775</v>
      </c>
      <c r="I3663" s="9">
        <v>2</v>
      </c>
    </row>
    <row r="3664" spans="1:9">
      <c r="A3664" s="257" t="s">
        <v>4762</v>
      </c>
      <c r="B3664" s="9">
        <v>8</v>
      </c>
      <c r="C3664" s="257" t="s">
        <v>11257</v>
      </c>
      <c r="D3664" s="9"/>
      <c r="E3664" s="9">
        <v>1724851.1857852936</v>
      </c>
      <c r="F3664" s="257" t="s">
        <v>15941</v>
      </c>
      <c r="G3664" s="9"/>
      <c r="H3664" s="257" t="s">
        <v>21776</v>
      </c>
      <c r="I3664" s="9">
        <v>2</v>
      </c>
    </row>
    <row r="3665" spans="1:9">
      <c r="A3665" s="257" t="s">
        <v>4763</v>
      </c>
      <c r="B3665" s="9">
        <v>8</v>
      </c>
      <c r="C3665" s="257" t="s">
        <v>11257</v>
      </c>
      <c r="D3665" s="9">
        <v>0.13830704035166855</v>
      </c>
      <c r="E3665" s="9">
        <v>1724851.1857852936</v>
      </c>
      <c r="F3665" s="257" t="s">
        <v>15942</v>
      </c>
      <c r="G3665" s="9"/>
      <c r="H3665" s="257" t="s">
        <v>21777</v>
      </c>
      <c r="I3665" s="9">
        <v>2</v>
      </c>
    </row>
    <row r="3666" spans="1:9">
      <c r="A3666" s="257" t="s">
        <v>4764</v>
      </c>
      <c r="B3666" s="9">
        <v>8</v>
      </c>
      <c r="C3666" s="257" t="s">
        <v>11257</v>
      </c>
      <c r="D3666" s="9">
        <v>0.13221246695419139</v>
      </c>
      <c r="E3666" s="9">
        <v>1724851.1857852936</v>
      </c>
      <c r="F3666" s="257" t="s">
        <v>15943</v>
      </c>
      <c r="G3666" s="9"/>
      <c r="H3666" s="257" t="s">
        <v>21778</v>
      </c>
      <c r="I3666" s="9">
        <v>2</v>
      </c>
    </row>
    <row r="3667" spans="1:9">
      <c r="A3667" s="257" t="s">
        <v>4765</v>
      </c>
      <c r="B3667" s="9">
        <v>8</v>
      </c>
      <c r="C3667" s="257" t="s">
        <v>11257</v>
      </c>
      <c r="D3667" s="9">
        <v>0.14374210028123993</v>
      </c>
      <c r="E3667" s="9">
        <v>1724851.1857852936</v>
      </c>
      <c r="F3667" s="257" t="s">
        <v>15944</v>
      </c>
      <c r="G3667" s="9"/>
      <c r="H3667" s="257" t="s">
        <v>21779</v>
      </c>
      <c r="I3667" s="9">
        <v>2</v>
      </c>
    </row>
    <row r="3668" spans="1:9">
      <c r="A3668" s="257" t="s">
        <v>4766</v>
      </c>
      <c r="B3668" s="9">
        <v>8</v>
      </c>
      <c r="C3668" s="257" t="s">
        <v>11257</v>
      </c>
      <c r="D3668" s="9">
        <v>0.11579926358300632</v>
      </c>
      <c r="E3668" s="9">
        <v>1724851.1857852936</v>
      </c>
      <c r="F3668" s="257" t="s">
        <v>15945</v>
      </c>
      <c r="G3668" s="9"/>
      <c r="H3668" s="257" t="s">
        <v>21780</v>
      </c>
      <c r="I3668" s="9">
        <v>2</v>
      </c>
    </row>
    <row r="3669" spans="1:9">
      <c r="A3669" s="257" t="s">
        <v>4767</v>
      </c>
      <c r="B3669" s="9">
        <v>8</v>
      </c>
      <c r="C3669" s="257" t="s">
        <v>11257</v>
      </c>
      <c r="D3669" s="9">
        <v>0.12634819018589785</v>
      </c>
      <c r="E3669" s="9">
        <v>1724851.1857852936</v>
      </c>
      <c r="F3669" s="257" t="s">
        <v>15946</v>
      </c>
      <c r="G3669" s="9"/>
      <c r="H3669" s="257" t="s">
        <v>21781</v>
      </c>
      <c r="I3669" s="9">
        <v>2</v>
      </c>
    </row>
    <row r="3670" spans="1:9">
      <c r="A3670" s="257" t="s">
        <v>4768</v>
      </c>
      <c r="B3670" s="9">
        <v>8</v>
      </c>
      <c r="C3670" s="257" t="s">
        <v>11257</v>
      </c>
      <c r="D3670" s="9">
        <v>0.13648067965280988</v>
      </c>
      <c r="E3670" s="9">
        <v>1724851.1857852936</v>
      </c>
      <c r="F3670" s="257" t="s">
        <v>15947</v>
      </c>
      <c r="G3670" s="9"/>
      <c r="H3670" s="257" t="s">
        <v>21782</v>
      </c>
      <c r="I3670" s="9">
        <v>2</v>
      </c>
    </row>
    <row r="3671" spans="1:9">
      <c r="A3671" s="257" t="s">
        <v>4769</v>
      </c>
      <c r="B3671" s="9">
        <v>8</v>
      </c>
      <c r="C3671" s="257" t="s">
        <v>11257</v>
      </c>
      <c r="D3671" s="9"/>
      <c r="E3671" s="9">
        <v>1724851.1857852936</v>
      </c>
      <c r="F3671" s="257" t="s">
        <v>15948</v>
      </c>
      <c r="G3671" s="9"/>
      <c r="H3671" s="257" t="s">
        <v>21783</v>
      </c>
      <c r="I3671" s="9">
        <v>2</v>
      </c>
    </row>
    <row r="3672" spans="1:9">
      <c r="A3672" s="257" t="s">
        <v>4770</v>
      </c>
      <c r="B3672" s="9">
        <v>8</v>
      </c>
      <c r="C3672" s="257" t="s">
        <v>11257</v>
      </c>
      <c r="D3672" s="9">
        <v>0.13913756229370122</v>
      </c>
      <c r="E3672" s="9">
        <v>1724851.1857852936</v>
      </c>
      <c r="F3672" s="257" t="s">
        <v>15949</v>
      </c>
      <c r="G3672" s="9"/>
      <c r="H3672" s="257" t="s">
        <v>21784</v>
      </c>
      <c r="I3672" s="9">
        <v>2</v>
      </c>
    </row>
    <row r="3673" spans="1:9">
      <c r="A3673" s="257" t="s">
        <v>4771</v>
      </c>
      <c r="B3673" s="9">
        <v>8</v>
      </c>
      <c r="C3673" s="257" t="s">
        <v>11257</v>
      </c>
      <c r="D3673" s="9">
        <v>7.9567428907027143E-2</v>
      </c>
      <c r="E3673" s="9">
        <v>1724851.1857852936</v>
      </c>
      <c r="F3673" s="257" t="s">
        <v>15950</v>
      </c>
      <c r="G3673" s="9"/>
      <c r="H3673" s="257" t="s">
        <v>21785</v>
      </c>
      <c r="I3673" s="9">
        <v>2</v>
      </c>
    </row>
    <row r="3674" spans="1:9">
      <c r="A3674" s="257" t="s">
        <v>4772</v>
      </c>
      <c r="B3674" s="9">
        <v>8</v>
      </c>
      <c r="C3674" s="257" t="s">
        <v>11257</v>
      </c>
      <c r="D3674" s="9"/>
      <c r="E3674" s="9">
        <v>1724851.1857852936</v>
      </c>
      <c r="F3674" s="257" t="s">
        <v>15951</v>
      </c>
      <c r="G3674" s="9"/>
      <c r="H3674" s="257" t="s">
        <v>21786</v>
      </c>
      <c r="I3674" s="9">
        <v>2</v>
      </c>
    </row>
    <row r="3675" spans="1:9">
      <c r="A3675" s="257" t="s">
        <v>4773</v>
      </c>
      <c r="B3675" s="9">
        <v>8</v>
      </c>
      <c r="C3675" s="257" t="s">
        <v>11257</v>
      </c>
      <c r="D3675" s="9">
        <v>0.13237887335831761</v>
      </c>
      <c r="E3675" s="9">
        <v>1724851.1857852936</v>
      </c>
      <c r="F3675" s="257" t="s">
        <v>15952</v>
      </c>
      <c r="G3675" s="9"/>
      <c r="H3675" s="257" t="s">
        <v>21787</v>
      </c>
      <c r="I3675" s="9">
        <v>2</v>
      </c>
    </row>
    <row r="3676" spans="1:9">
      <c r="A3676" s="257" t="s">
        <v>4774</v>
      </c>
      <c r="B3676" s="9">
        <v>8</v>
      </c>
      <c r="C3676" s="257" t="s">
        <v>11257</v>
      </c>
      <c r="D3676" s="9"/>
      <c r="E3676" s="9">
        <v>1724851.1857852936</v>
      </c>
      <c r="F3676" s="257" t="s">
        <v>15953</v>
      </c>
      <c r="G3676" s="9"/>
      <c r="H3676" s="257" t="s">
        <v>21788</v>
      </c>
      <c r="I3676" s="9">
        <v>2</v>
      </c>
    </row>
    <row r="3677" spans="1:9">
      <c r="A3677" s="257" t="s">
        <v>4775</v>
      </c>
      <c r="B3677" s="9">
        <v>8</v>
      </c>
      <c r="C3677" s="257" t="s">
        <v>11257</v>
      </c>
      <c r="D3677" s="9"/>
      <c r="E3677" s="9">
        <v>1724851.1857852936</v>
      </c>
      <c r="F3677" s="257" t="s">
        <v>15954</v>
      </c>
      <c r="G3677" s="9"/>
      <c r="H3677" s="257" t="s">
        <v>21789</v>
      </c>
      <c r="I3677" s="9">
        <v>2</v>
      </c>
    </row>
    <row r="3678" spans="1:9">
      <c r="A3678" s="257" t="s">
        <v>4776</v>
      </c>
      <c r="B3678" s="9">
        <v>8</v>
      </c>
      <c r="C3678" s="257" t="s">
        <v>11257</v>
      </c>
      <c r="D3678" s="9">
        <v>0.13830704035166855</v>
      </c>
      <c r="E3678" s="9">
        <v>1724851.1857852936</v>
      </c>
      <c r="F3678" s="257" t="s">
        <v>15955</v>
      </c>
      <c r="G3678" s="9"/>
      <c r="H3678" s="257" t="s">
        <v>21790</v>
      </c>
      <c r="I3678" s="9">
        <v>2</v>
      </c>
    </row>
    <row r="3679" spans="1:9">
      <c r="A3679" s="257" t="s">
        <v>4777</v>
      </c>
      <c r="B3679" s="9">
        <v>8</v>
      </c>
      <c r="C3679" s="257" t="s">
        <v>11257</v>
      </c>
      <c r="D3679" s="9">
        <v>0.12850913102162093</v>
      </c>
      <c r="E3679" s="9">
        <v>1724851.1857852936</v>
      </c>
      <c r="F3679" s="257" t="s">
        <v>15956</v>
      </c>
      <c r="G3679" s="9"/>
      <c r="H3679" s="257" t="s">
        <v>21791</v>
      </c>
      <c r="I3679" s="9">
        <v>2</v>
      </c>
    </row>
    <row r="3680" spans="1:9">
      <c r="A3680" s="257" t="s">
        <v>4778</v>
      </c>
      <c r="B3680" s="9">
        <v>8</v>
      </c>
      <c r="C3680" s="257" t="s">
        <v>11257</v>
      </c>
      <c r="D3680" s="9"/>
      <c r="E3680" s="9">
        <v>1724851.1857852936</v>
      </c>
      <c r="F3680" s="257" t="s">
        <v>15957</v>
      </c>
      <c r="G3680" s="9"/>
      <c r="H3680" s="257" t="s">
        <v>21792</v>
      </c>
      <c r="I3680" s="9">
        <v>2</v>
      </c>
    </row>
    <row r="3681" spans="1:9">
      <c r="A3681" s="257" t="s">
        <v>4779</v>
      </c>
      <c r="B3681" s="9">
        <v>8</v>
      </c>
      <c r="C3681" s="257" t="s">
        <v>11257</v>
      </c>
      <c r="D3681" s="9">
        <v>0.1237204260169175</v>
      </c>
      <c r="E3681" s="9">
        <v>1724851.1857852936</v>
      </c>
      <c r="F3681" s="257" t="s">
        <v>15958</v>
      </c>
      <c r="G3681" s="9"/>
      <c r="H3681" s="257" t="s">
        <v>21793</v>
      </c>
      <c r="I3681" s="9">
        <v>2</v>
      </c>
    </row>
    <row r="3682" spans="1:9">
      <c r="A3682" s="257" t="s">
        <v>4780</v>
      </c>
      <c r="B3682" s="9">
        <v>9</v>
      </c>
      <c r="C3682" s="257" t="s">
        <v>11257</v>
      </c>
      <c r="D3682" s="9">
        <v>0.18974196711786975</v>
      </c>
      <c r="E3682" s="9">
        <v>1721642.4785900116</v>
      </c>
      <c r="F3682" s="257" t="s">
        <v>15959</v>
      </c>
      <c r="G3682" s="9"/>
      <c r="H3682" s="257" t="s">
        <v>21794</v>
      </c>
      <c r="I3682" s="9">
        <v>2</v>
      </c>
    </row>
    <row r="3683" spans="1:9">
      <c r="A3683" s="257" t="s">
        <v>4781</v>
      </c>
      <c r="B3683" s="9">
        <v>9</v>
      </c>
      <c r="C3683" s="257" t="s">
        <v>11257</v>
      </c>
      <c r="D3683" s="9"/>
      <c r="E3683" s="9">
        <v>1721642.4785900116</v>
      </c>
      <c r="F3683" s="257" t="s">
        <v>15960</v>
      </c>
      <c r="G3683" s="9"/>
      <c r="H3683" s="257" t="s">
        <v>21795</v>
      </c>
      <c r="I3683" s="9">
        <v>2</v>
      </c>
    </row>
    <row r="3684" spans="1:9">
      <c r="A3684" s="257" t="s">
        <v>4782</v>
      </c>
      <c r="B3684" s="9">
        <v>9</v>
      </c>
      <c r="C3684" s="257" t="s">
        <v>11257</v>
      </c>
      <c r="D3684" s="9">
        <v>0.18974196711786975</v>
      </c>
      <c r="E3684" s="9">
        <v>1721642.4785900116</v>
      </c>
      <c r="F3684" s="257" t="s">
        <v>15961</v>
      </c>
      <c r="G3684" s="9"/>
      <c r="H3684" s="257" t="s">
        <v>21796</v>
      </c>
      <c r="I3684" s="9">
        <v>2</v>
      </c>
    </row>
    <row r="3685" spans="1:9">
      <c r="A3685" s="257" t="s">
        <v>4783</v>
      </c>
      <c r="B3685" s="9">
        <v>9</v>
      </c>
      <c r="C3685" s="257" t="s">
        <v>11257</v>
      </c>
      <c r="D3685" s="9">
        <v>0.16993281076333516</v>
      </c>
      <c r="E3685" s="9">
        <v>1721642.4785900116</v>
      </c>
      <c r="F3685" s="257" t="s">
        <v>15962</v>
      </c>
      <c r="G3685" s="9"/>
      <c r="H3685" s="257" t="s">
        <v>21797</v>
      </c>
      <c r="I3685" s="9">
        <v>2</v>
      </c>
    </row>
    <row r="3686" spans="1:9">
      <c r="A3686" s="257" t="s">
        <v>4784</v>
      </c>
      <c r="B3686" s="9">
        <v>9</v>
      </c>
      <c r="C3686" s="257" t="s">
        <v>11257</v>
      </c>
      <c r="D3686" s="9">
        <v>0.17078859141766384</v>
      </c>
      <c r="E3686" s="9">
        <v>1721642.4785900116</v>
      </c>
      <c r="F3686" s="257" t="s">
        <v>15963</v>
      </c>
      <c r="G3686" s="9"/>
      <c r="H3686" s="257" t="s">
        <v>21798</v>
      </c>
      <c r="I3686" s="9">
        <v>2</v>
      </c>
    </row>
    <row r="3687" spans="1:9">
      <c r="A3687" s="257" t="s">
        <v>4785</v>
      </c>
      <c r="B3687" s="9">
        <v>9</v>
      </c>
      <c r="C3687" s="257" t="s">
        <v>11257</v>
      </c>
      <c r="D3687" s="9">
        <v>0.18861511804174524</v>
      </c>
      <c r="E3687" s="9">
        <v>1721642.4785900116</v>
      </c>
      <c r="F3687" s="257" t="s">
        <v>15964</v>
      </c>
      <c r="G3687" s="9"/>
      <c r="H3687" s="257" t="s">
        <v>21799</v>
      </c>
      <c r="I3687" s="9">
        <v>2</v>
      </c>
    </row>
    <row r="3688" spans="1:9">
      <c r="A3688" s="257" t="s">
        <v>4786</v>
      </c>
      <c r="B3688" s="9">
        <v>9</v>
      </c>
      <c r="C3688" s="257" t="s">
        <v>11257</v>
      </c>
      <c r="D3688" s="9"/>
      <c r="E3688" s="9">
        <v>1721642.4785900116</v>
      </c>
      <c r="F3688" s="257" t="s">
        <v>15965</v>
      </c>
      <c r="G3688" s="9"/>
      <c r="H3688" s="257" t="s">
        <v>21800</v>
      </c>
      <c r="I3688" s="9">
        <v>2</v>
      </c>
    </row>
    <row r="3689" spans="1:9">
      <c r="A3689" s="257" t="s">
        <v>4787</v>
      </c>
      <c r="B3689" s="9">
        <v>9</v>
      </c>
      <c r="C3689" s="257" t="s">
        <v>11257</v>
      </c>
      <c r="D3689" s="9">
        <v>0.18870980137947041</v>
      </c>
      <c r="E3689" s="9">
        <v>1721642.4785900116</v>
      </c>
      <c r="F3689" s="257" t="s">
        <v>15966</v>
      </c>
      <c r="G3689" s="9"/>
      <c r="H3689" s="257" t="s">
        <v>21801</v>
      </c>
      <c r="I3689" s="9">
        <v>2</v>
      </c>
    </row>
    <row r="3690" spans="1:9">
      <c r="A3690" s="257" t="s">
        <v>4788</v>
      </c>
      <c r="B3690" s="9">
        <v>9</v>
      </c>
      <c r="C3690" s="257" t="s">
        <v>11257</v>
      </c>
      <c r="D3690" s="9">
        <v>0.18184397883100809</v>
      </c>
      <c r="E3690" s="9">
        <v>1721642.4785900116</v>
      </c>
      <c r="F3690" s="257" t="s">
        <v>15967</v>
      </c>
      <c r="G3690" s="9"/>
      <c r="H3690" s="257" t="s">
        <v>21802</v>
      </c>
      <c r="I3690" s="9">
        <v>2</v>
      </c>
    </row>
    <row r="3691" spans="1:9">
      <c r="A3691" s="257" t="s">
        <v>4789</v>
      </c>
      <c r="B3691" s="9">
        <v>9</v>
      </c>
      <c r="C3691" s="257" t="s">
        <v>11257</v>
      </c>
      <c r="D3691" s="9">
        <v>0.17149234230375582</v>
      </c>
      <c r="E3691" s="9">
        <v>1721642.4785900116</v>
      </c>
      <c r="F3691" s="257" t="s">
        <v>15968</v>
      </c>
      <c r="G3691" s="9"/>
      <c r="H3691" s="257" t="s">
        <v>21803</v>
      </c>
      <c r="I3691" s="9">
        <v>2</v>
      </c>
    </row>
    <row r="3692" spans="1:9">
      <c r="A3692" s="257" t="s">
        <v>4790</v>
      </c>
      <c r="B3692" s="9">
        <v>9</v>
      </c>
      <c r="C3692" s="257" t="s">
        <v>11257</v>
      </c>
      <c r="D3692" s="9">
        <v>0.18164952161553138</v>
      </c>
      <c r="E3692" s="9">
        <v>1721642.4785900116</v>
      </c>
      <c r="F3692" s="257" t="s">
        <v>15969</v>
      </c>
      <c r="G3692" s="9"/>
      <c r="H3692" s="257" t="s">
        <v>21804</v>
      </c>
      <c r="I3692" s="9">
        <v>2</v>
      </c>
    </row>
    <row r="3693" spans="1:9">
      <c r="A3693" s="257" t="s">
        <v>4791</v>
      </c>
      <c r="B3693" s="9">
        <v>9</v>
      </c>
      <c r="C3693" s="257" t="s">
        <v>11257</v>
      </c>
      <c r="D3693" s="9">
        <v>0.17689283088785523</v>
      </c>
      <c r="E3693" s="9">
        <v>1721642.4785900116</v>
      </c>
      <c r="F3693" s="257" t="s">
        <v>15970</v>
      </c>
      <c r="G3693" s="9"/>
      <c r="H3693" s="257" t="s">
        <v>21805</v>
      </c>
      <c r="I3693" s="9">
        <v>2</v>
      </c>
    </row>
    <row r="3694" spans="1:9">
      <c r="A3694" s="257" t="s">
        <v>4792</v>
      </c>
      <c r="B3694" s="9">
        <v>9</v>
      </c>
      <c r="C3694" s="257" t="s">
        <v>11257</v>
      </c>
      <c r="D3694" s="9"/>
      <c r="E3694" s="9">
        <v>1721642.4785900116</v>
      </c>
      <c r="F3694" s="257" t="s">
        <v>15971</v>
      </c>
      <c r="G3694" s="9"/>
      <c r="H3694" s="257" t="s">
        <v>21806</v>
      </c>
      <c r="I3694" s="9">
        <v>2</v>
      </c>
    </row>
    <row r="3695" spans="1:9">
      <c r="A3695" s="257" t="s">
        <v>4793</v>
      </c>
      <c r="B3695" s="9">
        <v>9</v>
      </c>
      <c r="C3695" s="257" t="s">
        <v>11257</v>
      </c>
      <c r="D3695" s="9">
        <v>0.1920062433609809</v>
      </c>
      <c r="E3695" s="9">
        <v>1721642.4785900116</v>
      </c>
      <c r="F3695" s="257" t="s">
        <v>15972</v>
      </c>
      <c r="G3695" s="9"/>
      <c r="H3695" s="257" t="s">
        <v>21807</v>
      </c>
      <c r="I3695" s="9">
        <v>2</v>
      </c>
    </row>
    <row r="3696" spans="1:9">
      <c r="A3696" s="257" t="s">
        <v>4794</v>
      </c>
      <c r="B3696" s="9">
        <v>9</v>
      </c>
      <c r="C3696" s="257" t="s">
        <v>11257</v>
      </c>
      <c r="D3696" s="9"/>
      <c r="E3696" s="9">
        <v>1721642.4785900116</v>
      </c>
      <c r="F3696" s="257" t="s">
        <v>15973</v>
      </c>
      <c r="G3696" s="9"/>
      <c r="H3696" s="257" t="s">
        <v>21808</v>
      </c>
      <c r="I3696" s="9">
        <v>2</v>
      </c>
    </row>
    <row r="3697" spans="1:9">
      <c r="A3697" s="257" t="s">
        <v>4795</v>
      </c>
      <c r="B3697" s="9">
        <v>9</v>
      </c>
      <c r="C3697" s="257" t="s">
        <v>11257</v>
      </c>
      <c r="D3697" s="9">
        <v>0.19877087404845209</v>
      </c>
      <c r="E3697" s="9">
        <v>1721642.4785900116</v>
      </c>
      <c r="F3697" s="257" t="s">
        <v>15974</v>
      </c>
      <c r="G3697" s="9"/>
      <c r="H3697" s="257" t="s">
        <v>21809</v>
      </c>
      <c r="I3697" s="9">
        <v>2</v>
      </c>
    </row>
    <row r="3698" spans="1:9">
      <c r="A3698" s="257" t="s">
        <v>4796</v>
      </c>
      <c r="B3698" s="9">
        <v>9</v>
      </c>
      <c r="C3698" s="257" t="s">
        <v>11257</v>
      </c>
      <c r="D3698" s="9">
        <v>0.1625478109489335</v>
      </c>
      <c r="E3698" s="9">
        <v>1721642.4785900116</v>
      </c>
      <c r="F3698" s="257" t="s">
        <v>15975</v>
      </c>
      <c r="G3698" s="9"/>
      <c r="H3698" s="257" t="s">
        <v>21810</v>
      </c>
      <c r="I3698" s="9">
        <v>2</v>
      </c>
    </row>
    <row r="3699" spans="1:9">
      <c r="A3699" s="257" t="s">
        <v>4797</v>
      </c>
      <c r="B3699" s="9">
        <v>9</v>
      </c>
      <c r="C3699" s="257" t="s">
        <v>11257</v>
      </c>
      <c r="D3699" s="9">
        <v>0.19831295479961361</v>
      </c>
      <c r="E3699" s="9">
        <v>1721642.4785900116</v>
      </c>
      <c r="F3699" s="257" t="s">
        <v>15976</v>
      </c>
      <c r="G3699" s="9"/>
      <c r="H3699" s="257" t="s">
        <v>21811</v>
      </c>
      <c r="I3699" s="9">
        <v>2</v>
      </c>
    </row>
    <row r="3700" spans="1:9">
      <c r="A3700" s="257" t="s">
        <v>4798</v>
      </c>
      <c r="B3700" s="9">
        <v>9</v>
      </c>
      <c r="C3700" s="257" t="s">
        <v>11257</v>
      </c>
      <c r="D3700" s="9">
        <v>0.18874347206920317</v>
      </c>
      <c r="E3700" s="9">
        <v>1721642.4785900116</v>
      </c>
      <c r="F3700" s="257" t="s">
        <v>15977</v>
      </c>
      <c r="G3700" s="9"/>
      <c r="H3700" s="257" t="s">
        <v>21812</v>
      </c>
      <c r="I3700" s="9">
        <v>2</v>
      </c>
    </row>
    <row r="3701" spans="1:9">
      <c r="A3701" s="257" t="s">
        <v>4799</v>
      </c>
      <c r="B3701" s="9">
        <v>9</v>
      </c>
      <c r="C3701" s="257" t="s">
        <v>11257</v>
      </c>
      <c r="D3701" s="9">
        <v>0.12876841372157224</v>
      </c>
      <c r="E3701" s="9">
        <v>1721642.4785900116</v>
      </c>
      <c r="F3701" s="257" t="s">
        <v>15978</v>
      </c>
      <c r="G3701" s="9"/>
      <c r="H3701" s="257" t="s">
        <v>21813</v>
      </c>
      <c r="I3701" s="9">
        <v>2</v>
      </c>
    </row>
    <row r="3702" spans="1:9">
      <c r="A3702" s="257" t="s">
        <v>4800</v>
      </c>
      <c r="B3702" s="9">
        <v>9</v>
      </c>
      <c r="C3702" s="257" t="s">
        <v>11257</v>
      </c>
      <c r="D3702" s="9">
        <v>0.1591110880156188</v>
      </c>
      <c r="E3702" s="9">
        <v>1721642.4785900116</v>
      </c>
      <c r="F3702" s="257" t="s">
        <v>15979</v>
      </c>
      <c r="G3702" s="9"/>
      <c r="H3702" s="257" t="s">
        <v>21814</v>
      </c>
      <c r="I3702" s="9">
        <v>2</v>
      </c>
    </row>
    <row r="3703" spans="1:9">
      <c r="A3703" s="257" t="s">
        <v>4801</v>
      </c>
      <c r="B3703" s="9">
        <v>9</v>
      </c>
      <c r="C3703" s="257" t="s">
        <v>11257</v>
      </c>
      <c r="D3703" s="9">
        <v>0.1558840196597002</v>
      </c>
      <c r="E3703" s="9">
        <v>1721642.4785900116</v>
      </c>
      <c r="F3703" s="257" t="s">
        <v>15980</v>
      </c>
      <c r="G3703" s="9"/>
      <c r="H3703" s="257" t="s">
        <v>21815</v>
      </c>
      <c r="I3703" s="9">
        <v>2</v>
      </c>
    </row>
    <row r="3704" spans="1:9">
      <c r="A3704" s="257" t="s">
        <v>4802</v>
      </c>
      <c r="B3704" s="9">
        <v>9</v>
      </c>
      <c r="C3704" s="257" t="s">
        <v>11257</v>
      </c>
      <c r="D3704" s="9">
        <v>0.18874347206920317</v>
      </c>
      <c r="E3704" s="9">
        <v>1721642.4785900116</v>
      </c>
      <c r="F3704" s="257" t="s">
        <v>15981</v>
      </c>
      <c r="G3704" s="9"/>
      <c r="H3704" s="257" t="s">
        <v>21816</v>
      </c>
      <c r="I3704" s="9">
        <v>2</v>
      </c>
    </row>
    <row r="3705" spans="1:9">
      <c r="A3705" s="257" t="s">
        <v>4803</v>
      </c>
      <c r="B3705" s="9">
        <v>9</v>
      </c>
      <c r="C3705" s="257" t="s">
        <v>11257</v>
      </c>
      <c r="D3705" s="9"/>
      <c r="E3705" s="9">
        <v>1721642.4785900116</v>
      </c>
      <c r="F3705" s="257" t="s">
        <v>15982</v>
      </c>
      <c r="G3705" s="9"/>
      <c r="H3705" s="257" t="s">
        <v>21817</v>
      </c>
      <c r="I3705" s="9">
        <v>2</v>
      </c>
    </row>
    <row r="3706" spans="1:9">
      <c r="A3706" s="257" t="s">
        <v>4804</v>
      </c>
      <c r="B3706" s="9">
        <v>9</v>
      </c>
      <c r="C3706" s="257" t="s">
        <v>11257</v>
      </c>
      <c r="D3706" s="9"/>
      <c r="E3706" s="9">
        <v>1721642.4785900116</v>
      </c>
      <c r="F3706" s="257" t="s">
        <v>15983</v>
      </c>
      <c r="G3706" s="9"/>
      <c r="H3706" s="257" t="s">
        <v>21818</v>
      </c>
      <c r="I3706" s="9">
        <v>2</v>
      </c>
    </row>
    <row r="3707" spans="1:9">
      <c r="A3707" s="257" t="s">
        <v>4805</v>
      </c>
      <c r="B3707" s="9">
        <v>10</v>
      </c>
      <c r="C3707" s="257" t="s">
        <v>11257</v>
      </c>
      <c r="D3707" s="9">
        <v>0.30605527858410764</v>
      </c>
      <c r="E3707" s="9">
        <v>1732307.5169143677</v>
      </c>
      <c r="F3707" s="257" t="s">
        <v>15984</v>
      </c>
      <c r="G3707" s="9"/>
      <c r="H3707" s="257" t="s">
        <v>21819</v>
      </c>
      <c r="I3707" s="9">
        <v>2</v>
      </c>
    </row>
    <row r="3708" spans="1:9">
      <c r="A3708" s="257" t="s">
        <v>4806</v>
      </c>
      <c r="B3708" s="9">
        <v>10</v>
      </c>
      <c r="C3708" s="257" t="s">
        <v>11257</v>
      </c>
      <c r="D3708" s="9"/>
      <c r="E3708" s="9">
        <v>1732307.5169143677</v>
      </c>
      <c r="F3708" s="257" t="s">
        <v>15985</v>
      </c>
      <c r="G3708" s="9"/>
      <c r="H3708" s="257" t="s">
        <v>21820</v>
      </c>
      <c r="I3708" s="9">
        <v>2</v>
      </c>
    </row>
    <row r="3709" spans="1:9">
      <c r="A3709" s="257" t="s">
        <v>4807</v>
      </c>
      <c r="B3709" s="9">
        <v>10</v>
      </c>
      <c r="C3709" s="257" t="s">
        <v>11257</v>
      </c>
      <c r="D3709" s="9"/>
      <c r="E3709" s="9">
        <v>1732307.5169143677</v>
      </c>
      <c r="F3709" s="257" t="s">
        <v>15986</v>
      </c>
      <c r="G3709" s="9"/>
      <c r="H3709" s="257" t="s">
        <v>21821</v>
      </c>
      <c r="I3709" s="9">
        <v>2</v>
      </c>
    </row>
    <row r="3710" spans="1:9">
      <c r="A3710" s="257" t="s">
        <v>4808</v>
      </c>
      <c r="B3710" s="9">
        <v>10</v>
      </c>
      <c r="C3710" s="257" t="s">
        <v>11257</v>
      </c>
      <c r="D3710" s="9">
        <v>0.31693200813670214</v>
      </c>
      <c r="E3710" s="9">
        <v>1732307.5169143677</v>
      </c>
      <c r="F3710" s="257" t="s">
        <v>15987</v>
      </c>
      <c r="G3710" s="9"/>
      <c r="H3710" s="257" t="s">
        <v>21822</v>
      </c>
      <c r="I3710" s="9">
        <v>2</v>
      </c>
    </row>
    <row r="3711" spans="1:9">
      <c r="A3711" s="257" t="s">
        <v>4809</v>
      </c>
      <c r="B3711" s="9">
        <v>10</v>
      </c>
      <c r="C3711" s="257" t="s">
        <v>11257</v>
      </c>
      <c r="D3711" s="9">
        <v>0.32361157818993164</v>
      </c>
      <c r="E3711" s="9">
        <v>1732307.5169143677</v>
      </c>
      <c r="F3711" s="257" t="s">
        <v>15988</v>
      </c>
      <c r="G3711" s="9"/>
      <c r="H3711" s="257" t="s">
        <v>21823</v>
      </c>
      <c r="I3711" s="9">
        <v>2</v>
      </c>
    </row>
    <row r="3712" spans="1:9">
      <c r="A3712" s="257" t="s">
        <v>4810</v>
      </c>
      <c r="B3712" s="9">
        <v>10</v>
      </c>
      <c r="C3712" s="257" t="s">
        <v>11257</v>
      </c>
      <c r="D3712" s="9">
        <v>0.38619394972211807</v>
      </c>
      <c r="E3712" s="9">
        <v>1732307.5169143677</v>
      </c>
      <c r="F3712" s="257" t="s">
        <v>15989</v>
      </c>
      <c r="G3712" s="9"/>
      <c r="H3712" s="257" t="s">
        <v>21824</v>
      </c>
      <c r="I3712" s="9">
        <v>2</v>
      </c>
    </row>
    <row r="3713" spans="1:9">
      <c r="A3713" s="257" t="s">
        <v>4811</v>
      </c>
      <c r="B3713" s="9">
        <v>10</v>
      </c>
      <c r="C3713" s="257" t="s">
        <v>11257</v>
      </c>
      <c r="D3713" s="9">
        <v>0.41901513018897418</v>
      </c>
      <c r="E3713" s="9">
        <v>1732307.5169143677</v>
      </c>
      <c r="F3713" s="257" t="s">
        <v>15990</v>
      </c>
      <c r="G3713" s="9"/>
      <c r="H3713" s="257" t="s">
        <v>21825</v>
      </c>
      <c r="I3713" s="9">
        <v>2</v>
      </c>
    </row>
    <row r="3714" spans="1:9">
      <c r="A3714" s="257" t="s">
        <v>4812</v>
      </c>
      <c r="B3714" s="9">
        <v>10</v>
      </c>
      <c r="C3714" s="257" t="s">
        <v>11257</v>
      </c>
      <c r="D3714" s="9"/>
      <c r="E3714" s="9">
        <v>1732307.5169143677</v>
      </c>
      <c r="F3714" s="257" t="s">
        <v>15991</v>
      </c>
      <c r="G3714" s="9"/>
      <c r="H3714" s="257" t="s">
        <v>21826</v>
      </c>
      <c r="I3714" s="9">
        <v>2</v>
      </c>
    </row>
    <row r="3715" spans="1:9">
      <c r="A3715" s="257" t="s">
        <v>4813</v>
      </c>
      <c r="B3715" s="9">
        <v>10</v>
      </c>
      <c r="C3715" s="257" t="s">
        <v>11257</v>
      </c>
      <c r="D3715" s="9">
        <v>0.4345120398783387</v>
      </c>
      <c r="E3715" s="9">
        <v>1732307.5169143677</v>
      </c>
      <c r="F3715" s="257" t="s">
        <v>15992</v>
      </c>
      <c r="G3715" s="9"/>
      <c r="H3715" s="257" t="s">
        <v>21827</v>
      </c>
      <c r="I3715" s="9">
        <v>2</v>
      </c>
    </row>
    <row r="3716" spans="1:9">
      <c r="A3716" s="257" t="s">
        <v>4814</v>
      </c>
      <c r="B3716" s="9">
        <v>10</v>
      </c>
      <c r="C3716" s="257" t="s">
        <v>11257</v>
      </c>
      <c r="D3716" s="9">
        <v>0.36441220751810355</v>
      </c>
      <c r="E3716" s="9">
        <v>1732307.5169143677</v>
      </c>
      <c r="F3716" s="257" t="s">
        <v>15993</v>
      </c>
      <c r="G3716" s="9"/>
      <c r="H3716" s="257" t="s">
        <v>21828</v>
      </c>
      <c r="I3716" s="9">
        <v>2</v>
      </c>
    </row>
    <row r="3717" spans="1:9">
      <c r="A3717" s="257" t="s">
        <v>4815</v>
      </c>
      <c r="B3717" s="9">
        <v>10</v>
      </c>
      <c r="C3717" s="257" t="s">
        <v>11257</v>
      </c>
      <c r="D3717" s="9">
        <v>0.31693200813670214</v>
      </c>
      <c r="E3717" s="9">
        <v>1732307.5169143677</v>
      </c>
      <c r="F3717" s="257" t="s">
        <v>15994</v>
      </c>
      <c r="G3717" s="9"/>
      <c r="H3717" s="257" t="s">
        <v>21829</v>
      </c>
      <c r="I3717" s="9">
        <v>2</v>
      </c>
    </row>
    <row r="3718" spans="1:9">
      <c r="A3718" s="257" t="s">
        <v>4816</v>
      </c>
      <c r="B3718" s="9">
        <v>10</v>
      </c>
      <c r="C3718" s="257" t="s">
        <v>11257</v>
      </c>
      <c r="D3718" s="9">
        <v>0.31061714428928661</v>
      </c>
      <c r="E3718" s="9">
        <v>1732307.5169143677</v>
      </c>
      <c r="F3718" s="257" t="s">
        <v>15995</v>
      </c>
      <c r="G3718" s="9"/>
      <c r="H3718" s="257" t="s">
        <v>21830</v>
      </c>
      <c r="I3718" s="9">
        <v>2</v>
      </c>
    </row>
    <row r="3719" spans="1:9">
      <c r="A3719" s="257" t="s">
        <v>4817</v>
      </c>
      <c r="B3719" s="9">
        <v>10</v>
      </c>
      <c r="C3719" s="257" t="s">
        <v>11257</v>
      </c>
      <c r="D3719" s="9">
        <v>0.34645958719625897</v>
      </c>
      <c r="E3719" s="9">
        <v>1732307.5169143677</v>
      </c>
      <c r="F3719" s="257" t="s">
        <v>15996</v>
      </c>
      <c r="G3719" s="9"/>
      <c r="H3719" s="257" t="s">
        <v>21831</v>
      </c>
      <c r="I3719" s="9">
        <v>2</v>
      </c>
    </row>
    <row r="3720" spans="1:9">
      <c r="A3720" s="257" t="s">
        <v>4818</v>
      </c>
      <c r="B3720" s="9">
        <v>10</v>
      </c>
      <c r="C3720" s="257" t="s">
        <v>11257</v>
      </c>
      <c r="D3720" s="9"/>
      <c r="E3720" s="9">
        <v>1732307.5169143677</v>
      </c>
      <c r="F3720" s="257" t="s">
        <v>15997</v>
      </c>
      <c r="G3720" s="9"/>
      <c r="H3720" s="257" t="s">
        <v>21832</v>
      </c>
      <c r="I3720" s="9">
        <v>2</v>
      </c>
    </row>
    <row r="3721" spans="1:9">
      <c r="A3721" s="257" t="s">
        <v>4819</v>
      </c>
      <c r="B3721" s="9">
        <v>10</v>
      </c>
      <c r="C3721" s="257" t="s">
        <v>11257</v>
      </c>
      <c r="D3721" s="9">
        <v>0.30735454286124825</v>
      </c>
      <c r="E3721" s="9">
        <v>1732307.5169143677</v>
      </c>
      <c r="F3721" s="257" t="s">
        <v>15998</v>
      </c>
      <c r="G3721" s="9"/>
      <c r="H3721" s="257" t="s">
        <v>21833</v>
      </c>
      <c r="I3721" s="9">
        <v>2</v>
      </c>
    </row>
    <row r="3722" spans="1:9">
      <c r="A3722" s="257" t="s">
        <v>4820</v>
      </c>
      <c r="B3722" s="9">
        <v>10</v>
      </c>
      <c r="C3722" s="257" t="s">
        <v>11257</v>
      </c>
      <c r="D3722" s="9">
        <v>0.32383682290307375</v>
      </c>
      <c r="E3722" s="9">
        <v>1732307.5169143677</v>
      </c>
      <c r="F3722" s="257" t="s">
        <v>15999</v>
      </c>
      <c r="G3722" s="9"/>
      <c r="H3722" s="257" t="s">
        <v>21834</v>
      </c>
      <c r="I3722" s="9">
        <v>2</v>
      </c>
    </row>
    <row r="3723" spans="1:9">
      <c r="A3723" s="257" t="s">
        <v>4821</v>
      </c>
      <c r="B3723" s="9">
        <v>10</v>
      </c>
      <c r="C3723" s="257" t="s">
        <v>11257</v>
      </c>
      <c r="D3723" s="9">
        <v>0.33860822581877076</v>
      </c>
      <c r="E3723" s="9">
        <v>1732307.5169143677</v>
      </c>
      <c r="F3723" s="257" t="s">
        <v>16000</v>
      </c>
      <c r="G3723" s="9"/>
      <c r="H3723" s="257" t="s">
        <v>21835</v>
      </c>
      <c r="I3723" s="9">
        <v>2</v>
      </c>
    </row>
    <row r="3724" spans="1:9">
      <c r="A3724" s="257" t="s">
        <v>4822</v>
      </c>
      <c r="B3724" s="9">
        <v>10</v>
      </c>
      <c r="C3724" s="257" t="s">
        <v>11257</v>
      </c>
      <c r="D3724" s="9">
        <v>0.36327128326234931</v>
      </c>
      <c r="E3724" s="9">
        <v>1732307.5169143677</v>
      </c>
      <c r="F3724" s="257" t="s">
        <v>16001</v>
      </c>
      <c r="G3724" s="9"/>
      <c r="H3724" s="257" t="s">
        <v>21836</v>
      </c>
      <c r="I3724" s="9">
        <v>2</v>
      </c>
    </row>
    <row r="3725" spans="1:9">
      <c r="A3725" s="257" t="s">
        <v>4823</v>
      </c>
      <c r="B3725" s="9">
        <v>10</v>
      </c>
      <c r="C3725" s="257" t="s">
        <v>11257</v>
      </c>
      <c r="D3725" s="9">
        <v>0.47418962187226432</v>
      </c>
      <c r="E3725" s="9">
        <v>1732307.5169143677</v>
      </c>
      <c r="F3725" s="257" t="s">
        <v>16002</v>
      </c>
      <c r="G3725" s="9"/>
      <c r="H3725" s="257" t="s">
        <v>21837</v>
      </c>
      <c r="I3725" s="9">
        <v>2</v>
      </c>
    </row>
    <row r="3726" spans="1:9">
      <c r="A3726" s="257" t="s">
        <v>4824</v>
      </c>
      <c r="B3726" s="9">
        <v>10</v>
      </c>
      <c r="C3726" s="257" t="s">
        <v>11257</v>
      </c>
      <c r="D3726" s="9"/>
      <c r="E3726" s="9">
        <v>1732307.5169143677</v>
      </c>
      <c r="F3726" s="257" t="s">
        <v>16003</v>
      </c>
      <c r="G3726" s="9"/>
      <c r="H3726" s="257" t="s">
        <v>21838</v>
      </c>
      <c r="I3726" s="9">
        <v>2</v>
      </c>
    </row>
    <row r="3727" spans="1:9">
      <c r="A3727" s="257" t="s">
        <v>4825</v>
      </c>
      <c r="B3727" s="9">
        <v>10</v>
      </c>
      <c r="C3727" s="257" t="s">
        <v>11257</v>
      </c>
      <c r="D3727" s="9">
        <v>0.34220045221980022</v>
      </c>
      <c r="E3727" s="9">
        <v>1732307.5169143677</v>
      </c>
      <c r="F3727" s="257" t="s">
        <v>16004</v>
      </c>
      <c r="G3727" s="9"/>
      <c r="H3727" s="257" t="s">
        <v>21839</v>
      </c>
      <c r="I3727" s="9">
        <v>2</v>
      </c>
    </row>
    <row r="3728" spans="1:9">
      <c r="A3728" s="257" t="s">
        <v>4826</v>
      </c>
      <c r="B3728" s="9">
        <v>10</v>
      </c>
      <c r="C3728" s="257" t="s">
        <v>11257</v>
      </c>
      <c r="D3728" s="9"/>
      <c r="E3728" s="9">
        <v>1732307.5169143677</v>
      </c>
      <c r="F3728" s="257" t="s">
        <v>16005</v>
      </c>
      <c r="G3728" s="9"/>
      <c r="H3728" s="257" t="s">
        <v>21840</v>
      </c>
      <c r="I3728" s="9">
        <v>2</v>
      </c>
    </row>
    <row r="3729" spans="1:9">
      <c r="A3729" s="257" t="s">
        <v>4827</v>
      </c>
      <c r="B3729" s="9">
        <v>10</v>
      </c>
      <c r="C3729" s="257" t="s">
        <v>11257</v>
      </c>
      <c r="D3729" s="9">
        <v>0.32361157818993164</v>
      </c>
      <c r="E3729" s="9">
        <v>1732307.5169143677</v>
      </c>
      <c r="F3729" s="257" t="s">
        <v>16006</v>
      </c>
      <c r="G3729" s="9"/>
      <c r="H3729" s="257" t="s">
        <v>21841</v>
      </c>
      <c r="I3729" s="9">
        <v>2</v>
      </c>
    </row>
    <row r="3730" spans="1:9">
      <c r="A3730" s="257" t="s">
        <v>4828</v>
      </c>
      <c r="B3730" s="9">
        <v>10</v>
      </c>
      <c r="C3730" s="257" t="s">
        <v>11257</v>
      </c>
      <c r="D3730" s="9">
        <v>0.31093741536215935</v>
      </c>
      <c r="E3730" s="9">
        <v>1732307.5169143677</v>
      </c>
      <c r="F3730" s="257" t="s">
        <v>16007</v>
      </c>
      <c r="G3730" s="9"/>
      <c r="H3730" s="257" t="s">
        <v>21842</v>
      </c>
      <c r="I3730" s="9">
        <v>2</v>
      </c>
    </row>
    <row r="3731" spans="1:9">
      <c r="A3731" s="257" t="s">
        <v>4829</v>
      </c>
      <c r="B3731" s="9">
        <v>10</v>
      </c>
      <c r="C3731" s="257" t="s">
        <v>11257</v>
      </c>
      <c r="D3731" s="9">
        <v>0.65567707439464573</v>
      </c>
      <c r="E3731" s="9">
        <v>1732307.5169143677</v>
      </c>
      <c r="F3731" s="257" t="s">
        <v>16008</v>
      </c>
      <c r="G3731" s="9"/>
      <c r="H3731" s="257" t="s">
        <v>21843</v>
      </c>
      <c r="I3731" s="9">
        <v>2</v>
      </c>
    </row>
    <row r="3732" spans="1:9">
      <c r="A3732" s="257" t="s">
        <v>4830</v>
      </c>
      <c r="B3732" s="9">
        <v>0</v>
      </c>
      <c r="C3732" s="257" t="s">
        <v>11258</v>
      </c>
      <c r="D3732" s="9">
        <v>9358875.1424636841</v>
      </c>
      <c r="E3732" s="9">
        <v>17258998.467498779</v>
      </c>
      <c r="F3732" s="257" t="s">
        <v>16009</v>
      </c>
      <c r="G3732" s="9">
        <v>1</v>
      </c>
      <c r="H3732" s="257" t="s">
        <v>21844</v>
      </c>
      <c r="I3732" s="9">
        <v>2</v>
      </c>
    </row>
    <row r="3733" spans="1:9">
      <c r="A3733" s="257" t="s">
        <v>4831</v>
      </c>
      <c r="B3733" s="9">
        <v>0</v>
      </c>
      <c r="C3733" s="257" t="s">
        <v>11259</v>
      </c>
      <c r="D3733" s="9">
        <v>57931371203.867264</v>
      </c>
      <c r="E3733" s="9">
        <v>17258998.467498779</v>
      </c>
      <c r="F3733" s="257" t="s">
        <v>16009</v>
      </c>
      <c r="G3733" s="9">
        <v>1</v>
      </c>
      <c r="H3733" s="257" t="s">
        <v>21845</v>
      </c>
      <c r="I3733" s="9">
        <v>2</v>
      </c>
    </row>
    <row r="3734" spans="1:9">
      <c r="A3734" s="257" t="s">
        <v>4832</v>
      </c>
      <c r="B3734" s="9">
        <v>0</v>
      </c>
      <c r="C3734" s="257" t="s">
        <v>11260</v>
      </c>
      <c r="D3734" s="9">
        <v>0.54226061611210041</v>
      </c>
      <c r="E3734" s="9">
        <v>17258998.467498779</v>
      </c>
      <c r="F3734" s="257" t="s">
        <v>16009</v>
      </c>
      <c r="G3734" s="9">
        <v>1</v>
      </c>
      <c r="H3734" s="257" t="s">
        <v>21846</v>
      </c>
      <c r="I3734" s="9">
        <v>2</v>
      </c>
    </row>
    <row r="3735" spans="1:9">
      <c r="A3735" s="257" t="s">
        <v>4833</v>
      </c>
      <c r="B3735" s="9">
        <v>0</v>
      </c>
      <c r="C3735" s="257" t="s">
        <v>11261</v>
      </c>
      <c r="D3735" s="9">
        <v>3356.5893938145086</v>
      </c>
      <c r="E3735" s="9">
        <v>17258998.467498779</v>
      </c>
      <c r="F3735" s="257" t="s">
        <v>16009</v>
      </c>
      <c r="G3735" s="9">
        <v>1</v>
      </c>
      <c r="H3735" s="257" t="s">
        <v>21847</v>
      </c>
      <c r="I3735" s="9">
        <v>2</v>
      </c>
    </row>
    <row r="3736" spans="1:9">
      <c r="A3736" s="257" t="s">
        <v>4834</v>
      </c>
      <c r="B3736" s="9">
        <v>0</v>
      </c>
      <c r="C3736" s="257" t="s">
        <v>11262</v>
      </c>
      <c r="D3736" s="9">
        <v>0</v>
      </c>
      <c r="E3736" s="9">
        <v>17258998.467498779</v>
      </c>
      <c r="F3736" s="257" t="s">
        <v>16010</v>
      </c>
      <c r="G3736" s="9">
        <v>1</v>
      </c>
      <c r="H3736" s="257" t="s">
        <v>21848</v>
      </c>
      <c r="I3736" s="9">
        <v>2</v>
      </c>
    </row>
    <row r="3737" spans="1:9">
      <c r="A3737" s="257" t="s">
        <v>4835</v>
      </c>
      <c r="B3737" s="9">
        <v>0</v>
      </c>
      <c r="C3737" s="257" t="s">
        <v>11263</v>
      </c>
      <c r="D3737" s="9">
        <v>0</v>
      </c>
      <c r="E3737" s="9">
        <v>17258998.467498779</v>
      </c>
      <c r="F3737" s="257" t="s">
        <v>16010</v>
      </c>
      <c r="G3737" s="9">
        <v>1</v>
      </c>
      <c r="H3737" s="257" t="s">
        <v>21849</v>
      </c>
      <c r="I3737" s="9">
        <v>2</v>
      </c>
    </row>
    <row r="3738" spans="1:9">
      <c r="A3738" s="257" t="s">
        <v>4836</v>
      </c>
      <c r="B3738" s="9">
        <v>0</v>
      </c>
      <c r="C3738" s="257" t="s">
        <v>11264</v>
      </c>
      <c r="D3738" s="9">
        <v>0</v>
      </c>
      <c r="E3738" s="9">
        <v>17258998.467498779</v>
      </c>
      <c r="F3738" s="257" t="s">
        <v>16010</v>
      </c>
      <c r="G3738" s="9">
        <v>1</v>
      </c>
      <c r="H3738" s="257" t="s">
        <v>21850</v>
      </c>
      <c r="I3738" s="9">
        <v>2</v>
      </c>
    </row>
    <row r="3739" spans="1:9">
      <c r="A3739" s="257" t="s">
        <v>4837</v>
      </c>
      <c r="B3739" s="9">
        <v>0</v>
      </c>
      <c r="C3739" s="257" t="s">
        <v>11265</v>
      </c>
      <c r="D3739" s="9">
        <v>0</v>
      </c>
      <c r="E3739" s="9">
        <v>17258998.467498779</v>
      </c>
      <c r="F3739" s="257" t="s">
        <v>16010</v>
      </c>
      <c r="G3739" s="9">
        <v>1</v>
      </c>
      <c r="H3739" s="257" t="s">
        <v>21851</v>
      </c>
      <c r="I3739" s="9">
        <v>2</v>
      </c>
    </row>
    <row r="3740" spans="1:9">
      <c r="A3740" s="257" t="s">
        <v>4838</v>
      </c>
      <c r="B3740" s="9">
        <v>0</v>
      </c>
      <c r="C3740" s="257" t="s">
        <v>11266</v>
      </c>
      <c r="D3740" s="9">
        <v>10135037.744981766</v>
      </c>
      <c r="E3740" s="9">
        <v>17258998.467498779</v>
      </c>
      <c r="F3740" s="257" t="s">
        <v>16011</v>
      </c>
      <c r="G3740" s="9">
        <v>1</v>
      </c>
      <c r="H3740" s="257" t="s">
        <v>21852</v>
      </c>
      <c r="I3740" s="9">
        <v>2</v>
      </c>
    </row>
    <row r="3741" spans="1:9">
      <c r="A3741" s="257" t="s">
        <v>4839</v>
      </c>
      <c r="B3741" s="9">
        <v>0</v>
      </c>
      <c r="C3741" s="257" t="s">
        <v>11267</v>
      </c>
      <c r="D3741" s="9">
        <v>4096820057.7027817</v>
      </c>
      <c r="E3741" s="9">
        <v>17258998.467498779</v>
      </c>
      <c r="F3741" s="257" t="s">
        <v>16011</v>
      </c>
      <c r="G3741" s="9">
        <v>1</v>
      </c>
      <c r="H3741" s="257" t="s">
        <v>21853</v>
      </c>
      <c r="I3741" s="9">
        <v>2</v>
      </c>
    </row>
    <row r="3742" spans="1:9">
      <c r="A3742" s="257" t="s">
        <v>4840</v>
      </c>
      <c r="B3742" s="9">
        <v>0</v>
      </c>
      <c r="C3742" s="257" t="s">
        <v>11268</v>
      </c>
      <c r="D3742" s="9">
        <v>0.58723209020891487</v>
      </c>
      <c r="E3742" s="9">
        <v>17258998.467498779</v>
      </c>
      <c r="F3742" s="257" t="s">
        <v>16011</v>
      </c>
      <c r="G3742" s="9">
        <v>1</v>
      </c>
      <c r="H3742" s="257" t="s">
        <v>21854</v>
      </c>
      <c r="I3742" s="9">
        <v>2</v>
      </c>
    </row>
    <row r="3743" spans="1:9">
      <c r="A3743" s="257" t="s">
        <v>4841</v>
      </c>
      <c r="B3743" s="9">
        <v>0</v>
      </c>
      <c r="C3743" s="257" t="s">
        <v>11269</v>
      </c>
      <c r="D3743" s="9">
        <v>237.37298925066213</v>
      </c>
      <c r="E3743" s="9">
        <v>17258998.467498779</v>
      </c>
      <c r="F3743" s="257" t="s">
        <v>16011</v>
      </c>
      <c r="G3743" s="9">
        <v>1</v>
      </c>
      <c r="H3743" s="257" t="s">
        <v>21855</v>
      </c>
      <c r="I3743" s="9">
        <v>2</v>
      </c>
    </row>
    <row r="3744" spans="1:9">
      <c r="A3744" s="257" t="s">
        <v>4842</v>
      </c>
      <c r="B3744" s="9">
        <v>0</v>
      </c>
      <c r="C3744" s="257" t="s">
        <v>11270</v>
      </c>
      <c r="D3744" s="9">
        <v>0</v>
      </c>
      <c r="E3744" s="9">
        <v>17258998.467498779</v>
      </c>
      <c r="F3744" s="257" t="s">
        <v>16012</v>
      </c>
      <c r="G3744" s="9">
        <v>1</v>
      </c>
      <c r="H3744" s="257" t="s">
        <v>21856</v>
      </c>
      <c r="I3744" s="9">
        <v>2</v>
      </c>
    </row>
    <row r="3745" spans="1:9">
      <c r="A3745" s="257" t="s">
        <v>4843</v>
      </c>
      <c r="B3745" s="9">
        <v>0</v>
      </c>
      <c r="C3745" s="257" t="s">
        <v>11271</v>
      </c>
      <c r="D3745" s="9">
        <v>0</v>
      </c>
      <c r="E3745" s="9">
        <v>17258998.467498779</v>
      </c>
      <c r="F3745" s="257" t="s">
        <v>16012</v>
      </c>
      <c r="G3745" s="9">
        <v>1</v>
      </c>
      <c r="H3745" s="257" t="s">
        <v>21857</v>
      </c>
      <c r="I3745" s="9">
        <v>2</v>
      </c>
    </row>
    <row r="3746" spans="1:9">
      <c r="A3746" s="257" t="s">
        <v>4844</v>
      </c>
      <c r="B3746" s="9">
        <v>0</v>
      </c>
      <c r="C3746" s="257" t="s">
        <v>11272</v>
      </c>
      <c r="D3746" s="9">
        <v>0</v>
      </c>
      <c r="E3746" s="9">
        <v>17258998.467498779</v>
      </c>
      <c r="F3746" s="257" t="s">
        <v>16012</v>
      </c>
      <c r="G3746" s="9">
        <v>1</v>
      </c>
      <c r="H3746" s="257" t="s">
        <v>21858</v>
      </c>
      <c r="I3746" s="9">
        <v>2</v>
      </c>
    </row>
    <row r="3747" spans="1:9">
      <c r="A3747" s="257" t="s">
        <v>4845</v>
      </c>
      <c r="B3747" s="9">
        <v>0</v>
      </c>
      <c r="C3747" s="257" t="s">
        <v>11273</v>
      </c>
      <c r="D3747" s="9">
        <v>0</v>
      </c>
      <c r="E3747" s="9">
        <v>17258998.467498779</v>
      </c>
      <c r="F3747" s="257" t="s">
        <v>16012</v>
      </c>
      <c r="G3747" s="9">
        <v>1</v>
      </c>
      <c r="H3747" s="257" t="s">
        <v>21859</v>
      </c>
      <c r="I3747" s="9">
        <v>2</v>
      </c>
    </row>
    <row r="3748" spans="1:9">
      <c r="A3748" s="257" t="s">
        <v>4846</v>
      </c>
      <c r="B3748" s="9">
        <v>0</v>
      </c>
      <c r="C3748" s="257" t="s">
        <v>11274</v>
      </c>
      <c r="D3748" s="9">
        <v>0</v>
      </c>
      <c r="E3748" s="9">
        <v>17258998.467498779</v>
      </c>
      <c r="F3748" s="257" t="s">
        <v>16013</v>
      </c>
      <c r="G3748" s="9">
        <v>1</v>
      </c>
      <c r="H3748" s="257" t="s">
        <v>21860</v>
      </c>
      <c r="I3748" s="9">
        <v>2</v>
      </c>
    </row>
    <row r="3749" spans="1:9">
      <c r="A3749" s="257" t="s">
        <v>4847</v>
      </c>
      <c r="B3749" s="9">
        <v>0</v>
      </c>
      <c r="C3749" s="257" t="s">
        <v>11275</v>
      </c>
      <c r="D3749" s="9">
        <v>0</v>
      </c>
      <c r="E3749" s="9">
        <v>17258998.467498779</v>
      </c>
      <c r="F3749" s="257" t="s">
        <v>16013</v>
      </c>
      <c r="G3749" s="9">
        <v>1</v>
      </c>
      <c r="H3749" s="257" t="s">
        <v>21861</v>
      </c>
      <c r="I3749" s="9">
        <v>2</v>
      </c>
    </row>
    <row r="3750" spans="1:9">
      <c r="A3750" s="257" t="s">
        <v>4848</v>
      </c>
      <c r="B3750" s="9">
        <v>0</v>
      </c>
      <c r="C3750" s="257" t="s">
        <v>11276</v>
      </c>
      <c r="D3750" s="9">
        <v>0</v>
      </c>
      <c r="E3750" s="9">
        <v>17258998.467498779</v>
      </c>
      <c r="F3750" s="257" t="s">
        <v>16013</v>
      </c>
      <c r="G3750" s="9">
        <v>1</v>
      </c>
      <c r="H3750" s="257" t="s">
        <v>21862</v>
      </c>
      <c r="I3750" s="9">
        <v>2</v>
      </c>
    </row>
    <row r="3751" spans="1:9">
      <c r="A3751" s="257" t="s">
        <v>4849</v>
      </c>
      <c r="B3751" s="9">
        <v>0</v>
      </c>
      <c r="C3751" s="257" t="s">
        <v>11277</v>
      </c>
      <c r="D3751" s="9">
        <v>0</v>
      </c>
      <c r="E3751" s="9">
        <v>17258998.467498779</v>
      </c>
      <c r="F3751" s="257" t="s">
        <v>16013</v>
      </c>
      <c r="G3751" s="9">
        <v>1</v>
      </c>
      <c r="H3751" s="257" t="s">
        <v>21863</v>
      </c>
      <c r="I3751" s="9">
        <v>2</v>
      </c>
    </row>
    <row r="3752" spans="1:9">
      <c r="A3752" s="257" t="s">
        <v>4850</v>
      </c>
      <c r="B3752" s="9">
        <v>0</v>
      </c>
      <c r="C3752" s="257" t="s">
        <v>11278</v>
      </c>
      <c r="D3752" s="9">
        <v>0</v>
      </c>
      <c r="E3752" s="9">
        <v>17258998.467498779</v>
      </c>
      <c r="F3752" s="257" t="s">
        <v>16014</v>
      </c>
      <c r="G3752" s="9">
        <v>1</v>
      </c>
      <c r="H3752" s="257" t="s">
        <v>21864</v>
      </c>
      <c r="I3752" s="9">
        <v>2</v>
      </c>
    </row>
    <row r="3753" spans="1:9">
      <c r="A3753" s="257" t="s">
        <v>4851</v>
      </c>
      <c r="B3753" s="9">
        <v>0</v>
      </c>
      <c r="C3753" s="257" t="s">
        <v>11279</v>
      </c>
      <c r="D3753" s="9">
        <v>0</v>
      </c>
      <c r="E3753" s="9">
        <v>17258998.467498779</v>
      </c>
      <c r="F3753" s="257" t="s">
        <v>16014</v>
      </c>
      <c r="G3753" s="9">
        <v>1</v>
      </c>
      <c r="H3753" s="257" t="s">
        <v>21865</v>
      </c>
      <c r="I3753" s="9">
        <v>2</v>
      </c>
    </row>
    <row r="3754" spans="1:9">
      <c r="A3754" s="257" t="s">
        <v>4852</v>
      </c>
      <c r="B3754" s="9">
        <v>0</v>
      </c>
      <c r="C3754" s="257" t="s">
        <v>11280</v>
      </c>
      <c r="D3754" s="9">
        <v>0</v>
      </c>
      <c r="E3754" s="9">
        <v>17258998.467498779</v>
      </c>
      <c r="F3754" s="257" t="s">
        <v>16014</v>
      </c>
      <c r="G3754" s="9">
        <v>1</v>
      </c>
      <c r="H3754" s="257" t="s">
        <v>21866</v>
      </c>
      <c r="I3754" s="9">
        <v>2</v>
      </c>
    </row>
    <row r="3755" spans="1:9">
      <c r="A3755" s="257" t="s">
        <v>4853</v>
      </c>
      <c r="B3755" s="9">
        <v>0</v>
      </c>
      <c r="C3755" s="257" t="s">
        <v>11281</v>
      </c>
      <c r="D3755" s="9">
        <v>0</v>
      </c>
      <c r="E3755" s="9">
        <v>17258998.467498779</v>
      </c>
      <c r="F3755" s="257" t="s">
        <v>16014</v>
      </c>
      <c r="G3755" s="9">
        <v>1</v>
      </c>
      <c r="H3755" s="257" t="s">
        <v>21867</v>
      </c>
      <c r="I3755" s="9">
        <v>2</v>
      </c>
    </row>
    <row r="3756" spans="1:9">
      <c r="A3756" s="257" t="s">
        <v>4854</v>
      </c>
      <c r="B3756" s="9">
        <v>0</v>
      </c>
      <c r="C3756" s="257" t="s">
        <v>11282</v>
      </c>
      <c r="D3756" s="9">
        <v>10135037.744981766</v>
      </c>
      <c r="E3756" s="9">
        <v>17258998.467498779</v>
      </c>
      <c r="F3756" s="257" t="s">
        <v>16015</v>
      </c>
      <c r="G3756" s="9">
        <v>1</v>
      </c>
      <c r="H3756" s="257" t="s">
        <v>21868</v>
      </c>
      <c r="I3756" s="9">
        <v>2</v>
      </c>
    </row>
    <row r="3757" spans="1:9">
      <c r="A3757" s="257" t="s">
        <v>4855</v>
      </c>
      <c r="B3757" s="9">
        <v>0</v>
      </c>
      <c r="C3757" s="257" t="s">
        <v>11283</v>
      </c>
      <c r="D3757" s="9">
        <v>4096820057.7027817</v>
      </c>
      <c r="E3757" s="9">
        <v>17258998.467498779</v>
      </c>
      <c r="F3757" s="257" t="s">
        <v>16015</v>
      </c>
      <c r="G3757" s="9">
        <v>1</v>
      </c>
      <c r="H3757" s="257" t="s">
        <v>21869</v>
      </c>
      <c r="I3757" s="9">
        <v>2</v>
      </c>
    </row>
    <row r="3758" spans="1:9">
      <c r="A3758" s="257" t="s">
        <v>4856</v>
      </c>
      <c r="B3758" s="9">
        <v>0</v>
      </c>
      <c r="C3758" s="257" t="s">
        <v>11284</v>
      </c>
      <c r="D3758" s="9">
        <v>0.58723209020891487</v>
      </c>
      <c r="E3758" s="9">
        <v>17258998.467498779</v>
      </c>
      <c r="F3758" s="257" t="s">
        <v>16015</v>
      </c>
      <c r="G3758" s="9">
        <v>1</v>
      </c>
      <c r="H3758" s="257" t="s">
        <v>21870</v>
      </c>
      <c r="I3758" s="9">
        <v>2</v>
      </c>
    </row>
    <row r="3759" spans="1:9">
      <c r="A3759" s="257" t="s">
        <v>4857</v>
      </c>
      <c r="B3759" s="9">
        <v>0</v>
      </c>
      <c r="C3759" s="257" t="s">
        <v>11285</v>
      </c>
      <c r="D3759" s="9">
        <v>237.37298925066213</v>
      </c>
      <c r="E3759" s="9">
        <v>17258998.467498779</v>
      </c>
      <c r="F3759" s="257" t="s">
        <v>16015</v>
      </c>
      <c r="G3759" s="9">
        <v>1</v>
      </c>
      <c r="H3759" s="257" t="s">
        <v>21871</v>
      </c>
      <c r="I3759" s="9">
        <v>2</v>
      </c>
    </row>
    <row r="3760" spans="1:9">
      <c r="A3760" s="257" t="s">
        <v>4858</v>
      </c>
      <c r="B3760" s="9">
        <v>0</v>
      </c>
      <c r="C3760" s="257" t="s">
        <v>11286</v>
      </c>
      <c r="D3760" s="9">
        <v>0</v>
      </c>
      <c r="E3760" s="9">
        <v>17258998.467498779</v>
      </c>
      <c r="F3760" s="257" t="s">
        <v>16016</v>
      </c>
      <c r="G3760" s="9">
        <v>1</v>
      </c>
      <c r="H3760" s="257" t="s">
        <v>21872</v>
      </c>
      <c r="I3760" s="9">
        <v>2</v>
      </c>
    </row>
    <row r="3761" spans="1:9">
      <c r="A3761" s="257" t="s">
        <v>4859</v>
      </c>
      <c r="B3761" s="9">
        <v>0</v>
      </c>
      <c r="C3761" s="257" t="s">
        <v>11287</v>
      </c>
      <c r="D3761" s="9">
        <v>0</v>
      </c>
      <c r="E3761" s="9">
        <v>17258998.467498779</v>
      </c>
      <c r="F3761" s="257" t="s">
        <v>16016</v>
      </c>
      <c r="G3761" s="9">
        <v>1</v>
      </c>
      <c r="H3761" s="257" t="s">
        <v>21873</v>
      </c>
      <c r="I3761" s="9">
        <v>2</v>
      </c>
    </row>
    <row r="3762" spans="1:9">
      <c r="A3762" s="257" t="s">
        <v>4860</v>
      </c>
      <c r="B3762" s="9">
        <v>0</v>
      </c>
      <c r="C3762" s="257" t="s">
        <v>11288</v>
      </c>
      <c r="D3762" s="9">
        <v>0</v>
      </c>
      <c r="E3762" s="9">
        <v>17258998.467498779</v>
      </c>
      <c r="F3762" s="257" t="s">
        <v>16016</v>
      </c>
      <c r="G3762" s="9">
        <v>1</v>
      </c>
      <c r="H3762" s="257" t="s">
        <v>21874</v>
      </c>
      <c r="I3762" s="9">
        <v>2</v>
      </c>
    </row>
    <row r="3763" spans="1:9">
      <c r="A3763" s="257" t="s">
        <v>4861</v>
      </c>
      <c r="B3763" s="9">
        <v>0</v>
      </c>
      <c r="C3763" s="257" t="s">
        <v>11289</v>
      </c>
      <c r="D3763" s="9">
        <v>0</v>
      </c>
      <c r="E3763" s="9">
        <v>17258998.467498779</v>
      </c>
      <c r="F3763" s="257" t="s">
        <v>16016</v>
      </c>
      <c r="G3763" s="9">
        <v>1</v>
      </c>
      <c r="H3763" s="257" t="s">
        <v>21875</v>
      </c>
      <c r="I3763" s="9">
        <v>2</v>
      </c>
    </row>
    <row r="3764" spans="1:9">
      <c r="A3764" s="257" t="s">
        <v>4862</v>
      </c>
      <c r="B3764" s="9">
        <v>0</v>
      </c>
      <c r="C3764" s="257" t="s">
        <v>11290</v>
      </c>
      <c r="D3764" s="9">
        <v>17247749.639862061</v>
      </c>
      <c r="E3764" s="9">
        <v>17258998.467498779</v>
      </c>
      <c r="F3764" s="257" t="s">
        <v>16017</v>
      </c>
      <c r="G3764" s="9">
        <v>1</v>
      </c>
      <c r="H3764" s="257" t="s">
        <v>21876</v>
      </c>
      <c r="I3764" s="9">
        <v>2</v>
      </c>
    </row>
    <row r="3765" spans="1:9">
      <c r="A3765" s="257" t="s">
        <v>4863</v>
      </c>
      <c r="B3765" s="9">
        <v>0</v>
      </c>
      <c r="C3765" s="257" t="s">
        <v>11291</v>
      </c>
      <c r="D3765" s="9">
        <v>125586892739.85909</v>
      </c>
      <c r="E3765" s="9">
        <v>17258998.467498779</v>
      </c>
      <c r="F3765" s="257" t="s">
        <v>16017</v>
      </c>
      <c r="G3765" s="9">
        <v>1</v>
      </c>
      <c r="H3765" s="257" t="s">
        <v>21877</v>
      </c>
      <c r="I3765" s="9">
        <v>2</v>
      </c>
    </row>
    <row r="3766" spans="1:9">
      <c r="A3766" s="257" t="s">
        <v>4864</v>
      </c>
      <c r="B3766" s="9">
        <v>0</v>
      </c>
      <c r="C3766" s="257" t="s">
        <v>11292</v>
      </c>
      <c r="D3766" s="9">
        <v>0.99934823404394513</v>
      </c>
      <c r="E3766" s="9">
        <v>17258998.467498779</v>
      </c>
      <c r="F3766" s="257" t="s">
        <v>16017</v>
      </c>
      <c r="G3766" s="9">
        <v>1</v>
      </c>
      <c r="H3766" s="257" t="s">
        <v>21878</v>
      </c>
      <c r="I3766" s="9">
        <v>2</v>
      </c>
    </row>
    <row r="3767" spans="1:9">
      <c r="A3767" s="257" t="s">
        <v>4865</v>
      </c>
      <c r="B3767" s="9">
        <v>0</v>
      </c>
      <c r="C3767" s="257" t="s">
        <v>11293</v>
      </c>
      <c r="D3767" s="9">
        <v>7276.603736674384</v>
      </c>
      <c r="E3767" s="9">
        <v>17258998.467498779</v>
      </c>
      <c r="F3767" s="257" t="s">
        <v>16017</v>
      </c>
      <c r="G3767" s="9">
        <v>1</v>
      </c>
      <c r="H3767" s="257" t="s">
        <v>21879</v>
      </c>
      <c r="I3767" s="9">
        <v>2</v>
      </c>
    </row>
    <row r="3768" spans="1:9">
      <c r="A3768" s="257" t="s">
        <v>4866</v>
      </c>
      <c r="B3768" s="9">
        <v>0</v>
      </c>
      <c r="C3768" s="257" t="s">
        <v>11294</v>
      </c>
      <c r="D3768" s="9">
        <v>17245038.245330811</v>
      </c>
      <c r="E3768" s="9">
        <v>17258998.467498779</v>
      </c>
      <c r="F3768" s="257" t="s">
        <v>16018</v>
      </c>
      <c r="G3768" s="9">
        <v>1</v>
      </c>
      <c r="H3768" s="257" t="s">
        <v>21880</v>
      </c>
      <c r="I3768" s="9">
        <v>2</v>
      </c>
    </row>
    <row r="3769" spans="1:9">
      <c r="A3769" s="257" t="s">
        <v>4867</v>
      </c>
      <c r="B3769" s="9">
        <v>0</v>
      </c>
      <c r="C3769" s="257" t="s">
        <v>11295</v>
      </c>
      <c r="D3769" s="9">
        <v>121490072682.1563</v>
      </c>
      <c r="E3769" s="9">
        <v>17258998.467498779</v>
      </c>
      <c r="F3769" s="257" t="s">
        <v>16018</v>
      </c>
      <c r="G3769" s="9">
        <v>1</v>
      </c>
      <c r="H3769" s="257" t="s">
        <v>21881</v>
      </c>
      <c r="I3769" s="9">
        <v>2</v>
      </c>
    </row>
    <row r="3770" spans="1:9">
      <c r="A3770" s="257" t="s">
        <v>4868</v>
      </c>
      <c r="B3770" s="9">
        <v>0</v>
      </c>
      <c r="C3770" s="257" t="s">
        <v>11296</v>
      </c>
      <c r="D3770" s="9">
        <v>0.99919113370371648</v>
      </c>
      <c r="E3770" s="9">
        <v>17258998.467498779</v>
      </c>
      <c r="F3770" s="257" t="s">
        <v>16018</v>
      </c>
      <c r="G3770" s="9">
        <v>1</v>
      </c>
      <c r="H3770" s="257" t="s">
        <v>21882</v>
      </c>
      <c r="I3770" s="9">
        <v>2</v>
      </c>
    </row>
    <row r="3771" spans="1:9">
      <c r="A3771" s="257" t="s">
        <v>4869</v>
      </c>
      <c r="B3771" s="9">
        <v>0</v>
      </c>
      <c r="C3771" s="257" t="s">
        <v>11297</v>
      </c>
      <c r="D3771" s="9">
        <v>7039.2307474237214</v>
      </c>
      <c r="E3771" s="9">
        <v>17258998.467498779</v>
      </c>
      <c r="F3771" s="257" t="s">
        <v>16018</v>
      </c>
      <c r="G3771" s="9">
        <v>1</v>
      </c>
      <c r="H3771" s="257" t="s">
        <v>21883</v>
      </c>
      <c r="I3771" s="9">
        <v>2</v>
      </c>
    </row>
    <row r="3772" spans="1:9">
      <c r="A3772" s="257" t="s">
        <v>4870</v>
      </c>
      <c r="B3772" s="9">
        <v>0</v>
      </c>
      <c r="C3772" s="257" t="s">
        <v>11298</v>
      </c>
      <c r="D3772" s="9">
        <v>17247749.639862061</v>
      </c>
      <c r="E3772" s="9">
        <v>17258998.467498779</v>
      </c>
      <c r="F3772" s="257" t="s">
        <v>16019</v>
      </c>
      <c r="G3772" s="9">
        <v>1</v>
      </c>
      <c r="H3772" s="257" t="s">
        <v>21884</v>
      </c>
      <c r="I3772" s="9">
        <v>2</v>
      </c>
    </row>
    <row r="3773" spans="1:9">
      <c r="A3773" s="257" t="s">
        <v>4871</v>
      </c>
      <c r="B3773" s="9">
        <v>0</v>
      </c>
      <c r="C3773" s="257" t="s">
        <v>11299</v>
      </c>
      <c r="D3773" s="9">
        <v>125586892739.85909</v>
      </c>
      <c r="E3773" s="9">
        <v>17258998.467498779</v>
      </c>
      <c r="F3773" s="257" t="s">
        <v>16019</v>
      </c>
      <c r="G3773" s="9">
        <v>1</v>
      </c>
      <c r="H3773" s="257" t="s">
        <v>21885</v>
      </c>
      <c r="I3773" s="9">
        <v>2</v>
      </c>
    </row>
    <row r="3774" spans="1:9">
      <c r="A3774" s="257" t="s">
        <v>4872</v>
      </c>
      <c r="B3774" s="9">
        <v>0</v>
      </c>
      <c r="C3774" s="257" t="s">
        <v>11300</v>
      </c>
      <c r="D3774" s="9">
        <v>0.99934823404394513</v>
      </c>
      <c r="E3774" s="9">
        <v>17258998.467498779</v>
      </c>
      <c r="F3774" s="257" t="s">
        <v>16019</v>
      </c>
      <c r="G3774" s="9">
        <v>1</v>
      </c>
      <c r="H3774" s="257" t="s">
        <v>21886</v>
      </c>
      <c r="I3774" s="9">
        <v>2</v>
      </c>
    </row>
    <row r="3775" spans="1:9">
      <c r="A3775" s="257" t="s">
        <v>4873</v>
      </c>
      <c r="B3775" s="9">
        <v>0</v>
      </c>
      <c r="C3775" s="257" t="s">
        <v>11301</v>
      </c>
      <c r="D3775" s="9">
        <v>7276.603736674384</v>
      </c>
      <c r="E3775" s="9">
        <v>17258998.467498779</v>
      </c>
      <c r="F3775" s="257" t="s">
        <v>16019</v>
      </c>
      <c r="G3775" s="9">
        <v>1</v>
      </c>
      <c r="H3775" s="257" t="s">
        <v>21887</v>
      </c>
      <c r="I3775" s="9">
        <v>2</v>
      </c>
    </row>
    <row r="3776" spans="1:9">
      <c r="A3776" s="257" t="s">
        <v>4874</v>
      </c>
      <c r="B3776" s="9">
        <v>0</v>
      </c>
      <c r="C3776" s="257" t="s">
        <v>11302</v>
      </c>
      <c r="D3776" s="9">
        <v>17258998.467498779</v>
      </c>
      <c r="E3776" s="9">
        <v>17258998.467498779</v>
      </c>
      <c r="F3776" s="257" t="s">
        <v>16020</v>
      </c>
      <c r="G3776" s="9">
        <v>1</v>
      </c>
      <c r="H3776" s="257" t="s">
        <v>21888</v>
      </c>
      <c r="I3776" s="9">
        <v>2</v>
      </c>
    </row>
    <row r="3777" spans="1:9">
      <c r="A3777" s="257" t="s">
        <v>4875</v>
      </c>
      <c r="B3777" s="9">
        <v>0</v>
      </c>
      <c r="C3777" s="257" t="s">
        <v>11303</v>
      </c>
      <c r="D3777" s="9">
        <v>23726073342.295841</v>
      </c>
      <c r="E3777" s="9">
        <v>17258998.467498779</v>
      </c>
      <c r="F3777" s="257" t="s">
        <v>16020</v>
      </c>
      <c r="G3777" s="9">
        <v>1</v>
      </c>
      <c r="H3777" s="257" t="s">
        <v>21889</v>
      </c>
      <c r="I3777" s="9">
        <v>2</v>
      </c>
    </row>
    <row r="3778" spans="1:9">
      <c r="A3778" s="257" t="s">
        <v>4876</v>
      </c>
      <c r="B3778" s="9">
        <v>0</v>
      </c>
      <c r="C3778" s="257" t="s">
        <v>11304</v>
      </c>
      <c r="D3778" s="9">
        <v>1</v>
      </c>
      <c r="E3778" s="9">
        <v>17258998.467498779</v>
      </c>
      <c r="F3778" s="257" t="s">
        <v>16020</v>
      </c>
      <c r="G3778" s="9">
        <v>1</v>
      </c>
      <c r="H3778" s="257" t="s">
        <v>21890</v>
      </c>
      <c r="I3778" s="9">
        <v>2</v>
      </c>
    </row>
    <row r="3779" spans="1:9">
      <c r="A3779" s="257" t="s">
        <v>4877</v>
      </c>
      <c r="B3779" s="9">
        <v>0</v>
      </c>
      <c r="C3779" s="257" t="s">
        <v>11305</v>
      </c>
      <c r="D3779" s="9">
        <v>1374.7074250557187</v>
      </c>
      <c r="E3779" s="9">
        <v>17258998.467498779</v>
      </c>
      <c r="F3779" s="257" t="s">
        <v>16020</v>
      </c>
      <c r="G3779" s="9">
        <v>1</v>
      </c>
      <c r="H3779" s="257" t="s">
        <v>21891</v>
      </c>
      <c r="I3779" s="9">
        <v>2</v>
      </c>
    </row>
    <row r="3780" spans="1:9">
      <c r="A3780" s="257" t="s">
        <v>4878</v>
      </c>
      <c r="B3780" s="9">
        <v>0</v>
      </c>
      <c r="C3780" s="257" t="s">
        <v>11306</v>
      </c>
      <c r="D3780" s="9">
        <v>9659968.5730438232</v>
      </c>
      <c r="E3780" s="9">
        <v>17258998.467498779</v>
      </c>
      <c r="F3780" s="257" t="s">
        <v>16021</v>
      </c>
      <c r="G3780" s="9">
        <v>1</v>
      </c>
      <c r="H3780" s="257" t="s">
        <v>21892</v>
      </c>
      <c r="I3780" s="9">
        <v>2</v>
      </c>
    </row>
    <row r="3781" spans="1:9">
      <c r="A3781" s="257" t="s">
        <v>4879</v>
      </c>
      <c r="B3781" s="9">
        <v>0</v>
      </c>
      <c r="C3781" s="257" t="s">
        <v>11307</v>
      </c>
      <c r="D3781" s="9">
        <v>44904559421.330383</v>
      </c>
      <c r="E3781" s="9">
        <v>17258998.467498779</v>
      </c>
      <c r="F3781" s="257" t="s">
        <v>16021</v>
      </c>
      <c r="G3781" s="9">
        <v>1</v>
      </c>
      <c r="H3781" s="257" t="s">
        <v>21893</v>
      </c>
      <c r="I3781" s="9">
        <v>2</v>
      </c>
    </row>
    <row r="3782" spans="1:9">
      <c r="A3782" s="257" t="s">
        <v>4880</v>
      </c>
      <c r="B3782" s="9">
        <v>0</v>
      </c>
      <c r="C3782" s="257" t="s">
        <v>11308</v>
      </c>
      <c r="D3782" s="9">
        <v>0.55970620724226605</v>
      </c>
      <c r="E3782" s="9">
        <v>17258998.467498779</v>
      </c>
      <c r="F3782" s="257" t="s">
        <v>16021</v>
      </c>
      <c r="G3782" s="9">
        <v>1</v>
      </c>
      <c r="H3782" s="257" t="s">
        <v>21894</v>
      </c>
      <c r="I3782" s="9">
        <v>2</v>
      </c>
    </row>
    <row r="3783" spans="1:9">
      <c r="A3783" s="257" t="s">
        <v>4881</v>
      </c>
      <c r="B3783" s="9">
        <v>0</v>
      </c>
      <c r="C3783" s="257" t="s">
        <v>11309</v>
      </c>
      <c r="D3783" s="9">
        <v>2601.8056323425858</v>
      </c>
      <c r="E3783" s="9">
        <v>17258998.467498779</v>
      </c>
      <c r="F3783" s="257" t="s">
        <v>16021</v>
      </c>
      <c r="G3783" s="9">
        <v>1</v>
      </c>
      <c r="H3783" s="257" t="s">
        <v>21895</v>
      </c>
      <c r="I3783" s="9">
        <v>2</v>
      </c>
    </row>
    <row r="3784" spans="1:9">
      <c r="A3784" s="257" t="s">
        <v>4882</v>
      </c>
      <c r="B3784" s="9">
        <v>0</v>
      </c>
      <c r="C3784" s="257" t="s">
        <v>11310</v>
      </c>
      <c r="D3784" s="9">
        <v>17258998.467498779</v>
      </c>
      <c r="E3784" s="9">
        <v>17258998.467498779</v>
      </c>
      <c r="F3784" s="257" t="s">
        <v>16022</v>
      </c>
      <c r="G3784" s="9">
        <v>1</v>
      </c>
      <c r="H3784" s="257" t="s">
        <v>21896</v>
      </c>
      <c r="I3784" s="9">
        <v>2</v>
      </c>
    </row>
    <row r="3785" spans="1:9">
      <c r="A3785" s="257" t="s">
        <v>4883</v>
      </c>
      <c r="B3785" s="9">
        <v>0</v>
      </c>
      <c r="C3785" s="257" t="s">
        <v>11311</v>
      </c>
      <c r="D3785" s="9">
        <v>166394632103.48666</v>
      </c>
      <c r="E3785" s="9">
        <v>17258998.467498779</v>
      </c>
      <c r="F3785" s="257" t="s">
        <v>16022</v>
      </c>
      <c r="G3785" s="9">
        <v>1</v>
      </c>
      <c r="H3785" s="257" t="s">
        <v>21897</v>
      </c>
      <c r="I3785" s="9">
        <v>2</v>
      </c>
    </row>
    <row r="3786" spans="1:9">
      <c r="A3786" s="257" t="s">
        <v>4884</v>
      </c>
      <c r="B3786" s="9">
        <v>0</v>
      </c>
      <c r="C3786" s="257" t="s">
        <v>11312</v>
      </c>
      <c r="D3786" s="9">
        <v>1</v>
      </c>
      <c r="E3786" s="9">
        <v>17258998.467498779</v>
      </c>
      <c r="F3786" s="257" t="s">
        <v>16022</v>
      </c>
      <c r="G3786" s="9">
        <v>1</v>
      </c>
      <c r="H3786" s="257" t="s">
        <v>21898</v>
      </c>
      <c r="I3786" s="9">
        <v>2</v>
      </c>
    </row>
    <row r="3787" spans="1:9">
      <c r="A3787" s="257" t="s">
        <v>4885</v>
      </c>
      <c r="B3787" s="9">
        <v>0</v>
      </c>
      <c r="C3787" s="257" t="s">
        <v>11313</v>
      </c>
      <c r="D3787" s="9">
        <v>9641.0363797663067</v>
      </c>
      <c r="E3787" s="9">
        <v>17258998.467498779</v>
      </c>
      <c r="F3787" s="257" t="s">
        <v>16022</v>
      </c>
      <c r="G3787" s="9">
        <v>1</v>
      </c>
      <c r="H3787" s="257" t="s">
        <v>21899</v>
      </c>
      <c r="I3787" s="9">
        <v>2</v>
      </c>
    </row>
    <row r="3788" spans="1:9">
      <c r="A3788" s="257" t="s">
        <v>4886</v>
      </c>
      <c r="B3788" s="9">
        <v>0</v>
      </c>
      <c r="C3788" s="257" t="s">
        <v>11314</v>
      </c>
      <c r="D3788" s="9">
        <v>17258998.467498779</v>
      </c>
      <c r="E3788" s="9">
        <v>17258998.467498779</v>
      </c>
      <c r="F3788" s="257" t="s">
        <v>16023</v>
      </c>
      <c r="G3788" s="9">
        <v>1</v>
      </c>
      <c r="H3788" s="257" t="s">
        <v>21900</v>
      </c>
      <c r="I3788" s="9">
        <v>2</v>
      </c>
    </row>
    <row r="3789" spans="1:9">
      <c r="A3789" s="257" t="s">
        <v>4887</v>
      </c>
      <c r="B3789" s="9">
        <v>0</v>
      </c>
      <c r="C3789" s="257" t="s">
        <v>11315</v>
      </c>
      <c r="D3789" s="9">
        <v>170491452161.18945</v>
      </c>
      <c r="E3789" s="9">
        <v>17258998.467498779</v>
      </c>
      <c r="F3789" s="257" t="s">
        <v>16023</v>
      </c>
      <c r="G3789" s="9">
        <v>1</v>
      </c>
      <c r="H3789" s="257" t="s">
        <v>21901</v>
      </c>
      <c r="I3789" s="9">
        <v>2</v>
      </c>
    </row>
    <row r="3790" spans="1:9">
      <c r="A3790" s="257" t="s">
        <v>4888</v>
      </c>
      <c r="B3790" s="9">
        <v>0</v>
      </c>
      <c r="C3790" s="257" t="s">
        <v>11316</v>
      </c>
      <c r="D3790" s="9">
        <v>1</v>
      </c>
      <c r="E3790" s="9">
        <v>17258998.467498779</v>
      </c>
      <c r="F3790" s="257" t="s">
        <v>16023</v>
      </c>
      <c r="G3790" s="9">
        <v>1</v>
      </c>
      <c r="H3790" s="257" t="s">
        <v>21902</v>
      </c>
      <c r="I3790" s="9">
        <v>2</v>
      </c>
    </row>
    <row r="3791" spans="1:9">
      <c r="A3791" s="257" t="s">
        <v>4889</v>
      </c>
      <c r="B3791" s="9">
        <v>0</v>
      </c>
      <c r="C3791" s="257" t="s">
        <v>11317</v>
      </c>
      <c r="D3791" s="9">
        <v>9878.4093690169684</v>
      </c>
      <c r="E3791" s="9">
        <v>17258998.467498779</v>
      </c>
      <c r="F3791" s="257" t="s">
        <v>16023</v>
      </c>
      <c r="G3791" s="9">
        <v>1</v>
      </c>
      <c r="H3791" s="257" t="s">
        <v>21903</v>
      </c>
      <c r="I3791" s="9">
        <v>2</v>
      </c>
    </row>
    <row r="3792" spans="1:9">
      <c r="A3792" s="257" t="s">
        <v>4890</v>
      </c>
      <c r="B3792" s="9">
        <v>0</v>
      </c>
      <c r="C3792" s="257" t="s">
        <v>11318</v>
      </c>
      <c r="D3792" s="9">
        <v>10124721.904184341</v>
      </c>
      <c r="E3792" s="9">
        <v>17258998.467498779</v>
      </c>
      <c r="F3792" s="257" t="s">
        <v>16024</v>
      </c>
      <c r="G3792" s="9">
        <v>1</v>
      </c>
      <c r="H3792" s="257" t="s">
        <v>21904</v>
      </c>
      <c r="I3792" s="9">
        <v>2</v>
      </c>
    </row>
    <row r="3793" spans="1:9">
      <c r="A3793" s="257" t="s">
        <v>4891</v>
      </c>
      <c r="B3793" s="9">
        <v>0</v>
      </c>
      <c r="C3793" s="257" t="s">
        <v>11319</v>
      </c>
      <c r="D3793" s="9">
        <v>76681192891.450775</v>
      </c>
      <c r="E3793" s="9">
        <v>17258998.467498779</v>
      </c>
      <c r="F3793" s="257" t="s">
        <v>16024</v>
      </c>
      <c r="G3793" s="9">
        <v>1</v>
      </c>
      <c r="H3793" s="257" t="s">
        <v>21905</v>
      </c>
      <c r="I3793" s="9">
        <v>2</v>
      </c>
    </row>
    <row r="3794" spans="1:9">
      <c r="A3794" s="257" t="s">
        <v>4892</v>
      </c>
      <c r="B3794" s="9">
        <v>0</v>
      </c>
      <c r="C3794" s="257" t="s">
        <v>11320</v>
      </c>
      <c r="D3794" s="9">
        <v>0.58663438224707387</v>
      </c>
      <c r="E3794" s="9">
        <v>17258998.467498779</v>
      </c>
      <c r="F3794" s="257" t="s">
        <v>16024</v>
      </c>
      <c r="G3794" s="9">
        <v>1</v>
      </c>
      <c r="H3794" s="257" t="s">
        <v>21906</v>
      </c>
      <c r="I3794" s="9">
        <v>2</v>
      </c>
    </row>
    <row r="3795" spans="1:9">
      <c r="A3795" s="257" t="s">
        <v>4893</v>
      </c>
      <c r="B3795" s="9">
        <v>0</v>
      </c>
      <c r="C3795" s="257" t="s">
        <v>11321</v>
      </c>
      <c r="D3795" s="9">
        <v>4442.9688684342073</v>
      </c>
      <c r="E3795" s="9">
        <v>17258998.467498779</v>
      </c>
      <c r="F3795" s="257" t="s">
        <v>16024</v>
      </c>
      <c r="G3795" s="9">
        <v>1</v>
      </c>
      <c r="H3795" s="257" t="s">
        <v>21907</v>
      </c>
      <c r="I3795" s="9">
        <v>2</v>
      </c>
    </row>
    <row r="3796" spans="1:9">
      <c r="A3796" s="257" t="s">
        <v>4894</v>
      </c>
      <c r="B3796" s="9">
        <v>0</v>
      </c>
      <c r="C3796" s="257" t="s">
        <v>11322</v>
      </c>
      <c r="D3796" s="9">
        <v>10128246.284524918</v>
      </c>
      <c r="E3796" s="9">
        <v>17258998.467498779</v>
      </c>
      <c r="F3796" s="257" t="s">
        <v>16025</v>
      </c>
      <c r="G3796" s="9">
        <v>1</v>
      </c>
      <c r="H3796" s="257" t="s">
        <v>21908</v>
      </c>
      <c r="I3796" s="9">
        <v>2</v>
      </c>
    </row>
    <row r="3797" spans="1:9">
      <c r="A3797" s="257" t="s">
        <v>4895</v>
      </c>
      <c r="B3797" s="9">
        <v>0</v>
      </c>
      <c r="C3797" s="257" t="s">
        <v>11323</v>
      </c>
      <c r="D3797" s="9">
        <v>80778012949.153549</v>
      </c>
      <c r="E3797" s="9">
        <v>17258998.467498779</v>
      </c>
      <c r="F3797" s="257" t="s">
        <v>16025</v>
      </c>
      <c r="G3797" s="9">
        <v>1</v>
      </c>
      <c r="H3797" s="257" t="s">
        <v>21909</v>
      </c>
      <c r="I3797" s="9">
        <v>2</v>
      </c>
    </row>
    <row r="3798" spans="1:9">
      <c r="A3798" s="257" t="s">
        <v>4896</v>
      </c>
      <c r="B3798" s="9">
        <v>0</v>
      </c>
      <c r="C3798" s="257" t="s">
        <v>11324</v>
      </c>
      <c r="D3798" s="9">
        <v>0.58683858762707974</v>
      </c>
      <c r="E3798" s="9">
        <v>17258998.467498779</v>
      </c>
      <c r="F3798" s="257" t="s">
        <v>16025</v>
      </c>
      <c r="G3798" s="9">
        <v>1</v>
      </c>
      <c r="H3798" s="257" t="s">
        <v>21910</v>
      </c>
      <c r="I3798" s="9">
        <v>2</v>
      </c>
    </row>
    <row r="3799" spans="1:9">
      <c r="A3799" s="257" t="s">
        <v>4897</v>
      </c>
      <c r="B3799" s="9">
        <v>0</v>
      </c>
      <c r="C3799" s="257" t="s">
        <v>11325</v>
      </c>
      <c r="D3799" s="9">
        <v>4680.341857684869</v>
      </c>
      <c r="E3799" s="9">
        <v>17258998.467498779</v>
      </c>
      <c r="F3799" s="257" t="s">
        <v>16025</v>
      </c>
      <c r="G3799" s="9">
        <v>1</v>
      </c>
      <c r="H3799" s="257" t="s">
        <v>21911</v>
      </c>
      <c r="I3799" s="9">
        <v>2</v>
      </c>
    </row>
    <row r="3800" spans="1:9">
      <c r="A3800" s="257" t="s">
        <v>4898</v>
      </c>
      <c r="B3800" s="9">
        <v>0</v>
      </c>
      <c r="C3800" s="257" t="s">
        <v>11326</v>
      </c>
      <c r="D3800" s="9">
        <v>17258998.467498779</v>
      </c>
      <c r="E3800" s="9">
        <v>17258998.467498779</v>
      </c>
      <c r="F3800" s="257" t="s">
        <v>16026</v>
      </c>
      <c r="G3800" s="9">
        <v>1</v>
      </c>
      <c r="H3800" s="257" t="s">
        <v>21912</v>
      </c>
      <c r="I3800" s="9">
        <v>2</v>
      </c>
    </row>
    <row r="3801" spans="1:9">
      <c r="A3801" s="257" t="s">
        <v>4899</v>
      </c>
      <c r="B3801" s="9">
        <v>0</v>
      </c>
      <c r="C3801" s="257" t="s">
        <v>11327</v>
      </c>
      <c r="D3801" s="9">
        <v>44808879790.705528</v>
      </c>
      <c r="E3801" s="9">
        <v>17258998.467498779</v>
      </c>
      <c r="F3801" s="257" t="s">
        <v>16026</v>
      </c>
      <c r="G3801" s="9">
        <v>1</v>
      </c>
      <c r="H3801" s="257" t="s">
        <v>21913</v>
      </c>
      <c r="I3801" s="9">
        <v>2</v>
      </c>
    </row>
    <row r="3802" spans="1:9">
      <c r="A3802" s="257" t="s">
        <v>4900</v>
      </c>
      <c r="B3802" s="9">
        <v>0</v>
      </c>
      <c r="C3802" s="257" t="s">
        <v>11328</v>
      </c>
      <c r="D3802" s="9">
        <v>1</v>
      </c>
      <c r="E3802" s="9">
        <v>17258998.467498779</v>
      </c>
      <c r="F3802" s="257" t="s">
        <v>16026</v>
      </c>
      <c r="G3802" s="9">
        <v>1</v>
      </c>
      <c r="H3802" s="257" t="s">
        <v>21914</v>
      </c>
      <c r="I3802" s="9">
        <v>2</v>
      </c>
    </row>
    <row r="3803" spans="1:9">
      <c r="A3803" s="257" t="s">
        <v>4901</v>
      </c>
      <c r="B3803" s="9">
        <v>0</v>
      </c>
      <c r="C3803" s="257" t="s">
        <v>11329</v>
      </c>
      <c r="D3803" s="9">
        <v>2596.2618789895141</v>
      </c>
      <c r="E3803" s="9">
        <v>17258998.467498779</v>
      </c>
      <c r="F3803" s="257" t="s">
        <v>16026</v>
      </c>
      <c r="G3803" s="9">
        <v>1</v>
      </c>
      <c r="H3803" s="257" t="s">
        <v>21915</v>
      </c>
      <c r="I3803" s="9">
        <v>2</v>
      </c>
    </row>
    <row r="3804" spans="1:9">
      <c r="A3804" s="257" t="s">
        <v>4902</v>
      </c>
      <c r="B3804" s="9">
        <v>0</v>
      </c>
      <c r="C3804" s="257" t="s">
        <v>11330</v>
      </c>
      <c r="D3804" s="9">
        <v>17258998.467498779</v>
      </c>
      <c r="E3804" s="9">
        <v>17258998.467498779</v>
      </c>
      <c r="F3804" s="257" t="s">
        <v>16027</v>
      </c>
      <c r="G3804" s="9">
        <v>1</v>
      </c>
      <c r="H3804" s="257" t="s">
        <v>21916</v>
      </c>
      <c r="I3804" s="9">
        <v>2</v>
      </c>
    </row>
    <row r="3805" spans="1:9">
      <c r="A3805" s="257" t="s">
        <v>4903</v>
      </c>
      <c r="B3805" s="9">
        <v>0</v>
      </c>
      <c r="C3805" s="257" t="s">
        <v>11331</v>
      </c>
      <c r="D3805" s="9">
        <v>81657444546.163101</v>
      </c>
      <c r="E3805" s="9">
        <v>17258998.467498779</v>
      </c>
      <c r="F3805" s="257" t="s">
        <v>16027</v>
      </c>
      <c r="G3805" s="9">
        <v>1</v>
      </c>
      <c r="H3805" s="257" t="s">
        <v>21917</v>
      </c>
      <c r="I3805" s="9">
        <v>2</v>
      </c>
    </row>
    <row r="3806" spans="1:9">
      <c r="A3806" s="257" t="s">
        <v>4904</v>
      </c>
      <c r="B3806" s="9">
        <v>0</v>
      </c>
      <c r="C3806" s="257" t="s">
        <v>11332</v>
      </c>
      <c r="D3806" s="9">
        <v>1</v>
      </c>
      <c r="E3806" s="9">
        <v>17258998.467498779</v>
      </c>
      <c r="F3806" s="257" t="s">
        <v>16027</v>
      </c>
      <c r="G3806" s="9">
        <v>1</v>
      </c>
      <c r="H3806" s="257" t="s">
        <v>21918</v>
      </c>
      <c r="I3806" s="9">
        <v>2</v>
      </c>
    </row>
    <row r="3807" spans="1:9">
      <c r="A3807" s="257" t="s">
        <v>4905</v>
      </c>
      <c r="B3807" s="9">
        <v>0</v>
      </c>
      <c r="C3807" s="257" t="s">
        <v>11333</v>
      </c>
      <c r="D3807" s="9">
        <v>4731.2968188702271</v>
      </c>
      <c r="E3807" s="9">
        <v>17258998.467498779</v>
      </c>
      <c r="F3807" s="257" t="s">
        <v>16027</v>
      </c>
      <c r="G3807" s="9">
        <v>1</v>
      </c>
      <c r="H3807" s="257" t="s">
        <v>21919</v>
      </c>
      <c r="I3807" s="9">
        <v>2</v>
      </c>
    </row>
    <row r="3808" spans="1:9">
      <c r="A3808" s="257" t="s">
        <v>4906</v>
      </c>
      <c r="B3808" s="9">
        <v>0</v>
      </c>
      <c r="C3808" s="257" t="s">
        <v>11334</v>
      </c>
      <c r="D3808" s="9">
        <v>10216884.449541092</v>
      </c>
      <c r="E3808" s="9">
        <v>17258998.467498779</v>
      </c>
      <c r="F3808" s="257" t="s">
        <v>16028</v>
      </c>
      <c r="G3808" s="9">
        <v>1</v>
      </c>
      <c r="H3808" s="257" t="s">
        <v>21920</v>
      </c>
      <c r="I3808" s="9">
        <v>2</v>
      </c>
    </row>
    <row r="3809" spans="1:9">
      <c r="A3809" s="257" t="s">
        <v>4907</v>
      </c>
      <c r="B3809" s="9">
        <v>0</v>
      </c>
      <c r="C3809" s="257" t="s">
        <v>11335</v>
      </c>
      <c r="D3809" s="9">
        <v>99044384033.628326</v>
      </c>
      <c r="E3809" s="9">
        <v>17258998.467498779</v>
      </c>
      <c r="F3809" s="257" t="s">
        <v>16028</v>
      </c>
      <c r="G3809" s="9">
        <v>1</v>
      </c>
      <c r="H3809" s="257" t="s">
        <v>21921</v>
      </c>
      <c r="I3809" s="9">
        <v>2</v>
      </c>
    </row>
    <row r="3810" spans="1:9">
      <c r="A3810" s="257" t="s">
        <v>4908</v>
      </c>
      <c r="B3810" s="9">
        <v>0</v>
      </c>
      <c r="C3810" s="257" t="s">
        <v>11336</v>
      </c>
      <c r="D3810" s="9">
        <v>0.5919743529023993</v>
      </c>
      <c r="E3810" s="9">
        <v>17258998.467498779</v>
      </c>
      <c r="F3810" s="257" t="s">
        <v>16028</v>
      </c>
      <c r="G3810" s="9">
        <v>1</v>
      </c>
      <c r="H3810" s="257" t="s">
        <v>21922</v>
      </c>
      <c r="I3810" s="9">
        <v>2</v>
      </c>
    </row>
    <row r="3811" spans="1:9">
      <c r="A3811" s="257" t="s">
        <v>4909</v>
      </c>
      <c r="B3811" s="9">
        <v>0</v>
      </c>
      <c r="C3811" s="257" t="s">
        <v>11337</v>
      </c>
      <c r="D3811" s="9">
        <v>5738.7098225973778</v>
      </c>
      <c r="E3811" s="9">
        <v>17258998.467498779</v>
      </c>
      <c r="F3811" s="257" t="s">
        <v>16028</v>
      </c>
      <c r="G3811" s="9">
        <v>1</v>
      </c>
      <c r="H3811" s="257" t="s">
        <v>21923</v>
      </c>
      <c r="I3811" s="9">
        <v>2</v>
      </c>
    </row>
    <row r="3812" spans="1:9">
      <c r="A3812" s="257" t="s">
        <v>4910</v>
      </c>
      <c r="B3812" s="9">
        <v>0</v>
      </c>
      <c r="C3812" s="257" t="s">
        <v>11338</v>
      </c>
      <c r="D3812" s="9">
        <v>0</v>
      </c>
      <c r="E3812" s="9">
        <v>17258998.467498779</v>
      </c>
      <c r="F3812" s="257" t="s">
        <v>16029</v>
      </c>
      <c r="G3812" s="9">
        <v>1</v>
      </c>
      <c r="H3812" s="257" t="s">
        <v>21924</v>
      </c>
      <c r="I3812" s="9">
        <v>2</v>
      </c>
    </row>
    <row r="3813" spans="1:9">
      <c r="A3813" s="257" t="s">
        <v>4911</v>
      </c>
      <c r="B3813" s="9">
        <v>0</v>
      </c>
      <c r="C3813" s="257" t="s">
        <v>11339</v>
      </c>
      <c r="D3813" s="9">
        <v>-10210376418.601971</v>
      </c>
      <c r="E3813" s="9">
        <v>17258998.467498779</v>
      </c>
      <c r="F3813" s="257" t="s">
        <v>16029</v>
      </c>
      <c r="G3813" s="9">
        <v>1</v>
      </c>
      <c r="H3813" s="257" t="s">
        <v>21925</v>
      </c>
      <c r="I3813" s="9">
        <v>2</v>
      </c>
    </row>
    <row r="3814" spans="1:9">
      <c r="A3814" s="257" t="s">
        <v>4912</v>
      </c>
      <c r="B3814" s="9">
        <v>0</v>
      </c>
      <c r="C3814" s="257" t="s">
        <v>11340</v>
      </c>
      <c r="D3814" s="9">
        <v>0</v>
      </c>
      <c r="E3814" s="9">
        <v>17258998.467498779</v>
      </c>
      <c r="F3814" s="257" t="s">
        <v>16029</v>
      </c>
      <c r="G3814" s="9">
        <v>1</v>
      </c>
      <c r="H3814" s="257" t="s">
        <v>21926</v>
      </c>
      <c r="I3814" s="9">
        <v>2</v>
      </c>
    </row>
    <row r="3815" spans="1:9">
      <c r="A3815" s="257" t="s">
        <v>4913</v>
      </c>
      <c r="B3815" s="9">
        <v>0</v>
      </c>
      <c r="C3815" s="257" t="s">
        <v>11341</v>
      </c>
      <c r="D3815" s="9">
        <v>-591.59727245063516</v>
      </c>
      <c r="E3815" s="9">
        <v>17258998.467498779</v>
      </c>
      <c r="F3815" s="257" t="s">
        <v>16029</v>
      </c>
      <c r="G3815" s="9">
        <v>1</v>
      </c>
      <c r="H3815" s="257" t="s">
        <v>21927</v>
      </c>
      <c r="I3815" s="9">
        <v>2</v>
      </c>
    </row>
    <row r="3816" spans="1:9">
      <c r="A3816" s="257" t="s">
        <v>4914</v>
      </c>
      <c r="B3816" s="9">
        <v>0</v>
      </c>
      <c r="C3816" s="257" t="s">
        <v>11342</v>
      </c>
      <c r="D3816" s="9">
        <v>10153888.854654312</v>
      </c>
      <c r="E3816" s="9">
        <v>17258998.467498779</v>
      </c>
      <c r="F3816" s="257" t="s">
        <v>16030</v>
      </c>
      <c r="G3816" s="9">
        <v>1</v>
      </c>
      <c r="H3816" s="257" t="s">
        <v>21928</v>
      </c>
      <c r="I3816" s="9">
        <v>2</v>
      </c>
    </row>
    <row r="3817" spans="1:9">
      <c r="A3817" s="257" t="s">
        <v>4915</v>
      </c>
      <c r="B3817" s="9">
        <v>0</v>
      </c>
      <c r="C3817" s="257" t="s">
        <v>11343</v>
      </c>
      <c r="D3817" s="9">
        <v>88834007615.026352</v>
      </c>
      <c r="E3817" s="9">
        <v>17258998.467498779</v>
      </c>
      <c r="F3817" s="257" t="s">
        <v>16030</v>
      </c>
      <c r="G3817" s="9">
        <v>1</v>
      </c>
      <c r="H3817" s="257" t="s">
        <v>21929</v>
      </c>
      <c r="I3817" s="9">
        <v>2</v>
      </c>
    </row>
    <row r="3818" spans="1:9">
      <c r="A3818" s="257" t="s">
        <v>4916</v>
      </c>
      <c r="B3818" s="9">
        <v>0</v>
      </c>
      <c r="C3818" s="257" t="s">
        <v>11344</v>
      </c>
      <c r="D3818" s="9">
        <v>0.5883243383893666</v>
      </c>
      <c r="E3818" s="9">
        <v>17258998.467498779</v>
      </c>
      <c r="F3818" s="257" t="s">
        <v>16030</v>
      </c>
      <c r="G3818" s="9">
        <v>1</v>
      </c>
      <c r="H3818" s="257" t="s">
        <v>21930</v>
      </c>
      <c r="I3818" s="9">
        <v>2</v>
      </c>
    </row>
    <row r="3819" spans="1:9">
      <c r="A3819" s="257" t="s">
        <v>4917</v>
      </c>
      <c r="B3819" s="9">
        <v>0</v>
      </c>
      <c r="C3819" s="257" t="s">
        <v>11345</v>
      </c>
      <c r="D3819" s="9">
        <v>5147.1125501467423</v>
      </c>
      <c r="E3819" s="9">
        <v>17258998.467498779</v>
      </c>
      <c r="F3819" s="257" t="s">
        <v>16030</v>
      </c>
      <c r="G3819" s="9">
        <v>1</v>
      </c>
      <c r="H3819" s="257" t="s">
        <v>21931</v>
      </c>
      <c r="I3819" s="9">
        <v>2</v>
      </c>
    </row>
    <row r="3820" spans="1:9">
      <c r="A3820" s="257" t="s">
        <v>4918</v>
      </c>
      <c r="B3820" s="9">
        <v>0</v>
      </c>
      <c r="C3820" s="257" t="s">
        <v>11346</v>
      </c>
      <c r="D3820" s="9">
        <v>2495184.5025596619</v>
      </c>
      <c r="E3820" s="9">
        <v>17258998.467498779</v>
      </c>
      <c r="F3820" s="257" t="s">
        <v>16031</v>
      </c>
      <c r="G3820" s="9">
        <v>1</v>
      </c>
      <c r="H3820" s="257" t="s">
        <v>21932</v>
      </c>
      <c r="I3820" s="9">
        <v>2</v>
      </c>
    </row>
    <row r="3821" spans="1:9">
      <c r="A3821" s="257" t="s">
        <v>4919</v>
      </c>
      <c r="B3821" s="9">
        <v>0</v>
      </c>
      <c r="C3821" s="257" t="s">
        <v>11347</v>
      </c>
      <c r="D3821" s="9">
        <v>8055994665.8728046</v>
      </c>
      <c r="E3821" s="9">
        <v>17258998.467498779</v>
      </c>
      <c r="F3821" s="257" t="s">
        <v>16031</v>
      </c>
      <c r="G3821" s="9">
        <v>1</v>
      </c>
      <c r="H3821" s="257" t="s">
        <v>21933</v>
      </c>
      <c r="I3821" s="9">
        <v>2</v>
      </c>
    </row>
    <row r="3822" spans="1:9">
      <c r="A3822" s="257" t="s">
        <v>4920</v>
      </c>
      <c r="B3822" s="9">
        <v>0</v>
      </c>
      <c r="C3822" s="257" t="s">
        <v>11348</v>
      </c>
      <c r="D3822" s="9">
        <v>0.14457296043327542</v>
      </c>
      <c r="E3822" s="9">
        <v>17258998.467498779</v>
      </c>
      <c r="F3822" s="257" t="s">
        <v>16031</v>
      </c>
      <c r="G3822" s="9">
        <v>1</v>
      </c>
      <c r="H3822" s="257" t="s">
        <v>21934</v>
      </c>
      <c r="I3822" s="9">
        <v>2</v>
      </c>
    </row>
    <row r="3823" spans="1:9">
      <c r="A3823" s="257" t="s">
        <v>4921</v>
      </c>
      <c r="B3823" s="9">
        <v>0</v>
      </c>
      <c r="C3823" s="257" t="s">
        <v>11349</v>
      </c>
      <c r="D3823" s="9">
        <v>466.77069246187267</v>
      </c>
      <c r="E3823" s="9">
        <v>17258998.467498779</v>
      </c>
      <c r="F3823" s="257" t="s">
        <v>16031</v>
      </c>
      <c r="G3823" s="9">
        <v>1</v>
      </c>
      <c r="H3823" s="257" t="s">
        <v>21935</v>
      </c>
      <c r="I3823" s="9">
        <v>2</v>
      </c>
    </row>
    <row r="3824" spans="1:9">
      <c r="A3824" s="257" t="s">
        <v>4922</v>
      </c>
      <c r="B3824" s="9">
        <v>0</v>
      </c>
      <c r="C3824" s="257" t="s">
        <v>11350</v>
      </c>
      <c r="D3824" s="9">
        <v>9358875.1424636841</v>
      </c>
      <c r="E3824" s="9">
        <v>17258998.467498779</v>
      </c>
      <c r="F3824" s="257" t="s">
        <v>16032</v>
      </c>
      <c r="G3824" s="9">
        <v>1</v>
      </c>
      <c r="H3824" s="257" t="s">
        <v>21936</v>
      </c>
      <c r="I3824" s="9">
        <v>2</v>
      </c>
    </row>
    <row r="3825" spans="1:9">
      <c r="A3825" s="257" t="s">
        <v>4923</v>
      </c>
      <c r="B3825" s="9">
        <v>0</v>
      </c>
      <c r="C3825" s="257" t="s">
        <v>11351</v>
      </c>
      <c r="D3825" s="9">
        <v>36848564755.457573</v>
      </c>
      <c r="E3825" s="9">
        <v>17258998.467498779</v>
      </c>
      <c r="F3825" s="257" t="s">
        <v>16032</v>
      </c>
      <c r="G3825" s="9">
        <v>1</v>
      </c>
      <c r="H3825" s="257" t="s">
        <v>21937</v>
      </c>
      <c r="I3825" s="9">
        <v>2</v>
      </c>
    </row>
    <row r="3826" spans="1:9">
      <c r="A3826" s="257" t="s">
        <v>4924</v>
      </c>
      <c r="B3826" s="9">
        <v>0</v>
      </c>
      <c r="C3826" s="257" t="s">
        <v>11352</v>
      </c>
      <c r="D3826" s="9">
        <v>0.54226061611210041</v>
      </c>
      <c r="E3826" s="9">
        <v>17258998.467498779</v>
      </c>
      <c r="F3826" s="257" t="s">
        <v>16032</v>
      </c>
      <c r="G3826" s="9">
        <v>1</v>
      </c>
      <c r="H3826" s="257" t="s">
        <v>21938</v>
      </c>
      <c r="I3826" s="9">
        <v>2</v>
      </c>
    </row>
    <row r="3827" spans="1:9">
      <c r="A3827" s="257" t="s">
        <v>4925</v>
      </c>
      <c r="B3827" s="9">
        <v>0</v>
      </c>
      <c r="C3827" s="257" t="s">
        <v>11353</v>
      </c>
      <c r="D3827" s="9">
        <v>2135.034939880713</v>
      </c>
      <c r="E3827" s="9">
        <v>17258998.467498779</v>
      </c>
      <c r="F3827" s="257" t="s">
        <v>16032</v>
      </c>
      <c r="G3827" s="9">
        <v>1</v>
      </c>
      <c r="H3827" s="257" t="s">
        <v>21939</v>
      </c>
      <c r="I3827" s="9">
        <v>2</v>
      </c>
    </row>
    <row r="3828" spans="1:9">
      <c r="A3828" s="257" t="s">
        <v>4926</v>
      </c>
      <c r="B3828" s="9">
        <v>0</v>
      </c>
      <c r="C3828" s="257" t="s">
        <v>11354</v>
      </c>
      <c r="D3828" s="9">
        <v>0</v>
      </c>
      <c r="E3828" s="9">
        <v>17258998.467498779</v>
      </c>
      <c r="F3828" s="257" t="s">
        <v>16033</v>
      </c>
      <c r="G3828" s="9">
        <v>1</v>
      </c>
      <c r="H3828" s="257" t="s">
        <v>21940</v>
      </c>
      <c r="I3828" s="9">
        <v>2</v>
      </c>
    </row>
    <row r="3829" spans="1:9">
      <c r="A3829" s="257" t="s">
        <v>4927</v>
      </c>
      <c r="B3829" s="9">
        <v>0</v>
      </c>
      <c r="C3829" s="257" t="s">
        <v>11355</v>
      </c>
      <c r="D3829" s="9">
        <v>0</v>
      </c>
      <c r="E3829" s="9">
        <v>17258998.467498779</v>
      </c>
      <c r="F3829" s="257" t="s">
        <v>16033</v>
      </c>
      <c r="G3829" s="9">
        <v>1</v>
      </c>
      <c r="H3829" s="257" t="s">
        <v>21941</v>
      </c>
      <c r="I3829" s="9">
        <v>2</v>
      </c>
    </row>
    <row r="3830" spans="1:9">
      <c r="A3830" s="257" t="s">
        <v>4928</v>
      </c>
      <c r="B3830" s="9">
        <v>0</v>
      </c>
      <c r="C3830" s="257" t="s">
        <v>11356</v>
      </c>
      <c r="D3830" s="9">
        <v>0</v>
      </c>
      <c r="E3830" s="9">
        <v>17258998.467498779</v>
      </c>
      <c r="F3830" s="257" t="s">
        <v>16033</v>
      </c>
      <c r="G3830" s="9">
        <v>1</v>
      </c>
      <c r="H3830" s="257" t="s">
        <v>21942</v>
      </c>
      <c r="I3830" s="9">
        <v>2</v>
      </c>
    </row>
    <row r="3831" spans="1:9">
      <c r="A3831" s="257" t="s">
        <v>4929</v>
      </c>
      <c r="B3831" s="9">
        <v>0</v>
      </c>
      <c r="C3831" s="257" t="s">
        <v>11357</v>
      </c>
      <c r="D3831" s="9">
        <v>0</v>
      </c>
      <c r="E3831" s="9">
        <v>17258998.467498779</v>
      </c>
      <c r="F3831" s="257" t="s">
        <v>16033</v>
      </c>
      <c r="G3831" s="9">
        <v>1</v>
      </c>
      <c r="H3831" s="257" t="s">
        <v>21943</v>
      </c>
      <c r="I3831" s="9">
        <v>2</v>
      </c>
    </row>
    <row r="3832" spans="1:9">
      <c r="A3832" s="257" t="s">
        <v>4930</v>
      </c>
      <c r="B3832" s="9">
        <v>0</v>
      </c>
      <c r="C3832" s="257" t="s">
        <v>11358</v>
      </c>
      <c r="D3832" s="9">
        <v>0.37892769999999998</v>
      </c>
      <c r="E3832" s="9">
        <v>17258998.467498779</v>
      </c>
      <c r="F3832" s="257" t="s">
        <v>16034</v>
      </c>
      <c r="G3832" s="9">
        <v>1</v>
      </c>
      <c r="H3832" s="257" t="s">
        <v>21944</v>
      </c>
      <c r="I3832" s="9">
        <v>2</v>
      </c>
    </row>
    <row r="3833" spans="1:9">
      <c r="A3833" s="257" t="s">
        <v>4931</v>
      </c>
      <c r="B3833" s="9">
        <v>0</v>
      </c>
      <c r="C3833" s="257" t="s">
        <v>11359</v>
      </c>
      <c r="D3833" s="9">
        <v>0.25951669999999999</v>
      </c>
      <c r="E3833" s="9">
        <v>17258998.467498779</v>
      </c>
      <c r="F3833" s="257" t="s">
        <v>16034</v>
      </c>
      <c r="G3833" s="9">
        <v>1</v>
      </c>
      <c r="H3833" s="257" t="s">
        <v>21945</v>
      </c>
      <c r="I3833" s="9">
        <v>2</v>
      </c>
    </row>
    <row r="3834" spans="1:9">
      <c r="A3834" s="257" t="s">
        <v>4932</v>
      </c>
      <c r="B3834" s="9">
        <v>0</v>
      </c>
      <c r="C3834" s="257" t="s">
        <v>11360</v>
      </c>
      <c r="D3834" s="9">
        <v>0.37892769999999998</v>
      </c>
      <c r="E3834" s="9">
        <v>17258998.467498779</v>
      </c>
      <c r="F3834" s="257" t="s">
        <v>16035</v>
      </c>
      <c r="G3834" s="9">
        <v>1</v>
      </c>
      <c r="H3834" s="257" t="s">
        <v>21946</v>
      </c>
      <c r="I3834" s="9">
        <v>2</v>
      </c>
    </row>
    <row r="3835" spans="1:9">
      <c r="A3835" s="257" t="s">
        <v>4933</v>
      </c>
      <c r="B3835" s="9">
        <v>0</v>
      </c>
      <c r="C3835" s="257" t="s">
        <v>11361</v>
      </c>
      <c r="D3835" s="9">
        <v>0.25951669999999999</v>
      </c>
      <c r="E3835" s="9">
        <v>17258998.467498779</v>
      </c>
      <c r="F3835" s="257" t="s">
        <v>16035</v>
      </c>
      <c r="G3835" s="9">
        <v>1</v>
      </c>
      <c r="H3835" s="257" t="s">
        <v>21947</v>
      </c>
      <c r="I3835" s="9">
        <v>2</v>
      </c>
    </row>
    <row r="3836" spans="1:9">
      <c r="A3836" s="257" t="s">
        <v>4934</v>
      </c>
      <c r="B3836" s="9">
        <v>0</v>
      </c>
      <c r="C3836" s="257" t="s">
        <v>11362</v>
      </c>
      <c r="D3836" s="9">
        <v>0.38517863561477284</v>
      </c>
      <c r="E3836" s="9">
        <v>17258998.467498779</v>
      </c>
      <c r="F3836" s="257" t="s">
        <v>16035</v>
      </c>
      <c r="G3836" s="9">
        <v>1</v>
      </c>
      <c r="H3836" s="257" t="s">
        <v>21948</v>
      </c>
      <c r="I3836" s="9">
        <v>2</v>
      </c>
    </row>
    <row r="3837" spans="1:9">
      <c r="A3837" s="257" t="s">
        <v>4935</v>
      </c>
      <c r="B3837" s="9">
        <v>0</v>
      </c>
      <c r="C3837" s="257" t="s">
        <v>11363</v>
      </c>
      <c r="D3837" s="9">
        <v>0.1142376654385979</v>
      </c>
      <c r="E3837" s="9">
        <v>17258998.467498779</v>
      </c>
      <c r="F3837" s="257" t="s">
        <v>16035</v>
      </c>
      <c r="G3837" s="9">
        <v>1</v>
      </c>
      <c r="H3837" s="257" t="s">
        <v>21948</v>
      </c>
      <c r="I3837" s="9">
        <v>2</v>
      </c>
    </row>
    <row r="3838" spans="1:9">
      <c r="A3838" s="257" t="s">
        <v>4936</v>
      </c>
      <c r="B3838" s="9">
        <v>0</v>
      </c>
      <c r="C3838" s="257" t="s">
        <v>11364</v>
      </c>
      <c r="D3838" s="9">
        <v>4.7356928719404057E-2</v>
      </c>
      <c r="E3838" s="9">
        <v>17258998.467498779</v>
      </c>
      <c r="F3838" s="257" t="s">
        <v>16035</v>
      </c>
      <c r="G3838" s="9">
        <v>1</v>
      </c>
      <c r="H3838" s="257" t="s">
        <v>21948</v>
      </c>
      <c r="I3838" s="9">
        <v>2</v>
      </c>
    </row>
    <row r="3839" spans="1:9">
      <c r="A3839" s="257" t="s">
        <v>4937</v>
      </c>
      <c r="B3839" s="9">
        <v>0</v>
      </c>
      <c r="C3839" s="257" t="s">
        <v>11365</v>
      </c>
      <c r="D3839" s="9">
        <v>0.37892769999999998</v>
      </c>
      <c r="E3839" s="9">
        <v>17258998.467498779</v>
      </c>
      <c r="F3839" s="257" t="s">
        <v>16036</v>
      </c>
      <c r="G3839" s="9">
        <v>1</v>
      </c>
      <c r="H3839" s="257" t="s">
        <v>21949</v>
      </c>
      <c r="I3839" s="9">
        <v>2</v>
      </c>
    </row>
    <row r="3840" spans="1:9">
      <c r="A3840" s="257" t="s">
        <v>4938</v>
      </c>
      <c r="B3840" s="9">
        <v>0</v>
      </c>
      <c r="C3840" s="257" t="s">
        <v>11366</v>
      </c>
      <c r="D3840" s="9">
        <v>0.25951669999999999</v>
      </c>
      <c r="E3840" s="9">
        <v>17258998.467498779</v>
      </c>
      <c r="F3840" s="257" t="s">
        <v>16036</v>
      </c>
      <c r="G3840" s="9">
        <v>1</v>
      </c>
      <c r="H3840" s="257" t="s">
        <v>21950</v>
      </c>
      <c r="I3840" s="9">
        <v>2</v>
      </c>
    </row>
    <row r="3841" spans="1:9">
      <c r="A3841" s="257" t="s">
        <v>4939</v>
      </c>
      <c r="B3841" s="9">
        <v>0</v>
      </c>
      <c r="C3841" s="257" t="s">
        <v>11367</v>
      </c>
      <c r="D3841" s="9">
        <v>0.38517863561477284</v>
      </c>
      <c r="E3841" s="9">
        <v>17258998.467498779</v>
      </c>
      <c r="F3841" s="257" t="s">
        <v>16036</v>
      </c>
      <c r="G3841" s="9">
        <v>1</v>
      </c>
      <c r="H3841" s="257" t="s">
        <v>21951</v>
      </c>
      <c r="I3841" s="9">
        <v>2</v>
      </c>
    </row>
    <row r="3842" spans="1:9">
      <c r="A3842" s="257" t="s">
        <v>4940</v>
      </c>
      <c r="B3842" s="9">
        <v>0</v>
      </c>
      <c r="C3842" s="257" t="s">
        <v>11368</v>
      </c>
      <c r="D3842" s="9">
        <v>0.1142376654385979</v>
      </c>
      <c r="E3842" s="9">
        <v>17258998.467498779</v>
      </c>
      <c r="F3842" s="257" t="s">
        <v>16036</v>
      </c>
      <c r="G3842" s="9">
        <v>1</v>
      </c>
      <c r="H3842" s="257" t="s">
        <v>21951</v>
      </c>
      <c r="I3842" s="9">
        <v>2</v>
      </c>
    </row>
    <row r="3843" spans="1:9">
      <c r="A3843" s="257" t="s">
        <v>4941</v>
      </c>
      <c r="B3843" s="9">
        <v>0</v>
      </c>
      <c r="C3843" s="257" t="s">
        <v>11369</v>
      </c>
      <c r="D3843" s="9">
        <v>4.7356928719404057E-2</v>
      </c>
      <c r="E3843" s="9">
        <v>17258998.467498779</v>
      </c>
      <c r="F3843" s="257" t="s">
        <v>16036</v>
      </c>
      <c r="G3843" s="9">
        <v>1</v>
      </c>
      <c r="H3843" s="257" t="s">
        <v>21951</v>
      </c>
      <c r="I3843" s="9">
        <v>2</v>
      </c>
    </row>
    <row r="3844" spans="1:9">
      <c r="A3844" s="257" t="s">
        <v>4942</v>
      </c>
      <c r="B3844" s="9">
        <v>0</v>
      </c>
      <c r="C3844" s="257" t="s">
        <v>11370</v>
      </c>
      <c r="D3844" s="9">
        <v>0.37896819999999998</v>
      </c>
      <c r="E3844" s="9">
        <v>17258998.467498779</v>
      </c>
      <c r="F3844" s="257" t="s">
        <v>16037</v>
      </c>
      <c r="G3844" s="9">
        <v>1</v>
      </c>
      <c r="H3844" s="257" t="s">
        <v>21952</v>
      </c>
      <c r="I3844" s="9">
        <v>2</v>
      </c>
    </row>
    <row r="3845" spans="1:9">
      <c r="A3845" s="257" t="s">
        <v>4943</v>
      </c>
      <c r="B3845" s="9">
        <v>0</v>
      </c>
      <c r="C3845" s="257" t="s">
        <v>11371</v>
      </c>
      <c r="D3845" s="9">
        <v>0.25955689999999998</v>
      </c>
      <c r="E3845" s="9">
        <v>17258998.467498779</v>
      </c>
      <c r="F3845" s="257" t="s">
        <v>16037</v>
      </c>
      <c r="G3845" s="9">
        <v>1</v>
      </c>
      <c r="H3845" s="257" t="s">
        <v>21953</v>
      </c>
      <c r="I3845" s="9">
        <v>2</v>
      </c>
    </row>
    <row r="3846" spans="1:9">
      <c r="A3846" s="257" t="s">
        <v>4944</v>
      </c>
      <c r="B3846" s="9">
        <v>0</v>
      </c>
      <c r="C3846" s="257" t="s">
        <v>11372</v>
      </c>
      <c r="D3846" s="9">
        <v>0.38513102945471078</v>
      </c>
      <c r="E3846" s="9">
        <v>17258998.467498779</v>
      </c>
      <c r="F3846" s="257" t="s">
        <v>16037</v>
      </c>
      <c r="G3846" s="9">
        <v>1</v>
      </c>
      <c r="H3846" s="257" t="s">
        <v>21954</v>
      </c>
      <c r="I3846" s="9">
        <v>2</v>
      </c>
    </row>
    <row r="3847" spans="1:9">
      <c r="A3847" s="257" t="s">
        <v>4945</v>
      </c>
      <c r="B3847" s="9">
        <v>0</v>
      </c>
      <c r="C3847" s="257" t="s">
        <v>11373</v>
      </c>
      <c r="D3847" s="9">
        <v>0.11417839518908754</v>
      </c>
      <c r="E3847" s="9">
        <v>17258998.467498779</v>
      </c>
      <c r="F3847" s="257" t="s">
        <v>16037</v>
      </c>
      <c r="G3847" s="9">
        <v>1</v>
      </c>
      <c r="H3847" s="257" t="s">
        <v>21954</v>
      </c>
      <c r="I3847" s="9">
        <v>2</v>
      </c>
    </row>
    <row r="3848" spans="1:9">
      <c r="A3848" s="257" t="s">
        <v>4946</v>
      </c>
      <c r="B3848" s="9">
        <v>0</v>
      </c>
      <c r="C3848" s="257" t="s">
        <v>11374</v>
      </c>
      <c r="D3848" s="9">
        <v>4.7332724520063943E-2</v>
      </c>
      <c r="E3848" s="9">
        <v>17258998.467498779</v>
      </c>
      <c r="F3848" s="257" t="s">
        <v>16037</v>
      </c>
      <c r="G3848" s="9">
        <v>1</v>
      </c>
      <c r="H3848" s="257" t="s">
        <v>21954</v>
      </c>
      <c r="I3848" s="9">
        <v>2</v>
      </c>
    </row>
    <row r="3849" spans="1:9">
      <c r="A3849" s="257" t="s">
        <v>4947</v>
      </c>
      <c r="B3849" s="9">
        <v>0</v>
      </c>
      <c r="C3849" s="257" t="s">
        <v>11375</v>
      </c>
      <c r="D3849" s="9">
        <v>0.37892769999999998</v>
      </c>
      <c r="E3849" s="9">
        <v>17258998.467498779</v>
      </c>
      <c r="F3849" s="257" t="s">
        <v>16038</v>
      </c>
      <c r="G3849" s="9">
        <v>1</v>
      </c>
      <c r="H3849" s="257" t="s">
        <v>21955</v>
      </c>
      <c r="I3849" s="9">
        <v>2</v>
      </c>
    </row>
    <row r="3850" spans="1:9">
      <c r="A3850" s="257" t="s">
        <v>4948</v>
      </c>
      <c r="B3850" s="9">
        <v>0</v>
      </c>
      <c r="C3850" s="257" t="s">
        <v>11376</v>
      </c>
      <c r="D3850" s="9">
        <v>0.25951669999999999</v>
      </c>
      <c r="E3850" s="9">
        <v>17258998.467498779</v>
      </c>
      <c r="F3850" s="257" t="s">
        <v>16038</v>
      </c>
      <c r="G3850" s="9">
        <v>1</v>
      </c>
      <c r="H3850" s="257" t="s">
        <v>21956</v>
      </c>
      <c r="I3850" s="9">
        <v>2</v>
      </c>
    </row>
    <row r="3851" spans="1:9">
      <c r="A3851" s="257" t="s">
        <v>4949</v>
      </c>
      <c r="B3851" s="9">
        <v>0</v>
      </c>
      <c r="C3851" s="257" t="s">
        <v>11377</v>
      </c>
      <c r="D3851" s="9">
        <v>0.38517863561477284</v>
      </c>
      <c r="E3851" s="9">
        <v>17258998.467498779</v>
      </c>
      <c r="F3851" s="257" t="s">
        <v>16038</v>
      </c>
      <c r="G3851" s="9">
        <v>1</v>
      </c>
      <c r="H3851" s="257" t="s">
        <v>21957</v>
      </c>
      <c r="I3851" s="9">
        <v>2</v>
      </c>
    </row>
    <row r="3852" spans="1:9">
      <c r="A3852" s="257" t="s">
        <v>4950</v>
      </c>
      <c r="B3852" s="9">
        <v>0</v>
      </c>
      <c r="C3852" s="257" t="s">
        <v>11378</v>
      </c>
      <c r="D3852" s="9">
        <v>0.1142376654385979</v>
      </c>
      <c r="E3852" s="9">
        <v>17258998.467498779</v>
      </c>
      <c r="F3852" s="257" t="s">
        <v>16038</v>
      </c>
      <c r="G3852" s="9">
        <v>1</v>
      </c>
      <c r="H3852" s="257" t="s">
        <v>21957</v>
      </c>
      <c r="I3852" s="9">
        <v>2</v>
      </c>
    </row>
    <row r="3853" spans="1:9">
      <c r="A3853" s="257" t="s">
        <v>4951</v>
      </c>
      <c r="B3853" s="9">
        <v>0</v>
      </c>
      <c r="C3853" s="257" t="s">
        <v>11379</v>
      </c>
      <c r="D3853" s="9">
        <v>4.7356928719404057E-2</v>
      </c>
      <c r="E3853" s="9">
        <v>17258998.467498779</v>
      </c>
      <c r="F3853" s="257" t="s">
        <v>16038</v>
      </c>
      <c r="G3853" s="9">
        <v>1</v>
      </c>
      <c r="H3853" s="257" t="s">
        <v>21957</v>
      </c>
      <c r="I3853" s="9">
        <v>2</v>
      </c>
    </row>
    <row r="3854" spans="1:9">
      <c r="A3854" s="257" t="s">
        <v>4952</v>
      </c>
      <c r="B3854" s="9">
        <v>0</v>
      </c>
      <c r="C3854" s="257" t="s">
        <v>11380</v>
      </c>
      <c r="D3854" s="9">
        <v>0.37892769999999998</v>
      </c>
      <c r="E3854" s="9">
        <v>17258998.467498779</v>
      </c>
      <c r="F3854" s="257" t="s">
        <v>16039</v>
      </c>
      <c r="G3854" s="9">
        <v>1</v>
      </c>
      <c r="H3854" s="257" t="s">
        <v>21958</v>
      </c>
      <c r="I3854" s="9">
        <v>2</v>
      </c>
    </row>
    <row r="3855" spans="1:9">
      <c r="A3855" s="257" t="s">
        <v>4953</v>
      </c>
      <c r="B3855" s="9">
        <v>0</v>
      </c>
      <c r="C3855" s="257" t="s">
        <v>11381</v>
      </c>
      <c r="D3855" s="9">
        <v>0.25951669999999999</v>
      </c>
      <c r="E3855" s="9">
        <v>17258998.467498779</v>
      </c>
      <c r="F3855" s="257" t="s">
        <v>16039</v>
      </c>
      <c r="G3855" s="9">
        <v>1</v>
      </c>
      <c r="H3855" s="257" t="s">
        <v>21959</v>
      </c>
      <c r="I3855" s="9">
        <v>2</v>
      </c>
    </row>
    <row r="3856" spans="1:9">
      <c r="A3856" s="257" t="s">
        <v>4954</v>
      </c>
      <c r="B3856" s="9">
        <v>0</v>
      </c>
      <c r="C3856" s="257" t="s">
        <v>11382</v>
      </c>
      <c r="D3856" s="9">
        <v>0.38517863561477284</v>
      </c>
      <c r="E3856" s="9">
        <v>17258998.467498779</v>
      </c>
      <c r="F3856" s="257" t="s">
        <v>16039</v>
      </c>
      <c r="G3856" s="9">
        <v>1</v>
      </c>
      <c r="H3856" s="257" t="s">
        <v>21960</v>
      </c>
      <c r="I3856" s="9">
        <v>2</v>
      </c>
    </row>
    <row r="3857" spans="1:9">
      <c r="A3857" s="257" t="s">
        <v>4955</v>
      </c>
      <c r="B3857" s="9">
        <v>0</v>
      </c>
      <c r="C3857" s="257" t="s">
        <v>11383</v>
      </c>
      <c r="D3857" s="9">
        <v>0.1142376654385979</v>
      </c>
      <c r="E3857" s="9">
        <v>17258998.467498779</v>
      </c>
      <c r="F3857" s="257" t="s">
        <v>16039</v>
      </c>
      <c r="G3857" s="9">
        <v>1</v>
      </c>
      <c r="H3857" s="257" t="s">
        <v>21960</v>
      </c>
      <c r="I3857" s="9">
        <v>2</v>
      </c>
    </row>
    <row r="3858" spans="1:9">
      <c r="A3858" s="257" t="s">
        <v>4956</v>
      </c>
      <c r="B3858" s="9">
        <v>0</v>
      </c>
      <c r="C3858" s="257" t="s">
        <v>11384</v>
      </c>
      <c r="D3858" s="9">
        <v>4.7356928719404057E-2</v>
      </c>
      <c r="E3858" s="9">
        <v>17258998.467498779</v>
      </c>
      <c r="F3858" s="257" t="s">
        <v>16039</v>
      </c>
      <c r="G3858" s="9">
        <v>1</v>
      </c>
      <c r="H3858" s="257" t="s">
        <v>21960</v>
      </c>
      <c r="I3858" s="9">
        <v>2</v>
      </c>
    </row>
    <row r="3859" spans="1:9">
      <c r="A3859" s="257" t="s">
        <v>4957</v>
      </c>
      <c r="B3859" s="9">
        <v>0</v>
      </c>
      <c r="C3859" s="257" t="s">
        <v>11385</v>
      </c>
      <c r="D3859" s="9">
        <v>0.37892769999999998</v>
      </c>
      <c r="E3859" s="9">
        <v>17258998.467498779</v>
      </c>
      <c r="F3859" s="257" t="s">
        <v>16040</v>
      </c>
      <c r="G3859" s="9">
        <v>1</v>
      </c>
      <c r="H3859" s="257" t="s">
        <v>21961</v>
      </c>
      <c r="I3859" s="9">
        <v>2</v>
      </c>
    </row>
    <row r="3860" spans="1:9">
      <c r="A3860" s="257" t="s">
        <v>4958</v>
      </c>
      <c r="B3860" s="9">
        <v>0</v>
      </c>
      <c r="C3860" s="257" t="s">
        <v>11386</v>
      </c>
      <c r="D3860" s="9">
        <v>0.25951669999999999</v>
      </c>
      <c r="E3860" s="9">
        <v>17258998.467498779</v>
      </c>
      <c r="F3860" s="257" t="s">
        <v>16040</v>
      </c>
      <c r="G3860" s="9">
        <v>1</v>
      </c>
      <c r="H3860" s="257" t="s">
        <v>21962</v>
      </c>
      <c r="I3860" s="9">
        <v>2</v>
      </c>
    </row>
    <row r="3861" spans="1:9">
      <c r="A3861" s="257" t="s">
        <v>4959</v>
      </c>
      <c r="B3861" s="9">
        <v>0</v>
      </c>
      <c r="C3861" s="257" t="s">
        <v>11387</v>
      </c>
      <c r="D3861" s="9">
        <v>0.38517863561477284</v>
      </c>
      <c r="E3861" s="9">
        <v>17258998.467498779</v>
      </c>
      <c r="F3861" s="257" t="s">
        <v>16040</v>
      </c>
      <c r="G3861" s="9">
        <v>1</v>
      </c>
      <c r="H3861" s="257" t="s">
        <v>21963</v>
      </c>
      <c r="I3861" s="9">
        <v>2</v>
      </c>
    </row>
    <row r="3862" spans="1:9">
      <c r="A3862" s="257" t="s">
        <v>4960</v>
      </c>
      <c r="B3862" s="9">
        <v>0</v>
      </c>
      <c r="C3862" s="257" t="s">
        <v>11388</v>
      </c>
      <c r="D3862" s="9">
        <v>0.1142376654385979</v>
      </c>
      <c r="E3862" s="9">
        <v>17258998.467498779</v>
      </c>
      <c r="F3862" s="257" t="s">
        <v>16040</v>
      </c>
      <c r="G3862" s="9">
        <v>1</v>
      </c>
      <c r="H3862" s="257" t="s">
        <v>21963</v>
      </c>
      <c r="I3862" s="9">
        <v>2</v>
      </c>
    </row>
    <row r="3863" spans="1:9">
      <c r="A3863" s="257" t="s">
        <v>4961</v>
      </c>
      <c r="B3863" s="9">
        <v>0</v>
      </c>
      <c r="C3863" s="257" t="s">
        <v>11389</v>
      </c>
      <c r="D3863" s="9">
        <v>4.7356928719404057E-2</v>
      </c>
      <c r="E3863" s="9">
        <v>17258998.467498779</v>
      </c>
      <c r="F3863" s="257" t="s">
        <v>16040</v>
      </c>
      <c r="G3863" s="9">
        <v>1</v>
      </c>
      <c r="H3863" s="257" t="s">
        <v>21963</v>
      </c>
      <c r="I3863" s="9">
        <v>2</v>
      </c>
    </row>
    <row r="3864" spans="1:9">
      <c r="A3864" s="257" t="s">
        <v>4962</v>
      </c>
      <c r="B3864" s="9">
        <v>0</v>
      </c>
      <c r="C3864" s="257" t="s">
        <v>11390</v>
      </c>
      <c r="D3864" s="9">
        <v>0.37896819999999998</v>
      </c>
      <c r="E3864" s="9">
        <v>17258998.467498779</v>
      </c>
      <c r="F3864" s="257" t="s">
        <v>16041</v>
      </c>
      <c r="G3864" s="9">
        <v>1</v>
      </c>
      <c r="H3864" s="257" t="s">
        <v>21964</v>
      </c>
      <c r="I3864" s="9">
        <v>2</v>
      </c>
    </row>
    <row r="3865" spans="1:9">
      <c r="A3865" s="257" t="s">
        <v>4963</v>
      </c>
      <c r="B3865" s="9">
        <v>0</v>
      </c>
      <c r="C3865" s="257" t="s">
        <v>11391</v>
      </c>
      <c r="D3865" s="9">
        <v>0.25955689999999998</v>
      </c>
      <c r="E3865" s="9">
        <v>17258998.467498779</v>
      </c>
      <c r="F3865" s="257" t="s">
        <v>16041</v>
      </c>
      <c r="G3865" s="9">
        <v>1</v>
      </c>
      <c r="H3865" s="257" t="s">
        <v>21965</v>
      </c>
      <c r="I3865" s="9">
        <v>2</v>
      </c>
    </row>
    <row r="3866" spans="1:9">
      <c r="A3866" s="257" t="s">
        <v>4964</v>
      </c>
      <c r="B3866" s="9">
        <v>0</v>
      </c>
      <c r="C3866" s="257" t="s">
        <v>11392</v>
      </c>
      <c r="D3866" s="9">
        <v>0.38513102945471078</v>
      </c>
      <c r="E3866" s="9">
        <v>17258998.467498779</v>
      </c>
      <c r="F3866" s="257" t="s">
        <v>16041</v>
      </c>
      <c r="G3866" s="9">
        <v>1</v>
      </c>
      <c r="H3866" s="257" t="s">
        <v>21966</v>
      </c>
      <c r="I3866" s="9">
        <v>2</v>
      </c>
    </row>
    <row r="3867" spans="1:9">
      <c r="A3867" s="257" t="s">
        <v>4965</v>
      </c>
      <c r="B3867" s="9">
        <v>0</v>
      </c>
      <c r="C3867" s="257" t="s">
        <v>11393</v>
      </c>
      <c r="D3867" s="9">
        <v>0.11417839518908754</v>
      </c>
      <c r="E3867" s="9">
        <v>17258998.467498779</v>
      </c>
      <c r="F3867" s="257" t="s">
        <v>16041</v>
      </c>
      <c r="G3867" s="9">
        <v>1</v>
      </c>
      <c r="H3867" s="257" t="s">
        <v>21966</v>
      </c>
      <c r="I3867" s="9">
        <v>2</v>
      </c>
    </row>
    <row r="3868" spans="1:9">
      <c r="A3868" s="257" t="s">
        <v>4966</v>
      </c>
      <c r="B3868" s="9">
        <v>0</v>
      </c>
      <c r="C3868" s="257" t="s">
        <v>11394</v>
      </c>
      <c r="D3868" s="9">
        <v>4.7332724520063943E-2</v>
      </c>
      <c r="E3868" s="9">
        <v>17258998.467498779</v>
      </c>
      <c r="F3868" s="257" t="s">
        <v>16041</v>
      </c>
      <c r="G3868" s="9">
        <v>1</v>
      </c>
      <c r="H3868" s="257" t="s">
        <v>21966</v>
      </c>
      <c r="I3868" s="9">
        <v>2</v>
      </c>
    </row>
    <row r="3869" spans="1:9">
      <c r="A3869" s="257" t="s">
        <v>4967</v>
      </c>
      <c r="B3869" s="9">
        <v>0</v>
      </c>
      <c r="C3869" s="257" t="s">
        <v>11395</v>
      </c>
      <c r="D3869" s="9">
        <v>0.37892769999999998</v>
      </c>
      <c r="E3869" s="9">
        <v>17258998.467498779</v>
      </c>
      <c r="F3869" s="257" t="s">
        <v>16042</v>
      </c>
      <c r="G3869" s="9">
        <v>1</v>
      </c>
      <c r="H3869" s="257" t="s">
        <v>21967</v>
      </c>
      <c r="I3869" s="9">
        <v>2</v>
      </c>
    </row>
    <row r="3870" spans="1:9">
      <c r="A3870" s="257" t="s">
        <v>4968</v>
      </c>
      <c r="B3870" s="9">
        <v>0</v>
      </c>
      <c r="C3870" s="257" t="s">
        <v>11396</v>
      </c>
      <c r="D3870" s="9">
        <v>0.25951669999999999</v>
      </c>
      <c r="E3870" s="9">
        <v>17258998.467498779</v>
      </c>
      <c r="F3870" s="257" t="s">
        <v>16042</v>
      </c>
      <c r="G3870" s="9">
        <v>1</v>
      </c>
      <c r="H3870" s="257" t="s">
        <v>21968</v>
      </c>
      <c r="I3870" s="9">
        <v>2</v>
      </c>
    </row>
    <row r="3871" spans="1:9">
      <c r="A3871" s="257" t="s">
        <v>4969</v>
      </c>
      <c r="B3871" s="9">
        <v>0</v>
      </c>
      <c r="C3871" s="257" t="s">
        <v>11397</v>
      </c>
      <c r="D3871" s="9">
        <v>0.38517863561477284</v>
      </c>
      <c r="E3871" s="9">
        <v>17258998.467498779</v>
      </c>
      <c r="F3871" s="257" t="s">
        <v>16042</v>
      </c>
      <c r="G3871" s="9">
        <v>1</v>
      </c>
      <c r="H3871" s="257" t="s">
        <v>21969</v>
      </c>
      <c r="I3871" s="9">
        <v>2</v>
      </c>
    </row>
    <row r="3872" spans="1:9">
      <c r="A3872" s="257" t="s">
        <v>4970</v>
      </c>
      <c r="B3872" s="9">
        <v>0</v>
      </c>
      <c r="C3872" s="257" t="s">
        <v>11398</v>
      </c>
      <c r="D3872" s="9">
        <v>0.1142376654385979</v>
      </c>
      <c r="E3872" s="9">
        <v>17258998.467498779</v>
      </c>
      <c r="F3872" s="257" t="s">
        <v>16042</v>
      </c>
      <c r="G3872" s="9">
        <v>1</v>
      </c>
      <c r="H3872" s="257" t="s">
        <v>21969</v>
      </c>
      <c r="I3872" s="9">
        <v>2</v>
      </c>
    </row>
    <row r="3873" spans="1:9">
      <c r="A3873" s="257" t="s">
        <v>4971</v>
      </c>
      <c r="B3873" s="9">
        <v>0</v>
      </c>
      <c r="C3873" s="257" t="s">
        <v>11399</v>
      </c>
      <c r="D3873" s="9">
        <v>4.7356928719404057E-2</v>
      </c>
      <c r="E3873" s="9">
        <v>17258998.467498779</v>
      </c>
      <c r="F3873" s="257" t="s">
        <v>16042</v>
      </c>
      <c r="G3873" s="9">
        <v>1</v>
      </c>
      <c r="H3873" s="257" t="s">
        <v>21969</v>
      </c>
      <c r="I3873" s="9">
        <v>2</v>
      </c>
    </row>
    <row r="3874" spans="1:9">
      <c r="A3874" s="257" t="s">
        <v>4972</v>
      </c>
      <c r="B3874" s="9">
        <v>0</v>
      </c>
      <c r="C3874" s="257" t="s">
        <v>11400</v>
      </c>
      <c r="D3874" s="9">
        <v>0.38018960000000002</v>
      </c>
      <c r="E3874" s="9">
        <v>17258998.467498779</v>
      </c>
      <c r="F3874" s="257" t="s">
        <v>16043</v>
      </c>
      <c r="G3874" s="9">
        <v>1</v>
      </c>
      <c r="H3874" s="257" t="s">
        <v>21970</v>
      </c>
      <c r="I3874" s="9">
        <v>2</v>
      </c>
    </row>
    <row r="3875" spans="1:9">
      <c r="A3875" s="257" t="s">
        <v>4973</v>
      </c>
      <c r="B3875" s="9">
        <v>0</v>
      </c>
      <c r="C3875" s="257" t="s">
        <v>11401</v>
      </c>
      <c r="D3875" s="9">
        <v>0.26077410000000001</v>
      </c>
      <c r="E3875" s="9">
        <v>17258998.467498779</v>
      </c>
      <c r="F3875" s="257" t="s">
        <v>16043</v>
      </c>
      <c r="G3875" s="9">
        <v>1</v>
      </c>
      <c r="H3875" s="257" t="s">
        <v>21971</v>
      </c>
      <c r="I3875" s="9">
        <v>2</v>
      </c>
    </row>
    <row r="3876" spans="1:9">
      <c r="A3876" s="257" t="s">
        <v>4974</v>
      </c>
      <c r="B3876" s="9">
        <v>0</v>
      </c>
      <c r="C3876" s="257" t="s">
        <v>11402</v>
      </c>
      <c r="D3876" s="9">
        <v>0.38035055653621896</v>
      </c>
      <c r="E3876" s="9">
        <v>17258998.467498779</v>
      </c>
      <c r="F3876" s="257" t="s">
        <v>16043</v>
      </c>
      <c r="G3876" s="9">
        <v>1</v>
      </c>
      <c r="H3876" s="257" t="s">
        <v>21972</v>
      </c>
      <c r="I3876" s="9">
        <v>2</v>
      </c>
    </row>
    <row r="3877" spans="1:9">
      <c r="A3877" s="257" t="s">
        <v>4975</v>
      </c>
      <c r="B3877" s="9">
        <v>0</v>
      </c>
      <c r="C3877" s="257" t="s">
        <v>11403</v>
      </c>
      <c r="D3877" s="9">
        <v>0.11241043350991345</v>
      </c>
      <c r="E3877" s="9">
        <v>17258998.467498779</v>
      </c>
      <c r="F3877" s="257" t="s">
        <v>16043</v>
      </c>
      <c r="G3877" s="9">
        <v>1</v>
      </c>
      <c r="H3877" s="257" t="s">
        <v>21972</v>
      </c>
      <c r="I3877" s="9">
        <v>2</v>
      </c>
    </row>
    <row r="3878" spans="1:9">
      <c r="A3878" s="257" t="s">
        <v>4976</v>
      </c>
      <c r="B3878" s="9">
        <v>0</v>
      </c>
      <c r="C3878" s="257" t="s">
        <v>11404</v>
      </c>
      <c r="D3878" s="9">
        <v>4.6593947678635221E-2</v>
      </c>
      <c r="E3878" s="9">
        <v>17258998.467498779</v>
      </c>
      <c r="F3878" s="257" t="s">
        <v>16043</v>
      </c>
      <c r="G3878" s="9">
        <v>1</v>
      </c>
      <c r="H3878" s="257" t="s">
        <v>21972</v>
      </c>
      <c r="I3878" s="9">
        <v>2</v>
      </c>
    </row>
    <row r="3879" spans="1:9">
      <c r="A3879" s="257" t="s">
        <v>4977</v>
      </c>
      <c r="B3879" s="9">
        <v>0</v>
      </c>
      <c r="C3879" s="257" t="s">
        <v>11405</v>
      </c>
      <c r="D3879" s="9">
        <v>0.38014779999999998</v>
      </c>
      <c r="E3879" s="9">
        <v>17258998.467498779</v>
      </c>
      <c r="F3879" s="257" t="s">
        <v>16044</v>
      </c>
      <c r="G3879" s="9">
        <v>1</v>
      </c>
      <c r="H3879" s="257" t="s">
        <v>21973</v>
      </c>
      <c r="I3879" s="9">
        <v>2</v>
      </c>
    </row>
    <row r="3880" spans="1:9">
      <c r="A3880" s="257" t="s">
        <v>4978</v>
      </c>
      <c r="B3880" s="9">
        <v>0</v>
      </c>
      <c r="C3880" s="257" t="s">
        <v>11406</v>
      </c>
      <c r="D3880" s="9">
        <v>0.26073200000000002</v>
      </c>
      <c r="E3880" s="9">
        <v>17258998.467498779</v>
      </c>
      <c r="F3880" s="257" t="s">
        <v>16044</v>
      </c>
      <c r="G3880" s="9">
        <v>1</v>
      </c>
      <c r="H3880" s="257" t="s">
        <v>21974</v>
      </c>
      <c r="I3880" s="9">
        <v>2</v>
      </c>
    </row>
    <row r="3881" spans="1:9">
      <c r="A3881" s="257" t="s">
        <v>4979</v>
      </c>
      <c r="B3881" s="9">
        <v>0</v>
      </c>
      <c r="C3881" s="257" t="s">
        <v>11407</v>
      </c>
      <c r="D3881" s="9">
        <v>0.3806631912027455</v>
      </c>
      <c r="E3881" s="9">
        <v>17258998.467498779</v>
      </c>
      <c r="F3881" s="257" t="s">
        <v>16044</v>
      </c>
      <c r="G3881" s="9">
        <v>1</v>
      </c>
      <c r="H3881" s="257" t="s">
        <v>21975</v>
      </c>
      <c r="I3881" s="9">
        <v>2</v>
      </c>
    </row>
    <row r="3882" spans="1:9">
      <c r="A3882" s="257" t="s">
        <v>4980</v>
      </c>
      <c r="B3882" s="9">
        <v>0</v>
      </c>
      <c r="C3882" s="257" t="s">
        <v>11408</v>
      </c>
      <c r="D3882" s="9">
        <v>0.11246587700592282</v>
      </c>
      <c r="E3882" s="9">
        <v>17258998.467498779</v>
      </c>
      <c r="F3882" s="257" t="s">
        <v>16044</v>
      </c>
      <c r="G3882" s="9">
        <v>1</v>
      </c>
      <c r="H3882" s="257" t="s">
        <v>21975</v>
      </c>
      <c r="I3882" s="9">
        <v>2</v>
      </c>
    </row>
    <row r="3883" spans="1:9">
      <c r="A3883" s="257" t="s">
        <v>4981</v>
      </c>
      <c r="B3883" s="9">
        <v>0</v>
      </c>
      <c r="C3883" s="257" t="s">
        <v>11409</v>
      </c>
      <c r="D3883" s="9">
        <v>4.6616169107890994E-2</v>
      </c>
      <c r="E3883" s="9">
        <v>17258998.467498779</v>
      </c>
      <c r="F3883" s="257" t="s">
        <v>16044</v>
      </c>
      <c r="G3883" s="9">
        <v>1</v>
      </c>
      <c r="H3883" s="257" t="s">
        <v>21975</v>
      </c>
      <c r="I3883" s="9">
        <v>2</v>
      </c>
    </row>
    <row r="3884" spans="1:9">
      <c r="A3884" s="257" t="s">
        <v>4982</v>
      </c>
      <c r="B3884" s="9">
        <v>0</v>
      </c>
      <c r="C3884" s="257" t="s">
        <v>11410</v>
      </c>
      <c r="D3884" s="9">
        <v>0.38517863561477284</v>
      </c>
      <c r="E3884" s="9">
        <v>17258998.467498779</v>
      </c>
      <c r="F3884" s="257" t="s">
        <v>16045</v>
      </c>
      <c r="G3884" s="9">
        <v>1</v>
      </c>
      <c r="H3884" s="257" t="s">
        <v>21975</v>
      </c>
      <c r="I3884" s="9">
        <v>2</v>
      </c>
    </row>
    <row r="3885" spans="1:9">
      <c r="A3885" s="257" t="s">
        <v>4983</v>
      </c>
      <c r="B3885" s="9">
        <v>0</v>
      </c>
      <c r="C3885" s="257" t="s">
        <v>11411</v>
      </c>
      <c r="D3885" s="9">
        <v>0.1142376654385979</v>
      </c>
      <c r="E3885" s="9">
        <v>17258998.467498779</v>
      </c>
      <c r="F3885" s="257" t="s">
        <v>16045</v>
      </c>
      <c r="G3885" s="9">
        <v>1</v>
      </c>
      <c r="H3885" s="257" t="s">
        <v>21975</v>
      </c>
      <c r="I3885" s="9">
        <v>2</v>
      </c>
    </row>
    <row r="3886" spans="1:9">
      <c r="A3886" s="257" t="s">
        <v>4984</v>
      </c>
      <c r="B3886" s="9">
        <v>0</v>
      </c>
      <c r="C3886" s="257" t="s">
        <v>11412</v>
      </c>
      <c r="D3886" s="9">
        <v>4.7356928719404057E-2</v>
      </c>
      <c r="E3886" s="9">
        <v>17258998.467498779</v>
      </c>
      <c r="F3886" s="257" t="s">
        <v>16045</v>
      </c>
      <c r="G3886" s="9">
        <v>1</v>
      </c>
      <c r="H3886" s="257" t="s">
        <v>21975</v>
      </c>
      <c r="I3886" s="9">
        <v>2</v>
      </c>
    </row>
    <row r="3887" spans="1:9">
      <c r="A3887" s="257" t="s">
        <v>4985</v>
      </c>
      <c r="B3887" s="9">
        <v>0</v>
      </c>
      <c r="C3887" s="257" t="s">
        <v>11413</v>
      </c>
      <c r="D3887" s="9">
        <v>0.37863370000000002</v>
      </c>
      <c r="E3887" s="9">
        <v>17258998.467498779</v>
      </c>
      <c r="F3887" s="257" t="s">
        <v>16046</v>
      </c>
      <c r="G3887" s="9">
        <v>1</v>
      </c>
      <c r="H3887" s="257" t="s">
        <v>21976</v>
      </c>
      <c r="I3887" s="9">
        <v>2</v>
      </c>
    </row>
    <row r="3888" spans="1:9">
      <c r="A3888" s="257" t="s">
        <v>4986</v>
      </c>
      <c r="B3888" s="9">
        <v>0</v>
      </c>
      <c r="C3888" s="257" t="s">
        <v>11414</v>
      </c>
      <c r="D3888" s="9">
        <v>0.25890039999999997</v>
      </c>
      <c r="E3888" s="9">
        <v>17258998.467498779</v>
      </c>
      <c r="F3888" s="257" t="s">
        <v>16046</v>
      </c>
      <c r="G3888" s="9">
        <v>1</v>
      </c>
      <c r="H3888" s="257" t="s">
        <v>21977</v>
      </c>
      <c r="I3888" s="9">
        <v>2</v>
      </c>
    </row>
    <row r="3889" spans="1:9">
      <c r="A3889" s="257" t="s">
        <v>4987</v>
      </c>
      <c r="B3889" s="9">
        <v>0</v>
      </c>
      <c r="C3889" s="257" t="s">
        <v>11415</v>
      </c>
      <c r="D3889" s="9">
        <v>0.38018960000000002</v>
      </c>
      <c r="E3889" s="9">
        <v>17258998.467498779</v>
      </c>
      <c r="F3889" s="257" t="s">
        <v>16047</v>
      </c>
      <c r="G3889" s="9">
        <v>1</v>
      </c>
      <c r="H3889" s="257" t="s">
        <v>21978</v>
      </c>
      <c r="I3889" s="9">
        <v>2</v>
      </c>
    </row>
    <row r="3890" spans="1:9">
      <c r="A3890" s="257" t="s">
        <v>4988</v>
      </c>
      <c r="B3890" s="9">
        <v>0</v>
      </c>
      <c r="C3890" s="257" t="s">
        <v>11416</v>
      </c>
      <c r="D3890" s="9">
        <v>0.26077410000000001</v>
      </c>
      <c r="E3890" s="9">
        <v>17258998.467498779</v>
      </c>
      <c r="F3890" s="257" t="s">
        <v>16047</v>
      </c>
      <c r="G3890" s="9">
        <v>1</v>
      </c>
      <c r="H3890" s="257" t="s">
        <v>21979</v>
      </c>
      <c r="I3890" s="9">
        <v>2</v>
      </c>
    </row>
    <row r="3891" spans="1:9">
      <c r="A3891" s="257" t="s">
        <v>4989</v>
      </c>
      <c r="B3891" s="9">
        <v>0</v>
      </c>
      <c r="C3891" s="257" t="s">
        <v>11417</v>
      </c>
      <c r="D3891" s="9">
        <v>0.38035055653621896</v>
      </c>
      <c r="E3891" s="9">
        <v>17258998.467498779</v>
      </c>
      <c r="F3891" s="257" t="s">
        <v>16047</v>
      </c>
      <c r="G3891" s="9">
        <v>1</v>
      </c>
      <c r="H3891" s="257" t="s">
        <v>21980</v>
      </c>
      <c r="I3891" s="9">
        <v>2</v>
      </c>
    </row>
    <row r="3892" spans="1:9">
      <c r="A3892" s="257" t="s">
        <v>4990</v>
      </c>
      <c r="B3892" s="9">
        <v>0</v>
      </c>
      <c r="C3892" s="257" t="s">
        <v>11418</v>
      </c>
      <c r="D3892" s="9">
        <v>0.11241043350991345</v>
      </c>
      <c r="E3892" s="9">
        <v>17258998.467498779</v>
      </c>
      <c r="F3892" s="257" t="s">
        <v>16047</v>
      </c>
      <c r="G3892" s="9">
        <v>1</v>
      </c>
      <c r="H3892" s="257" t="s">
        <v>21980</v>
      </c>
      <c r="I3892" s="9">
        <v>2</v>
      </c>
    </row>
    <row r="3893" spans="1:9">
      <c r="A3893" s="257" t="s">
        <v>4991</v>
      </c>
      <c r="B3893" s="9">
        <v>0</v>
      </c>
      <c r="C3893" s="257" t="s">
        <v>11419</v>
      </c>
      <c r="D3893" s="9">
        <v>4.6593947678635221E-2</v>
      </c>
      <c r="E3893" s="9">
        <v>17258998.467498779</v>
      </c>
      <c r="F3893" s="257" t="s">
        <v>16047</v>
      </c>
      <c r="G3893" s="9">
        <v>1</v>
      </c>
      <c r="H3893" s="257" t="s">
        <v>21980</v>
      </c>
      <c r="I3893" s="9">
        <v>2</v>
      </c>
    </row>
    <row r="3894" spans="1:9">
      <c r="A3894" s="257" t="s">
        <v>4992</v>
      </c>
      <c r="B3894" s="9">
        <v>0</v>
      </c>
      <c r="C3894" s="257" t="s">
        <v>11420</v>
      </c>
      <c r="D3894" s="9">
        <v>0.37798359999999998</v>
      </c>
      <c r="E3894" s="9">
        <v>17258998.467498779</v>
      </c>
      <c r="F3894" s="257" t="s">
        <v>16048</v>
      </c>
      <c r="G3894" s="9">
        <v>1</v>
      </c>
      <c r="H3894" s="257" t="s">
        <v>21981</v>
      </c>
      <c r="I3894" s="9">
        <v>2</v>
      </c>
    </row>
    <row r="3895" spans="1:9">
      <c r="A3895" s="257" t="s">
        <v>4993</v>
      </c>
      <c r="B3895" s="9">
        <v>0</v>
      </c>
      <c r="C3895" s="257" t="s">
        <v>11421</v>
      </c>
      <c r="D3895" s="9">
        <v>0.2578761</v>
      </c>
      <c r="E3895" s="9">
        <v>17258998.467498779</v>
      </c>
      <c r="F3895" s="257" t="s">
        <v>16048</v>
      </c>
      <c r="G3895" s="9">
        <v>1</v>
      </c>
      <c r="H3895" s="257" t="s">
        <v>21982</v>
      </c>
      <c r="I3895" s="9">
        <v>2</v>
      </c>
    </row>
    <row r="3896" spans="1:9">
      <c r="A3896" s="257" t="s">
        <v>4994</v>
      </c>
      <c r="B3896" s="9">
        <v>0</v>
      </c>
      <c r="C3896" s="257" t="s">
        <v>11422</v>
      </c>
      <c r="D3896" s="9">
        <v>0.38705763826834666</v>
      </c>
      <c r="E3896" s="9">
        <v>17258998.467498779</v>
      </c>
      <c r="F3896" s="257" t="s">
        <v>16048</v>
      </c>
      <c r="G3896" s="9">
        <v>1</v>
      </c>
      <c r="H3896" s="257" t="s">
        <v>21983</v>
      </c>
      <c r="I3896" s="9">
        <v>2</v>
      </c>
    </row>
    <row r="3897" spans="1:9">
      <c r="A3897" s="257" t="s">
        <v>4995</v>
      </c>
      <c r="B3897" s="9">
        <v>0</v>
      </c>
      <c r="C3897" s="257" t="s">
        <v>11423</v>
      </c>
      <c r="D3897" s="9">
        <v>0.11475679931370281</v>
      </c>
      <c r="E3897" s="9">
        <v>17258998.467498779</v>
      </c>
      <c r="F3897" s="257" t="s">
        <v>16048</v>
      </c>
      <c r="G3897" s="9">
        <v>1</v>
      </c>
      <c r="H3897" s="257" t="s">
        <v>21983</v>
      </c>
      <c r="I3897" s="9">
        <v>2</v>
      </c>
    </row>
    <row r="3898" spans="1:9">
      <c r="A3898" s="257" t="s">
        <v>4996</v>
      </c>
      <c r="B3898" s="9">
        <v>0</v>
      </c>
      <c r="C3898" s="257" t="s">
        <v>11424</v>
      </c>
      <c r="D3898" s="9">
        <v>4.7603638946726798E-2</v>
      </c>
      <c r="E3898" s="9">
        <v>17258998.467498779</v>
      </c>
      <c r="F3898" s="257" t="s">
        <v>16048</v>
      </c>
      <c r="G3898" s="9">
        <v>1</v>
      </c>
      <c r="H3898" s="257" t="s">
        <v>21983</v>
      </c>
      <c r="I3898" s="9">
        <v>2</v>
      </c>
    </row>
    <row r="3899" spans="1:9">
      <c r="A3899" s="257" t="s">
        <v>4997</v>
      </c>
      <c r="B3899" s="9">
        <v>0</v>
      </c>
      <c r="C3899" s="257" t="s">
        <v>11425</v>
      </c>
      <c r="D3899" s="9">
        <v>0.38109229999999999</v>
      </c>
      <c r="E3899" s="9">
        <v>17258998.467498779</v>
      </c>
      <c r="F3899" s="257" t="s">
        <v>16049</v>
      </c>
      <c r="G3899" s="9">
        <v>1</v>
      </c>
      <c r="H3899" s="257" t="s">
        <v>21984</v>
      </c>
      <c r="I3899" s="9">
        <v>2</v>
      </c>
    </row>
    <row r="3900" spans="1:9">
      <c r="A3900" s="257" t="s">
        <v>4998</v>
      </c>
      <c r="B3900" s="9">
        <v>0</v>
      </c>
      <c r="C3900" s="257" t="s">
        <v>11426</v>
      </c>
      <c r="D3900" s="9">
        <v>0.2623799</v>
      </c>
      <c r="E3900" s="9">
        <v>17258998.467498779</v>
      </c>
      <c r="F3900" s="257" t="s">
        <v>16049</v>
      </c>
      <c r="G3900" s="9">
        <v>1</v>
      </c>
      <c r="H3900" s="257" t="s">
        <v>21985</v>
      </c>
      <c r="I3900" s="9">
        <v>2</v>
      </c>
    </row>
    <row r="3901" spans="1:9">
      <c r="A3901" s="257" t="s">
        <v>4999</v>
      </c>
      <c r="B3901" s="9">
        <v>0</v>
      </c>
      <c r="C3901" s="257" t="s">
        <v>11427</v>
      </c>
      <c r="D3901" s="9">
        <v>0.37955553361155064</v>
      </c>
      <c r="E3901" s="9">
        <v>17258998.467498779</v>
      </c>
      <c r="F3901" s="257" t="s">
        <v>16049</v>
      </c>
      <c r="G3901" s="9">
        <v>1</v>
      </c>
      <c r="H3901" s="257" t="s">
        <v>21986</v>
      </c>
      <c r="I3901" s="9">
        <v>2</v>
      </c>
    </row>
    <row r="3902" spans="1:9">
      <c r="A3902" s="257" t="s">
        <v>5000</v>
      </c>
      <c r="B3902" s="9">
        <v>0</v>
      </c>
      <c r="C3902" s="257" t="s">
        <v>11428</v>
      </c>
      <c r="D3902" s="9">
        <v>0.11197409187761856</v>
      </c>
      <c r="E3902" s="9">
        <v>17258998.467498779</v>
      </c>
      <c r="F3902" s="257" t="s">
        <v>16049</v>
      </c>
      <c r="G3902" s="9">
        <v>1</v>
      </c>
      <c r="H3902" s="257" t="s">
        <v>21986</v>
      </c>
      <c r="I3902" s="9">
        <v>2</v>
      </c>
    </row>
    <row r="3903" spans="1:9">
      <c r="A3903" s="257" t="s">
        <v>5001</v>
      </c>
      <c r="B3903" s="9">
        <v>0</v>
      </c>
      <c r="C3903" s="257" t="s">
        <v>11429</v>
      </c>
      <c r="D3903" s="9">
        <v>4.6390274217110741E-2</v>
      </c>
      <c r="E3903" s="9">
        <v>17258998.467498779</v>
      </c>
      <c r="F3903" s="257" t="s">
        <v>16049</v>
      </c>
      <c r="G3903" s="9">
        <v>1</v>
      </c>
      <c r="H3903" s="257" t="s">
        <v>21986</v>
      </c>
      <c r="I3903" s="9">
        <v>2</v>
      </c>
    </row>
    <row r="3904" spans="1:9">
      <c r="A3904" s="257" t="s">
        <v>5002</v>
      </c>
      <c r="B3904" s="9">
        <v>0</v>
      </c>
      <c r="C3904" s="257" t="s">
        <v>11430</v>
      </c>
      <c r="D3904" s="9">
        <v>0.38113350000000001</v>
      </c>
      <c r="E3904" s="9">
        <v>17258998.467498779</v>
      </c>
      <c r="F3904" s="257" t="s">
        <v>16050</v>
      </c>
      <c r="G3904" s="9">
        <v>1</v>
      </c>
      <c r="H3904" s="257" t="s">
        <v>21987</v>
      </c>
      <c r="I3904" s="9">
        <v>2</v>
      </c>
    </row>
    <row r="3905" spans="1:9">
      <c r="A3905" s="257" t="s">
        <v>5003</v>
      </c>
      <c r="B3905" s="9">
        <v>0</v>
      </c>
      <c r="C3905" s="257" t="s">
        <v>11431</v>
      </c>
      <c r="D3905" s="9">
        <v>0.26242120000000002</v>
      </c>
      <c r="E3905" s="9">
        <v>17258998.467498779</v>
      </c>
      <c r="F3905" s="257" t="s">
        <v>16050</v>
      </c>
      <c r="G3905" s="9">
        <v>1</v>
      </c>
      <c r="H3905" s="257" t="s">
        <v>21988</v>
      </c>
      <c r="I3905" s="9">
        <v>2</v>
      </c>
    </row>
    <row r="3906" spans="1:9">
      <c r="A3906" s="257" t="s">
        <v>5004</v>
      </c>
      <c r="B3906" s="9">
        <v>0</v>
      </c>
      <c r="C3906" s="257" t="s">
        <v>11432</v>
      </c>
      <c r="D3906" s="9">
        <v>0.3786253969100784</v>
      </c>
      <c r="E3906" s="9">
        <v>17258998.467498779</v>
      </c>
      <c r="F3906" s="257" t="s">
        <v>16050</v>
      </c>
      <c r="G3906" s="9">
        <v>1</v>
      </c>
      <c r="H3906" s="257" t="s">
        <v>21989</v>
      </c>
      <c r="I3906" s="9">
        <v>2</v>
      </c>
    </row>
    <row r="3907" spans="1:9">
      <c r="A3907" s="257" t="s">
        <v>5005</v>
      </c>
      <c r="B3907" s="9">
        <v>0</v>
      </c>
      <c r="C3907" s="257" t="s">
        <v>11433</v>
      </c>
      <c r="D3907" s="9">
        <v>0.11191947470863993</v>
      </c>
      <c r="E3907" s="9">
        <v>17258998.467498779</v>
      </c>
      <c r="F3907" s="257" t="s">
        <v>16050</v>
      </c>
      <c r="G3907" s="9">
        <v>1</v>
      </c>
      <c r="H3907" s="257" t="s">
        <v>21989</v>
      </c>
      <c r="I3907" s="9">
        <v>2</v>
      </c>
    </row>
    <row r="3908" spans="1:9">
      <c r="A3908" s="257" t="s">
        <v>5006</v>
      </c>
      <c r="B3908" s="9">
        <v>0</v>
      </c>
      <c r="C3908" s="257" t="s">
        <v>11434</v>
      </c>
      <c r="D3908" s="9">
        <v>4.6368277703121477E-2</v>
      </c>
      <c r="E3908" s="9">
        <v>17258998.467498779</v>
      </c>
      <c r="F3908" s="257" t="s">
        <v>16050</v>
      </c>
      <c r="G3908" s="9">
        <v>1</v>
      </c>
      <c r="H3908" s="257" t="s">
        <v>21989</v>
      </c>
      <c r="I3908" s="9">
        <v>2</v>
      </c>
    </row>
    <row r="3909" spans="1:9">
      <c r="A3909" s="257" t="s">
        <v>5007</v>
      </c>
      <c r="B3909" s="9">
        <v>0</v>
      </c>
      <c r="C3909" s="257" t="s">
        <v>11435</v>
      </c>
      <c r="D3909" s="9">
        <v>0.37975890000000001</v>
      </c>
      <c r="E3909" s="9">
        <v>17258998.467498779</v>
      </c>
      <c r="F3909" s="257" t="s">
        <v>16051</v>
      </c>
      <c r="G3909" s="9">
        <v>1</v>
      </c>
      <c r="H3909" s="257" t="s">
        <v>21990</v>
      </c>
      <c r="I3909" s="9">
        <v>2</v>
      </c>
    </row>
    <row r="3910" spans="1:9">
      <c r="A3910" s="257" t="s">
        <v>5008</v>
      </c>
      <c r="B3910" s="9">
        <v>0</v>
      </c>
      <c r="C3910" s="257" t="s">
        <v>11436</v>
      </c>
      <c r="D3910" s="9">
        <v>0.2602294</v>
      </c>
      <c r="E3910" s="9">
        <v>17258998.467498779</v>
      </c>
      <c r="F3910" s="257" t="s">
        <v>16051</v>
      </c>
      <c r="G3910" s="9">
        <v>1</v>
      </c>
      <c r="H3910" s="257" t="s">
        <v>21991</v>
      </c>
      <c r="I3910" s="9">
        <v>2</v>
      </c>
    </row>
    <row r="3911" spans="1:9">
      <c r="A3911" s="257" t="s">
        <v>5009</v>
      </c>
      <c r="B3911" s="9">
        <v>0</v>
      </c>
      <c r="C3911" s="257" t="s">
        <v>11437</v>
      </c>
      <c r="D3911" s="9">
        <v>0.38250429688431542</v>
      </c>
      <c r="E3911" s="9">
        <v>17258998.467498779</v>
      </c>
      <c r="F3911" s="257" t="s">
        <v>16051</v>
      </c>
      <c r="G3911" s="9">
        <v>1</v>
      </c>
      <c r="H3911" s="257" t="s">
        <v>21992</v>
      </c>
      <c r="I3911" s="9">
        <v>2</v>
      </c>
    </row>
    <row r="3912" spans="1:9">
      <c r="A3912" s="257" t="s">
        <v>5010</v>
      </c>
      <c r="B3912" s="9">
        <v>0</v>
      </c>
      <c r="C3912" s="257" t="s">
        <v>11438</v>
      </c>
      <c r="D3912" s="9">
        <v>0.11325858600963126</v>
      </c>
      <c r="E3912" s="9">
        <v>17258998.467498779</v>
      </c>
      <c r="F3912" s="257" t="s">
        <v>16051</v>
      </c>
      <c r="G3912" s="9">
        <v>1</v>
      </c>
      <c r="H3912" s="257" t="s">
        <v>21992</v>
      </c>
      <c r="I3912" s="9">
        <v>2</v>
      </c>
    </row>
    <row r="3913" spans="1:9">
      <c r="A3913" s="257" t="s">
        <v>5011</v>
      </c>
      <c r="B3913" s="9">
        <v>0</v>
      </c>
      <c r="C3913" s="257" t="s">
        <v>11439</v>
      </c>
      <c r="D3913" s="9">
        <v>4.6982445564598581E-2</v>
      </c>
      <c r="E3913" s="9">
        <v>17258998.467498779</v>
      </c>
      <c r="F3913" s="257" t="s">
        <v>16051</v>
      </c>
      <c r="G3913" s="9">
        <v>1</v>
      </c>
      <c r="H3913" s="257" t="s">
        <v>21992</v>
      </c>
      <c r="I3913" s="9">
        <v>2</v>
      </c>
    </row>
    <row r="3914" spans="1:9">
      <c r="A3914" s="257" t="s">
        <v>5012</v>
      </c>
      <c r="B3914" s="9">
        <v>0</v>
      </c>
      <c r="C3914" s="257" t="s">
        <v>11440</v>
      </c>
      <c r="D3914" s="9">
        <v>0.3798009</v>
      </c>
      <c r="E3914" s="9">
        <v>17258998.467498779</v>
      </c>
      <c r="F3914" s="257" t="s">
        <v>16052</v>
      </c>
      <c r="G3914" s="9">
        <v>1</v>
      </c>
      <c r="H3914" s="257" t="s">
        <v>21993</v>
      </c>
      <c r="I3914" s="9">
        <v>2</v>
      </c>
    </row>
    <row r="3915" spans="1:9">
      <c r="A3915" s="257" t="s">
        <v>5013</v>
      </c>
      <c r="B3915" s="9">
        <v>0</v>
      </c>
      <c r="C3915" s="257" t="s">
        <v>11441</v>
      </c>
      <c r="D3915" s="9">
        <v>0.26027169999999999</v>
      </c>
      <c r="E3915" s="9">
        <v>17258998.467498779</v>
      </c>
      <c r="F3915" s="257" t="s">
        <v>16052</v>
      </c>
      <c r="G3915" s="9">
        <v>1</v>
      </c>
      <c r="H3915" s="257" t="s">
        <v>21994</v>
      </c>
      <c r="I3915" s="9">
        <v>2</v>
      </c>
    </row>
    <row r="3916" spans="1:9">
      <c r="A3916" s="257" t="s">
        <v>5014</v>
      </c>
      <c r="B3916" s="9">
        <v>0</v>
      </c>
      <c r="C3916" s="257" t="s">
        <v>11442</v>
      </c>
      <c r="D3916" s="9">
        <v>0.38208022620779081</v>
      </c>
      <c r="E3916" s="9">
        <v>17258998.467498779</v>
      </c>
      <c r="F3916" s="257" t="s">
        <v>16052</v>
      </c>
      <c r="G3916" s="9">
        <v>1</v>
      </c>
      <c r="H3916" s="257" t="s">
        <v>21995</v>
      </c>
      <c r="I3916" s="9">
        <v>2</v>
      </c>
    </row>
    <row r="3917" spans="1:9">
      <c r="A3917" s="257" t="s">
        <v>5015</v>
      </c>
      <c r="B3917" s="9">
        <v>0</v>
      </c>
      <c r="C3917" s="257" t="s">
        <v>11443</v>
      </c>
      <c r="D3917" s="9">
        <v>0.11320272048779761</v>
      </c>
      <c r="E3917" s="9">
        <v>17258998.467498779</v>
      </c>
      <c r="F3917" s="257" t="s">
        <v>16052</v>
      </c>
      <c r="G3917" s="9">
        <v>1</v>
      </c>
      <c r="H3917" s="257" t="s">
        <v>21995</v>
      </c>
      <c r="I3917" s="9">
        <v>2</v>
      </c>
    </row>
    <row r="3918" spans="1:9">
      <c r="A3918" s="257" t="s">
        <v>5016</v>
      </c>
      <c r="B3918" s="9">
        <v>0</v>
      </c>
      <c r="C3918" s="257" t="s">
        <v>11444</v>
      </c>
      <c r="D3918" s="9">
        <v>4.6959920399085746E-2</v>
      </c>
      <c r="E3918" s="9">
        <v>17258998.467498779</v>
      </c>
      <c r="F3918" s="257" t="s">
        <v>16052</v>
      </c>
      <c r="G3918" s="9">
        <v>1</v>
      </c>
      <c r="H3918" s="257" t="s">
        <v>21995</v>
      </c>
      <c r="I3918" s="9">
        <v>2</v>
      </c>
    </row>
    <row r="3919" spans="1:9">
      <c r="A3919" s="257" t="s">
        <v>5017</v>
      </c>
      <c r="B3919" s="9">
        <v>0</v>
      </c>
      <c r="C3919" s="257" t="s">
        <v>11445</v>
      </c>
      <c r="D3919" s="9">
        <v>0.37932159999999998</v>
      </c>
      <c r="E3919" s="9">
        <v>17258998.467498779</v>
      </c>
      <c r="F3919" s="257" t="s">
        <v>16053</v>
      </c>
      <c r="G3919" s="9">
        <v>1</v>
      </c>
      <c r="H3919" s="257" t="s">
        <v>21996</v>
      </c>
      <c r="I3919" s="9">
        <v>2</v>
      </c>
    </row>
    <row r="3920" spans="1:9">
      <c r="A3920" s="257" t="s">
        <v>5018</v>
      </c>
      <c r="B3920" s="9">
        <v>0</v>
      </c>
      <c r="C3920" s="257" t="s">
        <v>11446</v>
      </c>
      <c r="D3920" s="9">
        <v>0.26002350000000002</v>
      </c>
      <c r="E3920" s="9">
        <v>17258998.467498779</v>
      </c>
      <c r="F3920" s="257" t="s">
        <v>16053</v>
      </c>
      <c r="G3920" s="9">
        <v>1</v>
      </c>
      <c r="H3920" s="257" t="s">
        <v>21997</v>
      </c>
      <c r="I3920" s="9">
        <v>2</v>
      </c>
    </row>
    <row r="3921" spans="1:9">
      <c r="A3921" s="257" t="s">
        <v>5019</v>
      </c>
      <c r="B3921" s="9">
        <v>0</v>
      </c>
      <c r="C3921" s="257" t="s">
        <v>11447</v>
      </c>
      <c r="D3921" s="9">
        <v>0.38314735585574938</v>
      </c>
      <c r="E3921" s="9">
        <v>17258998.467498779</v>
      </c>
      <c r="F3921" s="257" t="s">
        <v>16053</v>
      </c>
      <c r="G3921" s="9">
        <v>1</v>
      </c>
      <c r="H3921" s="257" t="s">
        <v>21998</v>
      </c>
      <c r="I3921" s="9">
        <v>2</v>
      </c>
    </row>
    <row r="3922" spans="1:9">
      <c r="A3922" s="257" t="s">
        <v>5020</v>
      </c>
      <c r="B3922" s="9">
        <v>0</v>
      </c>
      <c r="C3922" s="257" t="s">
        <v>11448</v>
      </c>
      <c r="D3922" s="9">
        <v>0.11343147222378326</v>
      </c>
      <c r="E3922" s="9">
        <v>17258998.467498779</v>
      </c>
      <c r="F3922" s="257" t="s">
        <v>16053</v>
      </c>
      <c r="G3922" s="9">
        <v>1</v>
      </c>
      <c r="H3922" s="257" t="s">
        <v>21998</v>
      </c>
      <c r="I3922" s="9">
        <v>2</v>
      </c>
    </row>
    <row r="3923" spans="1:9">
      <c r="A3923" s="257" t="s">
        <v>5021</v>
      </c>
      <c r="B3923" s="9">
        <v>0</v>
      </c>
      <c r="C3923" s="257" t="s">
        <v>11449</v>
      </c>
      <c r="D3923" s="9">
        <v>4.6985004124137614E-2</v>
      </c>
      <c r="E3923" s="9">
        <v>17258998.467498779</v>
      </c>
      <c r="F3923" s="257" t="s">
        <v>16053</v>
      </c>
      <c r="G3923" s="9">
        <v>1</v>
      </c>
      <c r="H3923" s="257" t="s">
        <v>21998</v>
      </c>
      <c r="I3923" s="9">
        <v>2</v>
      </c>
    </row>
    <row r="3924" spans="1:9">
      <c r="A3924" s="257" t="s">
        <v>5022</v>
      </c>
      <c r="B3924" s="9">
        <v>0</v>
      </c>
      <c r="C3924" s="257" t="s">
        <v>11450</v>
      </c>
      <c r="D3924" s="9">
        <v>0.385411843162622</v>
      </c>
      <c r="E3924" s="9">
        <v>17258998.467498779</v>
      </c>
      <c r="F3924" s="257" t="s">
        <v>16054</v>
      </c>
      <c r="G3924" s="9">
        <v>1</v>
      </c>
      <c r="H3924" s="257" t="s">
        <v>21998</v>
      </c>
      <c r="I3924" s="9">
        <v>2</v>
      </c>
    </row>
    <row r="3925" spans="1:9">
      <c r="A3925" s="257" t="s">
        <v>5023</v>
      </c>
      <c r="B3925" s="9">
        <v>0</v>
      </c>
      <c r="C3925" s="257" t="s">
        <v>11451</v>
      </c>
      <c r="D3925" s="9">
        <v>0.11427846953778792</v>
      </c>
      <c r="E3925" s="9">
        <v>17258998.467498779</v>
      </c>
      <c r="F3925" s="257" t="s">
        <v>16054</v>
      </c>
      <c r="G3925" s="9">
        <v>1</v>
      </c>
      <c r="H3925" s="257" t="s">
        <v>21998</v>
      </c>
      <c r="I3925" s="9">
        <v>2</v>
      </c>
    </row>
    <row r="3926" spans="1:9">
      <c r="A3926" s="257" t="s">
        <v>5024</v>
      </c>
      <c r="B3926" s="9">
        <v>0</v>
      </c>
      <c r="C3926" s="257" t="s">
        <v>11452</v>
      </c>
      <c r="D3926" s="9">
        <v>4.7374657188523094E-2</v>
      </c>
      <c r="E3926" s="9">
        <v>17258998.467498779</v>
      </c>
      <c r="F3926" s="257" t="s">
        <v>16054</v>
      </c>
      <c r="G3926" s="9">
        <v>1</v>
      </c>
      <c r="H3926" s="257" t="s">
        <v>21998</v>
      </c>
      <c r="I3926" s="9">
        <v>2</v>
      </c>
    </row>
    <row r="3927" spans="1:9">
      <c r="A3927" s="257" t="s">
        <v>5025</v>
      </c>
      <c r="B3927" s="9">
        <v>0</v>
      </c>
      <c r="C3927" s="257" t="s">
        <v>11453</v>
      </c>
      <c r="D3927" s="9">
        <v>0.37827899999999998</v>
      </c>
      <c r="E3927" s="9">
        <v>17258998.467498779</v>
      </c>
      <c r="F3927" s="257" t="s">
        <v>16055</v>
      </c>
      <c r="G3927" s="9">
        <v>1</v>
      </c>
      <c r="H3927" s="257" t="s">
        <v>21999</v>
      </c>
      <c r="I3927" s="9">
        <v>2</v>
      </c>
    </row>
    <row r="3928" spans="1:9">
      <c r="A3928" s="257" t="s">
        <v>5026</v>
      </c>
      <c r="B3928" s="9">
        <v>0</v>
      </c>
      <c r="C3928" s="257" t="s">
        <v>11454</v>
      </c>
      <c r="D3928" s="9">
        <v>0.2584941</v>
      </c>
      <c r="E3928" s="9">
        <v>17258998.467498779</v>
      </c>
      <c r="F3928" s="257" t="s">
        <v>16055</v>
      </c>
      <c r="G3928" s="9">
        <v>1</v>
      </c>
      <c r="H3928" s="257" t="s">
        <v>22000</v>
      </c>
      <c r="I3928" s="9">
        <v>2</v>
      </c>
    </row>
    <row r="3929" spans="1:9">
      <c r="A3929" s="257" t="s">
        <v>5027</v>
      </c>
      <c r="B3929" s="9">
        <v>0</v>
      </c>
      <c r="C3929" s="257" t="s">
        <v>11455</v>
      </c>
      <c r="D3929" s="9">
        <v>0.38682443072049755</v>
      </c>
      <c r="E3929" s="9">
        <v>17258998.467498779</v>
      </c>
      <c r="F3929" s="257" t="s">
        <v>16055</v>
      </c>
      <c r="G3929" s="9">
        <v>1</v>
      </c>
      <c r="H3929" s="257" t="s">
        <v>22001</v>
      </c>
      <c r="I3929" s="9">
        <v>2</v>
      </c>
    </row>
    <row r="3930" spans="1:9">
      <c r="A3930" s="257" t="s">
        <v>5028</v>
      </c>
      <c r="B3930" s="9">
        <v>0</v>
      </c>
      <c r="C3930" s="257" t="s">
        <v>11456</v>
      </c>
      <c r="D3930" s="9">
        <v>0.11471599521451278</v>
      </c>
      <c r="E3930" s="9">
        <v>17258998.467498779</v>
      </c>
      <c r="F3930" s="257" t="s">
        <v>16055</v>
      </c>
      <c r="G3930" s="9">
        <v>1</v>
      </c>
      <c r="H3930" s="257" t="s">
        <v>22001</v>
      </c>
      <c r="I3930" s="9">
        <v>2</v>
      </c>
    </row>
    <row r="3931" spans="1:9">
      <c r="A3931" s="257" t="s">
        <v>5029</v>
      </c>
      <c r="B3931" s="9">
        <v>0</v>
      </c>
      <c r="C3931" s="257" t="s">
        <v>11457</v>
      </c>
      <c r="D3931" s="9">
        <v>4.7585780324508969E-2</v>
      </c>
      <c r="E3931" s="9">
        <v>17258998.467498779</v>
      </c>
      <c r="F3931" s="257" t="s">
        <v>16055</v>
      </c>
      <c r="G3931" s="9">
        <v>1</v>
      </c>
      <c r="H3931" s="257" t="s">
        <v>22001</v>
      </c>
      <c r="I3931" s="9">
        <v>2</v>
      </c>
    </row>
    <row r="3932" spans="1:9">
      <c r="A3932" s="257" t="s">
        <v>5030</v>
      </c>
      <c r="B3932" s="9">
        <v>0</v>
      </c>
      <c r="C3932" s="257" t="s">
        <v>11458</v>
      </c>
      <c r="D3932" s="9">
        <v>0.37994610000000001</v>
      </c>
      <c r="E3932" s="9">
        <v>17258998.467498779</v>
      </c>
      <c r="F3932" s="257" t="s">
        <v>16056</v>
      </c>
      <c r="G3932" s="9">
        <v>1</v>
      </c>
      <c r="H3932" s="257" t="s">
        <v>22002</v>
      </c>
      <c r="I3932" s="9">
        <v>2</v>
      </c>
    </row>
    <row r="3933" spans="1:9">
      <c r="A3933" s="257" t="s">
        <v>5031</v>
      </c>
      <c r="B3933" s="9">
        <v>0</v>
      </c>
      <c r="C3933" s="257" t="s">
        <v>11459</v>
      </c>
      <c r="D3933" s="9">
        <v>0.26103470000000001</v>
      </c>
      <c r="E3933" s="9">
        <v>17258998.467498779</v>
      </c>
      <c r="F3933" s="257" t="s">
        <v>16056</v>
      </c>
      <c r="G3933" s="9">
        <v>1</v>
      </c>
      <c r="H3933" s="257" t="s">
        <v>22003</v>
      </c>
      <c r="I3933" s="9">
        <v>2</v>
      </c>
    </row>
    <row r="3934" spans="1:9">
      <c r="A3934" s="257" t="s">
        <v>5032</v>
      </c>
      <c r="B3934" s="9">
        <v>0</v>
      </c>
      <c r="C3934" s="257" t="s">
        <v>11460</v>
      </c>
      <c r="D3934" s="9">
        <v>0.38378446411110612</v>
      </c>
      <c r="E3934" s="9">
        <v>17258998.467498779</v>
      </c>
      <c r="F3934" s="257" t="s">
        <v>16056</v>
      </c>
      <c r="G3934" s="9">
        <v>1</v>
      </c>
      <c r="H3934" s="257" t="s">
        <v>22004</v>
      </c>
      <c r="I3934" s="9">
        <v>2</v>
      </c>
    </row>
    <row r="3935" spans="1:9">
      <c r="A3935" s="257" t="s">
        <v>5033</v>
      </c>
      <c r="B3935" s="9">
        <v>0</v>
      </c>
      <c r="C3935" s="257" t="s">
        <v>11461</v>
      </c>
      <c r="D3935" s="9">
        <v>0.11353530088362165</v>
      </c>
      <c r="E3935" s="9">
        <v>17258998.467498779</v>
      </c>
      <c r="F3935" s="257" t="s">
        <v>16056</v>
      </c>
      <c r="G3935" s="9">
        <v>1</v>
      </c>
      <c r="H3935" s="257" t="s">
        <v>22004</v>
      </c>
      <c r="I3935" s="9">
        <v>2</v>
      </c>
    </row>
    <row r="3936" spans="1:9">
      <c r="A3936" s="257" t="s">
        <v>5034</v>
      </c>
      <c r="B3936" s="9">
        <v>0</v>
      </c>
      <c r="C3936" s="257" t="s">
        <v>11462</v>
      </c>
      <c r="D3936" s="9">
        <v>4.7039258891505301E-2</v>
      </c>
      <c r="E3936" s="9">
        <v>17258998.467498779</v>
      </c>
      <c r="F3936" s="257" t="s">
        <v>16056</v>
      </c>
      <c r="G3936" s="9">
        <v>1</v>
      </c>
      <c r="H3936" s="257" t="s">
        <v>22004</v>
      </c>
      <c r="I3936" s="9">
        <v>2</v>
      </c>
    </row>
    <row r="3937" spans="1:9">
      <c r="A3937" s="257" t="s">
        <v>5035</v>
      </c>
      <c r="B3937" s="9">
        <v>0</v>
      </c>
      <c r="C3937" s="257" t="s">
        <v>11463</v>
      </c>
      <c r="D3937" s="9">
        <v>0.37896819999999998</v>
      </c>
      <c r="E3937" s="9">
        <v>17258998.467498779</v>
      </c>
      <c r="F3937" s="257" t="s">
        <v>16057</v>
      </c>
      <c r="G3937" s="9">
        <v>1</v>
      </c>
      <c r="H3937" s="257" t="s">
        <v>22005</v>
      </c>
      <c r="I3937" s="9">
        <v>2</v>
      </c>
    </row>
    <row r="3938" spans="1:9">
      <c r="A3938" s="257" t="s">
        <v>5036</v>
      </c>
      <c r="B3938" s="9">
        <v>0</v>
      </c>
      <c r="C3938" s="257" t="s">
        <v>11464</v>
      </c>
      <c r="D3938" s="9">
        <v>0.25955669999999997</v>
      </c>
      <c r="E3938" s="9">
        <v>17258998.467498779</v>
      </c>
      <c r="F3938" s="257" t="s">
        <v>16057</v>
      </c>
      <c r="G3938" s="9">
        <v>1</v>
      </c>
      <c r="H3938" s="257" t="s">
        <v>22006</v>
      </c>
      <c r="I3938" s="9">
        <v>2</v>
      </c>
    </row>
    <row r="3939" spans="1:9">
      <c r="A3939" s="257" t="s">
        <v>5037</v>
      </c>
      <c r="B3939" s="9">
        <v>0</v>
      </c>
      <c r="C3939" s="257" t="s">
        <v>11465</v>
      </c>
      <c r="D3939" s="9">
        <v>0.38381684882540035</v>
      </c>
      <c r="E3939" s="9">
        <v>17258998.467498779</v>
      </c>
      <c r="F3939" s="257" t="s">
        <v>16057</v>
      </c>
      <c r="G3939" s="9">
        <v>1</v>
      </c>
      <c r="H3939" s="257" t="s">
        <v>22007</v>
      </c>
      <c r="I3939" s="9">
        <v>2</v>
      </c>
    </row>
    <row r="3940" spans="1:9">
      <c r="A3940" s="257" t="s">
        <v>5038</v>
      </c>
      <c r="B3940" s="9">
        <v>0</v>
      </c>
      <c r="C3940" s="257" t="s">
        <v>11466</v>
      </c>
      <c r="D3940" s="9">
        <v>0.11367171601551627</v>
      </c>
      <c r="E3940" s="9">
        <v>17258998.467498779</v>
      </c>
      <c r="F3940" s="257" t="s">
        <v>16057</v>
      </c>
      <c r="G3940" s="9">
        <v>1</v>
      </c>
      <c r="H3940" s="257" t="s">
        <v>22007</v>
      </c>
      <c r="I3940" s="9">
        <v>2</v>
      </c>
    </row>
    <row r="3941" spans="1:9">
      <c r="A3941" s="257" t="s">
        <v>5039</v>
      </c>
      <c r="B3941" s="9">
        <v>0</v>
      </c>
      <c r="C3941" s="257" t="s">
        <v>11467</v>
      </c>
      <c r="D3941" s="9">
        <v>4.7087288057786357E-2</v>
      </c>
      <c r="E3941" s="9">
        <v>17258998.467498779</v>
      </c>
      <c r="F3941" s="257" t="s">
        <v>16057</v>
      </c>
      <c r="G3941" s="9">
        <v>1</v>
      </c>
      <c r="H3941" s="257" t="s">
        <v>22007</v>
      </c>
      <c r="I3941" s="9">
        <v>2</v>
      </c>
    </row>
    <row r="3942" spans="1:9">
      <c r="A3942" s="257" t="s">
        <v>5040</v>
      </c>
      <c r="B3942" s="9">
        <v>0</v>
      </c>
      <c r="C3942" s="257" t="s">
        <v>11468</v>
      </c>
      <c r="D3942" s="9">
        <v>0.37998369999999998</v>
      </c>
      <c r="E3942" s="9">
        <v>17258998.467498779</v>
      </c>
      <c r="F3942" s="257" t="s">
        <v>16058</v>
      </c>
      <c r="G3942" s="9">
        <v>1</v>
      </c>
      <c r="H3942" s="257" t="s">
        <v>22008</v>
      </c>
      <c r="I3942" s="9">
        <v>2</v>
      </c>
    </row>
    <row r="3943" spans="1:9">
      <c r="A3943" s="257" t="s">
        <v>5041</v>
      </c>
      <c r="B3943" s="9">
        <v>0</v>
      </c>
      <c r="C3943" s="257" t="s">
        <v>11469</v>
      </c>
      <c r="D3943" s="9">
        <v>0.26107029999999998</v>
      </c>
      <c r="E3943" s="9">
        <v>17258998.467498779</v>
      </c>
      <c r="F3943" s="257" t="s">
        <v>16058</v>
      </c>
      <c r="G3943" s="9">
        <v>1</v>
      </c>
      <c r="H3943" s="257" t="s">
        <v>22009</v>
      </c>
      <c r="I3943" s="9">
        <v>2</v>
      </c>
    </row>
    <row r="3944" spans="1:9">
      <c r="A3944" s="257" t="s">
        <v>5042</v>
      </c>
      <c r="B3944" s="9">
        <v>0</v>
      </c>
      <c r="C3944" s="257" t="s">
        <v>11470</v>
      </c>
      <c r="D3944" s="9">
        <v>0.38205191301336816</v>
      </c>
      <c r="E3944" s="9">
        <v>17258998.467498779</v>
      </c>
      <c r="F3944" s="257" t="s">
        <v>16058</v>
      </c>
      <c r="G3944" s="9">
        <v>1</v>
      </c>
      <c r="H3944" s="257" t="s">
        <v>22010</v>
      </c>
      <c r="I3944" s="9">
        <v>2</v>
      </c>
    </row>
    <row r="3945" spans="1:9">
      <c r="A3945" s="257" t="s">
        <v>5043</v>
      </c>
      <c r="B3945" s="9">
        <v>0</v>
      </c>
      <c r="C3945" s="257" t="s">
        <v>11471</v>
      </c>
      <c r="D3945" s="9">
        <v>0.11297249405163107</v>
      </c>
      <c r="E3945" s="9">
        <v>17258998.467498779</v>
      </c>
      <c r="F3945" s="257" t="s">
        <v>16058</v>
      </c>
      <c r="G3945" s="9">
        <v>1</v>
      </c>
      <c r="H3945" s="257" t="s">
        <v>22010</v>
      </c>
      <c r="I3945" s="9">
        <v>2</v>
      </c>
    </row>
    <row r="3946" spans="1:9">
      <c r="A3946" s="257" t="s">
        <v>5044</v>
      </c>
      <c r="B3946" s="9">
        <v>0</v>
      </c>
      <c r="C3946" s="257" t="s">
        <v>11472</v>
      </c>
      <c r="D3946" s="9">
        <v>4.6771718557884694E-2</v>
      </c>
      <c r="E3946" s="9">
        <v>17258998.467498779</v>
      </c>
      <c r="F3946" s="257" t="s">
        <v>16058</v>
      </c>
      <c r="G3946" s="9">
        <v>1</v>
      </c>
      <c r="H3946" s="257" t="s">
        <v>22010</v>
      </c>
      <c r="I3946" s="9">
        <v>2</v>
      </c>
    </row>
    <row r="3947" spans="1:9">
      <c r="A3947" s="257" t="s">
        <v>5045</v>
      </c>
      <c r="B3947" s="9">
        <v>0</v>
      </c>
      <c r="C3947" s="257" t="s">
        <v>11473</v>
      </c>
      <c r="D3947" s="9">
        <v>0.38011499999999998</v>
      </c>
      <c r="E3947" s="9">
        <v>17258998.467498779</v>
      </c>
      <c r="F3947" s="257" t="s">
        <v>16059</v>
      </c>
      <c r="G3947" s="9">
        <v>1</v>
      </c>
      <c r="H3947" s="257" t="s">
        <v>22011</v>
      </c>
      <c r="I3947" s="9">
        <v>2</v>
      </c>
    </row>
    <row r="3948" spans="1:9">
      <c r="A3948" s="257" t="s">
        <v>5046</v>
      </c>
      <c r="B3948" s="9">
        <v>0</v>
      </c>
      <c r="C3948" s="257" t="s">
        <v>11474</v>
      </c>
      <c r="D3948" s="9">
        <v>0.26091259999999999</v>
      </c>
      <c r="E3948" s="9">
        <v>17258998.467498779</v>
      </c>
      <c r="F3948" s="257" t="s">
        <v>16059</v>
      </c>
      <c r="G3948" s="9">
        <v>1</v>
      </c>
      <c r="H3948" s="257" t="s">
        <v>22012</v>
      </c>
      <c r="I3948" s="9">
        <v>2</v>
      </c>
    </row>
    <row r="3949" spans="1:9">
      <c r="A3949" s="257" t="s">
        <v>5047</v>
      </c>
      <c r="B3949" s="9">
        <v>0</v>
      </c>
      <c r="C3949" s="257" t="s">
        <v>11475</v>
      </c>
      <c r="D3949" s="9">
        <v>0.3814392969193241</v>
      </c>
      <c r="E3949" s="9">
        <v>17258998.467498779</v>
      </c>
      <c r="F3949" s="257" t="s">
        <v>16059</v>
      </c>
      <c r="G3949" s="9">
        <v>1</v>
      </c>
      <c r="H3949" s="257" t="s">
        <v>22013</v>
      </c>
      <c r="I3949" s="9">
        <v>2</v>
      </c>
    </row>
    <row r="3950" spans="1:9">
      <c r="A3950" s="257" t="s">
        <v>5048</v>
      </c>
      <c r="B3950" s="9">
        <v>0</v>
      </c>
      <c r="C3950" s="257" t="s">
        <v>11476</v>
      </c>
      <c r="D3950" s="9">
        <v>0.11292545848727178</v>
      </c>
      <c r="E3950" s="9">
        <v>17258998.467498779</v>
      </c>
      <c r="F3950" s="257" t="s">
        <v>16059</v>
      </c>
      <c r="G3950" s="9">
        <v>1</v>
      </c>
      <c r="H3950" s="257" t="s">
        <v>22013</v>
      </c>
      <c r="I3950" s="9">
        <v>2</v>
      </c>
    </row>
    <row r="3951" spans="1:9">
      <c r="A3951" s="257" t="s">
        <v>5049</v>
      </c>
      <c r="B3951" s="9">
        <v>0</v>
      </c>
      <c r="C3951" s="257" t="s">
        <v>11477</v>
      </c>
      <c r="D3951" s="9">
        <v>4.6829181950065517E-2</v>
      </c>
      <c r="E3951" s="9">
        <v>17258998.467498779</v>
      </c>
      <c r="F3951" s="257" t="s">
        <v>16059</v>
      </c>
      <c r="G3951" s="9">
        <v>1</v>
      </c>
      <c r="H3951" s="257" t="s">
        <v>22013</v>
      </c>
      <c r="I3951" s="9">
        <v>2</v>
      </c>
    </row>
    <row r="3952" spans="1:9">
      <c r="A3952" s="257" t="s">
        <v>5050</v>
      </c>
      <c r="B3952" s="9">
        <v>0</v>
      </c>
      <c r="C3952" s="257" t="s">
        <v>11478</v>
      </c>
      <c r="D3952" s="9">
        <v>0.37890509999999999</v>
      </c>
      <c r="E3952" s="9">
        <v>17258998.467498779</v>
      </c>
      <c r="F3952" s="257" t="s">
        <v>16060</v>
      </c>
      <c r="G3952" s="9">
        <v>1</v>
      </c>
      <c r="H3952" s="257" t="s">
        <v>22014</v>
      </c>
      <c r="I3952" s="9">
        <v>2</v>
      </c>
    </row>
    <row r="3953" spans="1:9">
      <c r="A3953" s="257" t="s">
        <v>5051</v>
      </c>
      <c r="B3953" s="9">
        <v>0</v>
      </c>
      <c r="C3953" s="257" t="s">
        <v>11479</v>
      </c>
      <c r="D3953" s="9">
        <v>0.25948880000000002</v>
      </c>
      <c r="E3953" s="9">
        <v>17258998.467498779</v>
      </c>
      <c r="F3953" s="257" t="s">
        <v>16060</v>
      </c>
      <c r="G3953" s="9">
        <v>1</v>
      </c>
      <c r="H3953" s="257" t="s">
        <v>22015</v>
      </c>
      <c r="I3953" s="9">
        <v>2</v>
      </c>
    </row>
    <row r="3954" spans="1:9">
      <c r="A3954" s="257" t="s">
        <v>5052</v>
      </c>
      <c r="B3954" s="9">
        <v>0</v>
      </c>
      <c r="C3954" s="257" t="s">
        <v>11480</v>
      </c>
      <c r="D3954" s="9">
        <v>0.38671800590627525</v>
      </c>
      <c r="E3954" s="9">
        <v>17258998.467498779</v>
      </c>
      <c r="F3954" s="257" t="s">
        <v>16060</v>
      </c>
      <c r="G3954" s="9">
        <v>1</v>
      </c>
      <c r="H3954" s="257" t="s">
        <v>22016</v>
      </c>
      <c r="I3954" s="9">
        <v>2</v>
      </c>
    </row>
    <row r="3955" spans="1:9">
      <c r="A3955" s="257" t="s">
        <v>5053</v>
      </c>
      <c r="B3955" s="9">
        <v>0</v>
      </c>
      <c r="C3955" s="257" t="s">
        <v>11481</v>
      </c>
      <c r="D3955" s="9">
        <v>0.1144789624086157</v>
      </c>
      <c r="E3955" s="9">
        <v>17258998.467498779</v>
      </c>
      <c r="F3955" s="257" t="s">
        <v>16060</v>
      </c>
      <c r="G3955" s="9">
        <v>1</v>
      </c>
      <c r="H3955" s="257" t="s">
        <v>22016</v>
      </c>
      <c r="I3955" s="9">
        <v>2</v>
      </c>
    </row>
    <row r="3956" spans="1:9">
      <c r="A3956" s="257" t="s">
        <v>5054</v>
      </c>
      <c r="B3956" s="9">
        <v>0</v>
      </c>
      <c r="C3956" s="257" t="s">
        <v>11482</v>
      </c>
      <c r="D3956" s="9">
        <v>4.747346310813047E-2</v>
      </c>
      <c r="E3956" s="9">
        <v>17258998.467498779</v>
      </c>
      <c r="F3956" s="257" t="s">
        <v>16060</v>
      </c>
      <c r="G3956" s="9">
        <v>1</v>
      </c>
      <c r="H3956" s="257" t="s">
        <v>22016</v>
      </c>
      <c r="I3956" s="9">
        <v>2</v>
      </c>
    </row>
    <row r="3957" spans="1:9">
      <c r="A3957" s="257" t="s">
        <v>5055</v>
      </c>
      <c r="B3957" s="9">
        <v>0</v>
      </c>
      <c r="C3957" s="257" t="s">
        <v>11483</v>
      </c>
      <c r="D3957" s="9">
        <v>0.38009379999999998</v>
      </c>
      <c r="E3957" s="9">
        <v>17258998.467498779</v>
      </c>
      <c r="F3957" s="257" t="s">
        <v>16061</v>
      </c>
      <c r="G3957" s="9">
        <v>1</v>
      </c>
      <c r="H3957" s="257" t="s">
        <v>22017</v>
      </c>
      <c r="I3957" s="9">
        <v>2</v>
      </c>
    </row>
    <row r="3958" spans="1:9">
      <c r="A3958" s="257" t="s">
        <v>5056</v>
      </c>
      <c r="B3958" s="9">
        <v>0</v>
      </c>
      <c r="C3958" s="257" t="s">
        <v>11484</v>
      </c>
      <c r="D3958" s="9">
        <v>0.26088630000000002</v>
      </c>
      <c r="E3958" s="9">
        <v>17258998.467498779</v>
      </c>
      <c r="F3958" s="257" t="s">
        <v>16061</v>
      </c>
      <c r="G3958" s="9">
        <v>1</v>
      </c>
      <c r="H3958" s="257" t="s">
        <v>22018</v>
      </c>
      <c r="I3958" s="9">
        <v>2</v>
      </c>
    </row>
    <row r="3959" spans="1:9">
      <c r="A3959" s="257" t="s">
        <v>5057</v>
      </c>
      <c r="B3959" s="9">
        <v>0</v>
      </c>
      <c r="C3959" s="257" t="s">
        <v>11485</v>
      </c>
      <c r="D3959" s="9">
        <v>0.38208022620779081</v>
      </c>
      <c r="E3959" s="9">
        <v>17258998.467498779</v>
      </c>
      <c r="F3959" s="257" t="s">
        <v>16061</v>
      </c>
      <c r="G3959" s="9">
        <v>1</v>
      </c>
      <c r="H3959" s="257" t="s">
        <v>22019</v>
      </c>
      <c r="I3959" s="9">
        <v>2</v>
      </c>
    </row>
    <row r="3960" spans="1:9">
      <c r="A3960" s="257" t="s">
        <v>5058</v>
      </c>
      <c r="B3960" s="9">
        <v>0</v>
      </c>
      <c r="C3960" s="257" t="s">
        <v>11486</v>
      </c>
      <c r="D3960" s="9">
        <v>0.11316295385761618</v>
      </c>
      <c r="E3960" s="9">
        <v>17258998.467498779</v>
      </c>
      <c r="F3960" s="257" t="s">
        <v>16061</v>
      </c>
      <c r="G3960" s="9">
        <v>1</v>
      </c>
      <c r="H3960" s="257" t="s">
        <v>22019</v>
      </c>
      <c r="I3960" s="9">
        <v>2</v>
      </c>
    </row>
    <row r="3961" spans="1:9">
      <c r="A3961" s="257" t="s">
        <v>5059</v>
      </c>
      <c r="B3961" s="9">
        <v>0</v>
      </c>
      <c r="C3961" s="257" t="s">
        <v>11487</v>
      </c>
      <c r="D3961" s="9">
        <v>4.6943865475357158E-2</v>
      </c>
      <c r="E3961" s="9">
        <v>17258998.467498779</v>
      </c>
      <c r="F3961" s="257" t="s">
        <v>16061</v>
      </c>
      <c r="G3961" s="9">
        <v>1</v>
      </c>
      <c r="H3961" s="257" t="s">
        <v>22019</v>
      </c>
      <c r="I3961" s="9">
        <v>2</v>
      </c>
    </row>
    <row r="3962" spans="1:9">
      <c r="A3962" s="257" t="s">
        <v>5060</v>
      </c>
      <c r="B3962" s="9">
        <v>1</v>
      </c>
      <c r="C3962" s="257" t="s">
        <v>11488</v>
      </c>
      <c r="D3962" s="9">
        <v>231369.07879638672</v>
      </c>
      <c r="E3962" s="9">
        <v>1721536.5294189453</v>
      </c>
      <c r="F3962" s="257" t="s">
        <v>16062</v>
      </c>
      <c r="G3962" s="9"/>
      <c r="H3962" s="257" t="s">
        <v>22020</v>
      </c>
      <c r="I3962" s="9">
        <v>3</v>
      </c>
    </row>
    <row r="3963" spans="1:9">
      <c r="A3963" s="257" t="s">
        <v>5061</v>
      </c>
      <c r="B3963" s="9">
        <v>1</v>
      </c>
      <c r="C3963" s="257" t="s">
        <v>11489</v>
      </c>
      <c r="D3963" s="9">
        <v>557510980.12458229</v>
      </c>
      <c r="E3963" s="9">
        <v>1721536.5294189453</v>
      </c>
      <c r="F3963" s="257" t="s">
        <v>16062</v>
      </c>
      <c r="G3963" s="9"/>
      <c r="H3963" s="257" t="s">
        <v>22021</v>
      </c>
      <c r="I3963" s="9">
        <v>3</v>
      </c>
    </row>
    <row r="3964" spans="1:9">
      <c r="A3964" s="257" t="s">
        <v>5062</v>
      </c>
      <c r="B3964" s="9">
        <v>1</v>
      </c>
      <c r="C3964" s="257" t="s">
        <v>11490</v>
      </c>
      <c r="D3964" s="9">
        <v>0.1343968454009388</v>
      </c>
      <c r="E3964" s="9">
        <v>1721536.5294189453</v>
      </c>
      <c r="F3964" s="257" t="s">
        <v>16062</v>
      </c>
      <c r="G3964" s="9"/>
      <c r="H3964" s="257" t="s">
        <v>22022</v>
      </c>
      <c r="I3964" s="9">
        <v>3</v>
      </c>
    </row>
    <row r="3965" spans="1:9">
      <c r="A3965" s="257" t="s">
        <v>5063</v>
      </c>
      <c r="B3965" s="9">
        <v>1</v>
      </c>
      <c r="C3965" s="257" t="s">
        <v>11491</v>
      </c>
      <c r="D3965" s="9">
        <v>323.84498998273011</v>
      </c>
      <c r="E3965" s="9">
        <v>1721536.5294189453</v>
      </c>
      <c r="F3965" s="257" t="s">
        <v>16062</v>
      </c>
      <c r="G3965" s="9"/>
      <c r="H3965" s="257" t="s">
        <v>22023</v>
      </c>
      <c r="I3965" s="9">
        <v>3</v>
      </c>
    </row>
    <row r="3966" spans="1:9">
      <c r="A3966" s="257" t="s">
        <v>5064</v>
      </c>
      <c r="B3966" s="9">
        <v>1</v>
      </c>
      <c r="C3966" s="257" t="s">
        <v>11492</v>
      </c>
      <c r="D3966" s="9">
        <v>0</v>
      </c>
      <c r="E3966" s="9">
        <v>1721536.5294189453</v>
      </c>
      <c r="F3966" s="257" t="s">
        <v>16063</v>
      </c>
      <c r="G3966" s="9"/>
      <c r="H3966" s="257" t="s">
        <v>22024</v>
      </c>
      <c r="I3966" s="9">
        <v>3</v>
      </c>
    </row>
    <row r="3967" spans="1:9">
      <c r="A3967" s="257" t="s">
        <v>5065</v>
      </c>
      <c r="B3967" s="9">
        <v>1</v>
      </c>
      <c r="C3967" s="257" t="s">
        <v>11493</v>
      </c>
      <c r="D3967" s="9">
        <v>0</v>
      </c>
      <c r="E3967" s="9">
        <v>1721536.5294189453</v>
      </c>
      <c r="F3967" s="257" t="s">
        <v>16063</v>
      </c>
      <c r="G3967" s="9"/>
      <c r="H3967" s="257" t="s">
        <v>22025</v>
      </c>
      <c r="I3967" s="9">
        <v>3</v>
      </c>
    </row>
    <row r="3968" spans="1:9">
      <c r="A3968" s="257" t="s">
        <v>5066</v>
      </c>
      <c r="B3968" s="9">
        <v>1</v>
      </c>
      <c r="C3968" s="257" t="s">
        <v>11494</v>
      </c>
      <c r="D3968" s="9">
        <v>0</v>
      </c>
      <c r="E3968" s="9">
        <v>1721536.5294189453</v>
      </c>
      <c r="F3968" s="257" t="s">
        <v>16063</v>
      </c>
      <c r="G3968" s="9"/>
      <c r="H3968" s="257" t="s">
        <v>22026</v>
      </c>
      <c r="I3968" s="9">
        <v>3</v>
      </c>
    </row>
    <row r="3969" spans="1:9">
      <c r="A3969" s="257" t="s">
        <v>5067</v>
      </c>
      <c r="B3969" s="9">
        <v>1</v>
      </c>
      <c r="C3969" s="257" t="s">
        <v>11495</v>
      </c>
      <c r="D3969" s="9">
        <v>0</v>
      </c>
      <c r="E3969" s="9">
        <v>1721536.5294189453</v>
      </c>
      <c r="F3969" s="257" t="s">
        <v>16063</v>
      </c>
      <c r="G3969" s="9"/>
      <c r="H3969" s="257" t="s">
        <v>22027</v>
      </c>
      <c r="I3969" s="9">
        <v>3</v>
      </c>
    </row>
    <row r="3970" spans="1:9">
      <c r="A3970" s="257" t="s">
        <v>5068</v>
      </c>
      <c r="B3970" s="9">
        <v>1</v>
      </c>
      <c r="C3970" s="257" t="s">
        <v>11496</v>
      </c>
      <c r="D3970" s="9">
        <v>0</v>
      </c>
      <c r="E3970" s="9">
        <v>1721536.5294189453</v>
      </c>
      <c r="F3970" s="257" t="s">
        <v>16064</v>
      </c>
      <c r="G3970" s="9"/>
      <c r="H3970" s="257" t="s">
        <v>22028</v>
      </c>
      <c r="I3970" s="9">
        <v>3</v>
      </c>
    </row>
    <row r="3971" spans="1:9">
      <c r="A3971" s="257" t="s">
        <v>5069</v>
      </c>
      <c r="B3971" s="9">
        <v>1</v>
      </c>
      <c r="C3971" s="257" t="s">
        <v>11497</v>
      </c>
      <c r="D3971" s="9">
        <v>0</v>
      </c>
      <c r="E3971" s="9">
        <v>1721536.5294189453</v>
      </c>
      <c r="F3971" s="257" t="s">
        <v>16064</v>
      </c>
      <c r="G3971" s="9"/>
      <c r="H3971" s="257" t="s">
        <v>22029</v>
      </c>
      <c r="I3971" s="9">
        <v>3</v>
      </c>
    </row>
    <row r="3972" spans="1:9">
      <c r="A3972" s="257" t="s">
        <v>5070</v>
      </c>
      <c r="B3972" s="9">
        <v>1</v>
      </c>
      <c r="C3972" s="257" t="s">
        <v>11498</v>
      </c>
      <c r="D3972" s="9">
        <v>0</v>
      </c>
      <c r="E3972" s="9">
        <v>1721536.5294189453</v>
      </c>
      <c r="F3972" s="257" t="s">
        <v>16064</v>
      </c>
      <c r="G3972" s="9"/>
      <c r="H3972" s="257" t="s">
        <v>22030</v>
      </c>
      <c r="I3972" s="9">
        <v>3</v>
      </c>
    </row>
    <row r="3973" spans="1:9">
      <c r="A3973" s="257" t="s">
        <v>5071</v>
      </c>
      <c r="B3973" s="9">
        <v>1</v>
      </c>
      <c r="C3973" s="257" t="s">
        <v>11499</v>
      </c>
      <c r="D3973" s="9">
        <v>0</v>
      </c>
      <c r="E3973" s="9">
        <v>1721536.5294189453</v>
      </c>
      <c r="F3973" s="257" t="s">
        <v>16064</v>
      </c>
      <c r="G3973" s="9"/>
      <c r="H3973" s="257" t="s">
        <v>22031</v>
      </c>
      <c r="I3973" s="9">
        <v>3</v>
      </c>
    </row>
    <row r="3974" spans="1:9">
      <c r="A3974" s="257" t="s">
        <v>5072</v>
      </c>
      <c r="B3974" s="9">
        <v>1</v>
      </c>
      <c r="C3974" s="257" t="s">
        <v>11500</v>
      </c>
      <c r="D3974" s="9">
        <v>0</v>
      </c>
      <c r="E3974" s="9">
        <v>1721536.5294189453</v>
      </c>
      <c r="F3974" s="257" t="s">
        <v>16065</v>
      </c>
      <c r="G3974" s="9"/>
      <c r="H3974" s="257" t="s">
        <v>22032</v>
      </c>
      <c r="I3974" s="9">
        <v>3</v>
      </c>
    </row>
    <row r="3975" spans="1:9">
      <c r="A3975" s="257" t="s">
        <v>5073</v>
      </c>
      <c r="B3975" s="9">
        <v>1</v>
      </c>
      <c r="C3975" s="257" t="s">
        <v>11501</v>
      </c>
      <c r="D3975" s="9">
        <v>0</v>
      </c>
      <c r="E3975" s="9">
        <v>1721536.5294189453</v>
      </c>
      <c r="F3975" s="257" t="s">
        <v>16065</v>
      </c>
      <c r="G3975" s="9"/>
      <c r="H3975" s="257" t="s">
        <v>22033</v>
      </c>
      <c r="I3975" s="9">
        <v>3</v>
      </c>
    </row>
    <row r="3976" spans="1:9">
      <c r="A3976" s="257" t="s">
        <v>5074</v>
      </c>
      <c r="B3976" s="9">
        <v>1</v>
      </c>
      <c r="C3976" s="257" t="s">
        <v>11502</v>
      </c>
      <c r="D3976" s="9">
        <v>0</v>
      </c>
      <c r="E3976" s="9">
        <v>1721536.5294189453</v>
      </c>
      <c r="F3976" s="257" t="s">
        <v>16065</v>
      </c>
      <c r="G3976" s="9"/>
      <c r="H3976" s="257" t="s">
        <v>22034</v>
      </c>
      <c r="I3976" s="9">
        <v>3</v>
      </c>
    </row>
    <row r="3977" spans="1:9">
      <c r="A3977" s="257" t="s">
        <v>5075</v>
      </c>
      <c r="B3977" s="9">
        <v>1</v>
      </c>
      <c r="C3977" s="257" t="s">
        <v>11503</v>
      </c>
      <c r="D3977" s="9">
        <v>0</v>
      </c>
      <c r="E3977" s="9">
        <v>1721536.5294189453</v>
      </c>
      <c r="F3977" s="257" t="s">
        <v>16065</v>
      </c>
      <c r="G3977" s="9"/>
      <c r="H3977" s="257" t="s">
        <v>22035</v>
      </c>
      <c r="I3977" s="9">
        <v>3</v>
      </c>
    </row>
    <row r="3978" spans="1:9">
      <c r="A3978" s="257" t="s">
        <v>5076</v>
      </c>
      <c r="B3978" s="9">
        <v>1</v>
      </c>
      <c r="C3978" s="257" t="s">
        <v>11504</v>
      </c>
      <c r="D3978" s="9">
        <v>0</v>
      </c>
      <c r="E3978" s="9">
        <v>1721536.5294189453</v>
      </c>
      <c r="F3978" s="257" t="s">
        <v>16066</v>
      </c>
      <c r="G3978" s="9"/>
      <c r="H3978" s="257" t="s">
        <v>22036</v>
      </c>
      <c r="I3978" s="9">
        <v>3</v>
      </c>
    </row>
    <row r="3979" spans="1:9">
      <c r="A3979" s="257" t="s">
        <v>5077</v>
      </c>
      <c r="B3979" s="9">
        <v>1</v>
      </c>
      <c r="C3979" s="257" t="s">
        <v>11505</v>
      </c>
      <c r="D3979" s="9">
        <v>0</v>
      </c>
      <c r="E3979" s="9">
        <v>1721536.5294189453</v>
      </c>
      <c r="F3979" s="257" t="s">
        <v>16066</v>
      </c>
      <c r="G3979" s="9"/>
      <c r="H3979" s="257" t="s">
        <v>22037</v>
      </c>
      <c r="I3979" s="9">
        <v>3</v>
      </c>
    </row>
    <row r="3980" spans="1:9">
      <c r="A3980" s="257" t="s">
        <v>5078</v>
      </c>
      <c r="B3980" s="9">
        <v>1</v>
      </c>
      <c r="C3980" s="257" t="s">
        <v>11506</v>
      </c>
      <c r="D3980" s="9">
        <v>0</v>
      </c>
      <c r="E3980" s="9">
        <v>1721536.5294189453</v>
      </c>
      <c r="F3980" s="257" t="s">
        <v>16066</v>
      </c>
      <c r="G3980" s="9"/>
      <c r="H3980" s="257" t="s">
        <v>22038</v>
      </c>
      <c r="I3980" s="9">
        <v>3</v>
      </c>
    </row>
    <row r="3981" spans="1:9">
      <c r="A3981" s="257" t="s">
        <v>5079</v>
      </c>
      <c r="B3981" s="9">
        <v>1</v>
      </c>
      <c r="C3981" s="257" t="s">
        <v>11507</v>
      </c>
      <c r="D3981" s="9">
        <v>0</v>
      </c>
      <c r="E3981" s="9">
        <v>1721536.5294189453</v>
      </c>
      <c r="F3981" s="257" t="s">
        <v>16066</v>
      </c>
      <c r="G3981" s="9"/>
      <c r="H3981" s="257" t="s">
        <v>22039</v>
      </c>
      <c r="I3981" s="9">
        <v>3</v>
      </c>
    </row>
    <row r="3982" spans="1:9">
      <c r="A3982" s="257" t="s">
        <v>5080</v>
      </c>
      <c r="B3982" s="9">
        <v>1</v>
      </c>
      <c r="C3982" s="257" t="s">
        <v>11508</v>
      </c>
      <c r="D3982" s="9">
        <v>0</v>
      </c>
      <c r="E3982" s="9">
        <v>1721536.5294189453</v>
      </c>
      <c r="F3982" s="257" t="s">
        <v>16067</v>
      </c>
      <c r="G3982" s="9"/>
      <c r="H3982" s="257" t="s">
        <v>22040</v>
      </c>
      <c r="I3982" s="9">
        <v>3</v>
      </c>
    </row>
    <row r="3983" spans="1:9">
      <c r="A3983" s="257" t="s">
        <v>5081</v>
      </c>
      <c r="B3983" s="9">
        <v>1</v>
      </c>
      <c r="C3983" s="257" t="s">
        <v>11509</v>
      </c>
      <c r="D3983" s="9">
        <v>0</v>
      </c>
      <c r="E3983" s="9">
        <v>1721536.5294189453</v>
      </c>
      <c r="F3983" s="257" t="s">
        <v>16067</v>
      </c>
      <c r="G3983" s="9"/>
      <c r="H3983" s="257" t="s">
        <v>22041</v>
      </c>
      <c r="I3983" s="9">
        <v>3</v>
      </c>
    </row>
    <row r="3984" spans="1:9">
      <c r="A3984" s="257" t="s">
        <v>5082</v>
      </c>
      <c r="B3984" s="9">
        <v>1</v>
      </c>
      <c r="C3984" s="257" t="s">
        <v>11510</v>
      </c>
      <c r="D3984" s="9">
        <v>0</v>
      </c>
      <c r="E3984" s="9">
        <v>1721536.5294189453</v>
      </c>
      <c r="F3984" s="257" t="s">
        <v>16067</v>
      </c>
      <c r="G3984" s="9"/>
      <c r="H3984" s="257" t="s">
        <v>22042</v>
      </c>
      <c r="I3984" s="9">
        <v>3</v>
      </c>
    </row>
    <row r="3985" spans="1:9">
      <c r="A3985" s="257" t="s">
        <v>5083</v>
      </c>
      <c r="B3985" s="9">
        <v>1</v>
      </c>
      <c r="C3985" s="257" t="s">
        <v>11511</v>
      </c>
      <c r="D3985" s="9">
        <v>0</v>
      </c>
      <c r="E3985" s="9">
        <v>1721536.5294189453</v>
      </c>
      <c r="F3985" s="257" t="s">
        <v>16067</v>
      </c>
      <c r="G3985" s="9"/>
      <c r="H3985" s="257" t="s">
        <v>22043</v>
      </c>
      <c r="I3985" s="9">
        <v>3</v>
      </c>
    </row>
    <row r="3986" spans="1:9">
      <c r="A3986" s="257" t="s">
        <v>5084</v>
      </c>
      <c r="B3986" s="9">
        <v>1</v>
      </c>
      <c r="C3986" s="257" t="s">
        <v>11512</v>
      </c>
      <c r="D3986" s="9">
        <v>0</v>
      </c>
      <c r="E3986" s="9">
        <v>1721536.5294189453</v>
      </c>
      <c r="F3986" s="257" t="s">
        <v>16068</v>
      </c>
      <c r="G3986" s="9"/>
      <c r="H3986" s="257" t="s">
        <v>22044</v>
      </c>
      <c r="I3986" s="9">
        <v>3</v>
      </c>
    </row>
    <row r="3987" spans="1:9">
      <c r="A3987" s="257" t="s">
        <v>5085</v>
      </c>
      <c r="B3987" s="9">
        <v>1</v>
      </c>
      <c r="C3987" s="257" t="s">
        <v>11513</v>
      </c>
      <c r="D3987" s="9">
        <v>0</v>
      </c>
      <c r="E3987" s="9">
        <v>1721536.5294189453</v>
      </c>
      <c r="F3987" s="257" t="s">
        <v>16068</v>
      </c>
      <c r="G3987" s="9"/>
      <c r="H3987" s="257" t="s">
        <v>22045</v>
      </c>
      <c r="I3987" s="9">
        <v>3</v>
      </c>
    </row>
    <row r="3988" spans="1:9">
      <c r="A3988" s="257" t="s">
        <v>5086</v>
      </c>
      <c r="B3988" s="9">
        <v>1</v>
      </c>
      <c r="C3988" s="257" t="s">
        <v>11514</v>
      </c>
      <c r="D3988" s="9">
        <v>0</v>
      </c>
      <c r="E3988" s="9">
        <v>1721536.5294189453</v>
      </c>
      <c r="F3988" s="257" t="s">
        <v>16068</v>
      </c>
      <c r="G3988" s="9"/>
      <c r="H3988" s="257" t="s">
        <v>22046</v>
      </c>
      <c r="I3988" s="9">
        <v>3</v>
      </c>
    </row>
    <row r="3989" spans="1:9">
      <c r="A3989" s="257" t="s">
        <v>5087</v>
      </c>
      <c r="B3989" s="9">
        <v>1</v>
      </c>
      <c r="C3989" s="257" t="s">
        <v>11515</v>
      </c>
      <c r="D3989" s="9">
        <v>0</v>
      </c>
      <c r="E3989" s="9">
        <v>1721536.5294189453</v>
      </c>
      <c r="F3989" s="257" t="s">
        <v>16068</v>
      </c>
      <c r="G3989" s="9"/>
      <c r="H3989" s="257" t="s">
        <v>22047</v>
      </c>
      <c r="I3989" s="9">
        <v>3</v>
      </c>
    </row>
    <row r="3990" spans="1:9">
      <c r="A3990" s="257" t="s">
        <v>5088</v>
      </c>
      <c r="B3990" s="9">
        <v>1</v>
      </c>
      <c r="C3990" s="257" t="s">
        <v>11516</v>
      </c>
      <c r="D3990" s="9">
        <v>0</v>
      </c>
      <c r="E3990" s="9">
        <v>1721536.5294189453</v>
      </c>
      <c r="F3990" s="257" t="s">
        <v>16069</v>
      </c>
      <c r="G3990" s="9"/>
      <c r="H3990" s="257" t="s">
        <v>22048</v>
      </c>
      <c r="I3990" s="9">
        <v>3</v>
      </c>
    </row>
    <row r="3991" spans="1:9">
      <c r="A3991" s="257" t="s">
        <v>5089</v>
      </c>
      <c r="B3991" s="9">
        <v>1</v>
      </c>
      <c r="C3991" s="257" t="s">
        <v>11517</v>
      </c>
      <c r="D3991" s="9">
        <v>0</v>
      </c>
      <c r="E3991" s="9">
        <v>1721536.5294189453</v>
      </c>
      <c r="F3991" s="257" t="s">
        <v>16069</v>
      </c>
      <c r="G3991" s="9"/>
      <c r="H3991" s="257" t="s">
        <v>22049</v>
      </c>
      <c r="I3991" s="9">
        <v>3</v>
      </c>
    </row>
    <row r="3992" spans="1:9">
      <c r="A3992" s="257" t="s">
        <v>5090</v>
      </c>
      <c r="B3992" s="9">
        <v>1</v>
      </c>
      <c r="C3992" s="257" t="s">
        <v>11518</v>
      </c>
      <c r="D3992" s="9">
        <v>0</v>
      </c>
      <c r="E3992" s="9">
        <v>1721536.5294189453</v>
      </c>
      <c r="F3992" s="257" t="s">
        <v>16069</v>
      </c>
      <c r="G3992" s="9"/>
      <c r="H3992" s="257" t="s">
        <v>22050</v>
      </c>
      <c r="I3992" s="9">
        <v>3</v>
      </c>
    </row>
    <row r="3993" spans="1:9">
      <c r="A3993" s="257" t="s">
        <v>5091</v>
      </c>
      <c r="B3993" s="9">
        <v>1</v>
      </c>
      <c r="C3993" s="257" t="s">
        <v>11519</v>
      </c>
      <c r="D3993" s="9">
        <v>0</v>
      </c>
      <c r="E3993" s="9">
        <v>1721536.5294189453</v>
      </c>
      <c r="F3993" s="257" t="s">
        <v>16069</v>
      </c>
      <c r="G3993" s="9"/>
      <c r="H3993" s="257" t="s">
        <v>22051</v>
      </c>
      <c r="I3993" s="9">
        <v>3</v>
      </c>
    </row>
    <row r="3994" spans="1:9">
      <c r="A3994" s="257" t="s">
        <v>5092</v>
      </c>
      <c r="B3994" s="9">
        <v>1</v>
      </c>
      <c r="C3994" s="257" t="s">
        <v>11520</v>
      </c>
      <c r="D3994" s="9">
        <v>1721536.5294189453</v>
      </c>
      <c r="E3994" s="9">
        <v>1721536.5294189453</v>
      </c>
      <c r="F3994" s="257" t="s">
        <v>16070</v>
      </c>
      <c r="G3994" s="9"/>
      <c r="H3994" s="257" t="s">
        <v>22052</v>
      </c>
      <c r="I3994" s="9">
        <v>3</v>
      </c>
    </row>
    <row r="3995" spans="1:9">
      <c r="A3995" s="257" t="s">
        <v>5093</v>
      </c>
      <c r="B3995" s="9">
        <v>1</v>
      </c>
      <c r="C3995" s="257" t="s">
        <v>11521</v>
      </c>
      <c r="D3995" s="9">
        <v>1113876322.1526034</v>
      </c>
      <c r="E3995" s="9">
        <v>1721536.5294189453</v>
      </c>
      <c r="F3995" s="257" t="s">
        <v>16070</v>
      </c>
      <c r="G3995" s="9"/>
      <c r="H3995" s="257" t="s">
        <v>22053</v>
      </c>
      <c r="I3995" s="9">
        <v>3</v>
      </c>
    </row>
    <row r="3996" spans="1:9">
      <c r="A3996" s="257" t="s">
        <v>5094</v>
      </c>
      <c r="B3996" s="9">
        <v>1</v>
      </c>
      <c r="C3996" s="257" t="s">
        <v>11522</v>
      </c>
      <c r="D3996" s="9">
        <v>1</v>
      </c>
      <c r="E3996" s="9">
        <v>1721536.5294189453</v>
      </c>
      <c r="F3996" s="257" t="s">
        <v>16070</v>
      </c>
      <c r="G3996" s="9"/>
      <c r="H3996" s="257" t="s">
        <v>22054</v>
      </c>
      <c r="I3996" s="9">
        <v>3</v>
      </c>
    </row>
    <row r="3997" spans="1:9">
      <c r="A3997" s="257" t="s">
        <v>5095</v>
      </c>
      <c r="B3997" s="9">
        <v>1</v>
      </c>
      <c r="C3997" s="257" t="s">
        <v>11523</v>
      </c>
      <c r="D3997" s="9">
        <v>647.02450579341473</v>
      </c>
      <c r="E3997" s="9">
        <v>1721536.5294189453</v>
      </c>
      <c r="F3997" s="257" t="s">
        <v>16070</v>
      </c>
      <c r="G3997" s="9"/>
      <c r="H3997" s="257" t="s">
        <v>22055</v>
      </c>
      <c r="I3997" s="9">
        <v>3</v>
      </c>
    </row>
    <row r="3998" spans="1:9">
      <c r="A3998" s="257" t="s">
        <v>5096</v>
      </c>
      <c r="B3998" s="9">
        <v>1</v>
      </c>
      <c r="C3998" s="257" t="s">
        <v>11524</v>
      </c>
      <c r="D3998" s="9">
        <v>1721536.5294189453</v>
      </c>
      <c r="E3998" s="9">
        <v>1721536.5294189453</v>
      </c>
      <c r="F3998" s="257" t="s">
        <v>16071</v>
      </c>
      <c r="G3998" s="9"/>
      <c r="H3998" s="257" t="s">
        <v>22056</v>
      </c>
      <c r="I3998" s="9">
        <v>3</v>
      </c>
    </row>
    <row r="3999" spans="1:9">
      <c r="A3999" s="257" t="s">
        <v>5097</v>
      </c>
      <c r="B3999" s="9">
        <v>1</v>
      </c>
      <c r="C3999" s="257" t="s">
        <v>11525</v>
      </c>
      <c r="D3999" s="9">
        <v>1113876322.1526034</v>
      </c>
      <c r="E3999" s="9">
        <v>1721536.5294189453</v>
      </c>
      <c r="F3999" s="257" t="s">
        <v>16071</v>
      </c>
      <c r="G3999" s="9"/>
      <c r="H3999" s="257" t="s">
        <v>22057</v>
      </c>
      <c r="I3999" s="9">
        <v>3</v>
      </c>
    </row>
    <row r="4000" spans="1:9">
      <c r="A4000" s="257" t="s">
        <v>5098</v>
      </c>
      <c r="B4000" s="9">
        <v>1</v>
      </c>
      <c r="C4000" s="257" t="s">
        <v>11526</v>
      </c>
      <c r="D4000" s="9">
        <v>1</v>
      </c>
      <c r="E4000" s="9">
        <v>1721536.5294189453</v>
      </c>
      <c r="F4000" s="257" t="s">
        <v>16071</v>
      </c>
      <c r="G4000" s="9"/>
      <c r="H4000" s="257" t="s">
        <v>22058</v>
      </c>
      <c r="I4000" s="9">
        <v>3</v>
      </c>
    </row>
    <row r="4001" spans="1:9">
      <c r="A4001" s="257" t="s">
        <v>5099</v>
      </c>
      <c r="B4001" s="9">
        <v>1</v>
      </c>
      <c r="C4001" s="257" t="s">
        <v>11527</v>
      </c>
      <c r="D4001" s="9">
        <v>647.02450579341473</v>
      </c>
      <c r="E4001" s="9">
        <v>1721536.5294189453</v>
      </c>
      <c r="F4001" s="257" t="s">
        <v>16071</v>
      </c>
      <c r="G4001" s="9"/>
      <c r="H4001" s="257" t="s">
        <v>22059</v>
      </c>
      <c r="I4001" s="9">
        <v>3</v>
      </c>
    </row>
    <row r="4002" spans="1:9">
      <c r="A4002" s="257" t="s">
        <v>5100</v>
      </c>
      <c r="B4002" s="9">
        <v>1</v>
      </c>
      <c r="C4002" s="257" t="s">
        <v>11528</v>
      </c>
      <c r="D4002" s="9">
        <v>1721536.5294189453</v>
      </c>
      <c r="E4002" s="9">
        <v>1721536.5294189453</v>
      </c>
      <c r="F4002" s="257" t="s">
        <v>16072</v>
      </c>
      <c r="G4002" s="9"/>
      <c r="H4002" s="257" t="s">
        <v>22060</v>
      </c>
      <c r="I4002" s="9">
        <v>3</v>
      </c>
    </row>
    <row r="4003" spans="1:9">
      <c r="A4003" s="257" t="s">
        <v>5101</v>
      </c>
      <c r="B4003" s="9">
        <v>1</v>
      </c>
      <c r="C4003" s="257" t="s">
        <v>11529</v>
      </c>
      <c r="D4003" s="9">
        <v>1113876322.1526034</v>
      </c>
      <c r="E4003" s="9">
        <v>1721536.5294189453</v>
      </c>
      <c r="F4003" s="257" t="s">
        <v>16072</v>
      </c>
      <c r="G4003" s="9"/>
      <c r="H4003" s="257" t="s">
        <v>22061</v>
      </c>
      <c r="I4003" s="9">
        <v>3</v>
      </c>
    </row>
    <row r="4004" spans="1:9">
      <c r="A4004" s="257" t="s">
        <v>5102</v>
      </c>
      <c r="B4004" s="9">
        <v>1</v>
      </c>
      <c r="C4004" s="257" t="s">
        <v>11530</v>
      </c>
      <c r="D4004" s="9">
        <v>1</v>
      </c>
      <c r="E4004" s="9">
        <v>1721536.5294189453</v>
      </c>
      <c r="F4004" s="257" t="s">
        <v>16072</v>
      </c>
      <c r="G4004" s="9"/>
      <c r="H4004" s="257" t="s">
        <v>22062</v>
      </c>
      <c r="I4004" s="9">
        <v>3</v>
      </c>
    </row>
    <row r="4005" spans="1:9">
      <c r="A4005" s="257" t="s">
        <v>5103</v>
      </c>
      <c r="B4005" s="9">
        <v>1</v>
      </c>
      <c r="C4005" s="257" t="s">
        <v>11531</v>
      </c>
      <c r="D4005" s="9">
        <v>647.02450579341473</v>
      </c>
      <c r="E4005" s="9">
        <v>1721536.5294189453</v>
      </c>
      <c r="F4005" s="257" t="s">
        <v>16072</v>
      </c>
      <c r="G4005" s="9"/>
      <c r="H4005" s="257" t="s">
        <v>22063</v>
      </c>
      <c r="I4005" s="9">
        <v>3</v>
      </c>
    </row>
    <row r="4006" spans="1:9">
      <c r="A4006" s="257" t="s">
        <v>5104</v>
      </c>
      <c r="B4006" s="9">
        <v>1</v>
      </c>
      <c r="C4006" s="257" t="s">
        <v>11532</v>
      </c>
      <c r="D4006" s="9">
        <v>1721536.5294189453</v>
      </c>
      <c r="E4006" s="9">
        <v>1721536.5294189453</v>
      </c>
      <c r="F4006" s="257" t="s">
        <v>16073</v>
      </c>
      <c r="G4006" s="9"/>
      <c r="H4006" s="257" t="s">
        <v>22064</v>
      </c>
      <c r="I4006" s="9">
        <v>3</v>
      </c>
    </row>
    <row r="4007" spans="1:9">
      <c r="A4007" s="257" t="s">
        <v>5105</v>
      </c>
      <c r="B4007" s="9">
        <v>1</v>
      </c>
      <c r="C4007" s="257" t="s">
        <v>11533</v>
      </c>
      <c r="D4007" s="9">
        <v>565909604.27923203</v>
      </c>
      <c r="E4007" s="9">
        <v>1721536.5294189453</v>
      </c>
      <c r="F4007" s="257" t="s">
        <v>16073</v>
      </c>
      <c r="G4007" s="9"/>
      <c r="H4007" s="257" t="s">
        <v>22065</v>
      </c>
      <c r="I4007" s="9">
        <v>3</v>
      </c>
    </row>
    <row r="4008" spans="1:9">
      <c r="A4008" s="257" t="s">
        <v>5106</v>
      </c>
      <c r="B4008" s="9">
        <v>1</v>
      </c>
      <c r="C4008" s="257" t="s">
        <v>11534</v>
      </c>
      <c r="D4008" s="9">
        <v>1</v>
      </c>
      <c r="E4008" s="9">
        <v>1721536.5294189453</v>
      </c>
      <c r="F4008" s="257" t="s">
        <v>16073</v>
      </c>
      <c r="G4008" s="9"/>
      <c r="H4008" s="257" t="s">
        <v>22066</v>
      </c>
      <c r="I4008" s="9">
        <v>3</v>
      </c>
    </row>
    <row r="4009" spans="1:9">
      <c r="A4009" s="257" t="s">
        <v>5107</v>
      </c>
      <c r="B4009" s="9">
        <v>1</v>
      </c>
      <c r="C4009" s="257" t="s">
        <v>11535</v>
      </c>
      <c r="D4009" s="9">
        <v>328.72355283116667</v>
      </c>
      <c r="E4009" s="9">
        <v>1721536.5294189453</v>
      </c>
      <c r="F4009" s="257" t="s">
        <v>16073</v>
      </c>
      <c r="G4009" s="9"/>
      <c r="H4009" s="257" t="s">
        <v>22067</v>
      </c>
      <c r="I4009" s="9">
        <v>3</v>
      </c>
    </row>
    <row r="4010" spans="1:9">
      <c r="A4010" s="257" t="s">
        <v>5108</v>
      </c>
      <c r="B4010" s="9">
        <v>1</v>
      </c>
      <c r="C4010" s="257" t="s">
        <v>11536</v>
      </c>
      <c r="D4010" s="9">
        <v>240333.54522705078</v>
      </c>
      <c r="E4010" s="9">
        <v>1721536.5294189453</v>
      </c>
      <c r="F4010" s="257" t="s">
        <v>16074</v>
      </c>
      <c r="G4010" s="9"/>
      <c r="H4010" s="257" t="s">
        <v>22068</v>
      </c>
      <c r="I4010" s="9">
        <v>3</v>
      </c>
    </row>
    <row r="4011" spans="1:9">
      <c r="A4011" s="257" t="s">
        <v>5109</v>
      </c>
      <c r="B4011" s="9">
        <v>1</v>
      </c>
      <c r="C4011" s="257" t="s">
        <v>11537</v>
      </c>
      <c r="D4011" s="9">
        <v>413518893.51263011</v>
      </c>
      <c r="E4011" s="9">
        <v>1721536.5294189453</v>
      </c>
      <c r="F4011" s="257" t="s">
        <v>16074</v>
      </c>
      <c r="G4011" s="9"/>
      <c r="H4011" s="257" t="s">
        <v>22069</v>
      </c>
      <c r="I4011" s="9">
        <v>3</v>
      </c>
    </row>
    <row r="4012" spans="1:9">
      <c r="A4012" s="257" t="s">
        <v>5110</v>
      </c>
      <c r="B4012" s="9">
        <v>1</v>
      </c>
      <c r="C4012" s="257" t="s">
        <v>11538</v>
      </c>
      <c r="D4012" s="9">
        <v>0.13960409269280413</v>
      </c>
      <c r="E4012" s="9">
        <v>1721536.5294189453</v>
      </c>
      <c r="F4012" s="257" t="s">
        <v>16074</v>
      </c>
      <c r="G4012" s="9"/>
      <c r="H4012" s="257" t="s">
        <v>22070</v>
      </c>
      <c r="I4012" s="9">
        <v>3</v>
      </c>
    </row>
    <row r="4013" spans="1:9">
      <c r="A4013" s="257" t="s">
        <v>5111</v>
      </c>
      <c r="B4013" s="9">
        <v>1</v>
      </c>
      <c r="C4013" s="257" t="s">
        <v>11539</v>
      </c>
      <c r="D4013" s="9">
        <v>240.20338020489254</v>
      </c>
      <c r="E4013" s="9">
        <v>1721536.5294189453</v>
      </c>
      <c r="F4013" s="257" t="s">
        <v>16074</v>
      </c>
      <c r="G4013" s="9"/>
      <c r="H4013" s="257" t="s">
        <v>22071</v>
      </c>
      <c r="I4013" s="9">
        <v>3</v>
      </c>
    </row>
    <row r="4014" spans="1:9">
      <c r="A4014" s="257" t="s">
        <v>5112</v>
      </c>
      <c r="B4014" s="9">
        <v>1</v>
      </c>
      <c r="C4014" s="257" t="s">
        <v>11540</v>
      </c>
      <c r="D4014" s="9">
        <v>1721536.5294189453</v>
      </c>
      <c r="E4014" s="9">
        <v>1721536.5294189453</v>
      </c>
      <c r="F4014" s="257" t="s">
        <v>16075</v>
      </c>
      <c r="G4014" s="9"/>
      <c r="H4014" s="257" t="s">
        <v>22072</v>
      </c>
      <c r="I4014" s="9">
        <v>3</v>
      </c>
    </row>
    <row r="4015" spans="1:9">
      <c r="A4015" s="257" t="s">
        <v>5113</v>
      </c>
      <c r="B4015" s="9">
        <v>1</v>
      </c>
      <c r="C4015" s="257" t="s">
        <v>11541</v>
      </c>
      <c r="D4015" s="9">
        <v>1527395215.6652336</v>
      </c>
      <c r="E4015" s="9">
        <v>1721536.5294189453</v>
      </c>
      <c r="F4015" s="257" t="s">
        <v>16075</v>
      </c>
      <c r="G4015" s="9"/>
      <c r="H4015" s="257" t="s">
        <v>22073</v>
      </c>
      <c r="I4015" s="9">
        <v>3</v>
      </c>
    </row>
    <row r="4016" spans="1:9">
      <c r="A4016" s="257" t="s">
        <v>5114</v>
      </c>
      <c r="B4016" s="9">
        <v>1</v>
      </c>
      <c r="C4016" s="257" t="s">
        <v>11542</v>
      </c>
      <c r="D4016" s="9">
        <v>1</v>
      </c>
      <c r="E4016" s="9">
        <v>1721536.5294189453</v>
      </c>
      <c r="F4016" s="257" t="s">
        <v>16075</v>
      </c>
      <c r="G4016" s="9"/>
      <c r="H4016" s="257" t="s">
        <v>22074</v>
      </c>
      <c r="I4016" s="9">
        <v>3</v>
      </c>
    </row>
    <row r="4017" spans="1:9">
      <c r="A4017" s="257" t="s">
        <v>5115</v>
      </c>
      <c r="B4017" s="9">
        <v>1</v>
      </c>
      <c r="C4017" s="257" t="s">
        <v>11543</v>
      </c>
      <c r="D4017" s="9">
        <v>887.22788599830733</v>
      </c>
      <c r="E4017" s="9">
        <v>1721536.5294189453</v>
      </c>
      <c r="F4017" s="257" t="s">
        <v>16075</v>
      </c>
      <c r="G4017" s="9"/>
      <c r="H4017" s="257" t="s">
        <v>22075</v>
      </c>
      <c r="I4017" s="9">
        <v>3</v>
      </c>
    </row>
    <row r="4018" spans="1:9">
      <c r="A4018" s="257" t="s">
        <v>5116</v>
      </c>
      <c r="B4018" s="9">
        <v>1</v>
      </c>
      <c r="C4018" s="257" t="s">
        <v>11544</v>
      </c>
      <c r="D4018" s="9">
        <v>1721536.5294189453</v>
      </c>
      <c r="E4018" s="9">
        <v>1721536.5294189453</v>
      </c>
      <c r="F4018" s="257" t="s">
        <v>16076</v>
      </c>
      <c r="G4018" s="9"/>
      <c r="H4018" s="257" t="s">
        <v>22076</v>
      </c>
      <c r="I4018" s="9">
        <v>3</v>
      </c>
    </row>
    <row r="4019" spans="1:9">
      <c r="A4019" s="257" t="s">
        <v>5117</v>
      </c>
      <c r="B4019" s="9">
        <v>1</v>
      </c>
      <c r="C4019" s="257" t="s">
        <v>11545</v>
      </c>
      <c r="D4019" s="9">
        <v>1527395215.6652336</v>
      </c>
      <c r="E4019" s="9">
        <v>1721536.5294189453</v>
      </c>
      <c r="F4019" s="257" t="s">
        <v>16076</v>
      </c>
      <c r="G4019" s="9"/>
      <c r="H4019" s="257" t="s">
        <v>22077</v>
      </c>
      <c r="I4019" s="9">
        <v>3</v>
      </c>
    </row>
    <row r="4020" spans="1:9">
      <c r="A4020" s="257" t="s">
        <v>5118</v>
      </c>
      <c r="B4020" s="9">
        <v>1</v>
      </c>
      <c r="C4020" s="257" t="s">
        <v>11546</v>
      </c>
      <c r="D4020" s="9">
        <v>1</v>
      </c>
      <c r="E4020" s="9">
        <v>1721536.5294189453</v>
      </c>
      <c r="F4020" s="257" t="s">
        <v>16076</v>
      </c>
      <c r="G4020" s="9"/>
      <c r="H4020" s="257" t="s">
        <v>22078</v>
      </c>
      <c r="I4020" s="9">
        <v>3</v>
      </c>
    </row>
    <row r="4021" spans="1:9">
      <c r="A4021" s="257" t="s">
        <v>5119</v>
      </c>
      <c r="B4021" s="9">
        <v>1</v>
      </c>
      <c r="C4021" s="257" t="s">
        <v>11547</v>
      </c>
      <c r="D4021" s="9">
        <v>887.22788599830733</v>
      </c>
      <c r="E4021" s="9">
        <v>1721536.5294189453</v>
      </c>
      <c r="F4021" s="257" t="s">
        <v>16076</v>
      </c>
      <c r="G4021" s="9"/>
      <c r="H4021" s="257" t="s">
        <v>22079</v>
      </c>
      <c r="I4021" s="9">
        <v>3</v>
      </c>
    </row>
    <row r="4022" spans="1:9">
      <c r="A4022" s="257" t="s">
        <v>5120</v>
      </c>
      <c r="B4022" s="9">
        <v>1</v>
      </c>
      <c r="C4022" s="257" t="s">
        <v>11548</v>
      </c>
      <c r="D4022" s="9">
        <v>285772.10522460938</v>
      </c>
      <c r="E4022" s="9">
        <v>1721536.5294189453</v>
      </c>
      <c r="F4022" s="257" t="s">
        <v>16077</v>
      </c>
      <c r="G4022" s="9"/>
      <c r="H4022" s="257" t="s">
        <v>22080</v>
      </c>
      <c r="I4022" s="9">
        <v>3</v>
      </c>
    </row>
    <row r="4023" spans="1:9">
      <c r="A4023" s="257" t="s">
        <v>5121</v>
      </c>
      <c r="B4023" s="9">
        <v>1</v>
      </c>
      <c r="C4023" s="257" t="s">
        <v>11549</v>
      </c>
      <c r="D4023" s="9">
        <v>394200818.08361888</v>
      </c>
      <c r="E4023" s="9">
        <v>1721536.5294189453</v>
      </c>
      <c r="F4023" s="257" t="s">
        <v>16077</v>
      </c>
      <c r="G4023" s="9"/>
      <c r="H4023" s="257" t="s">
        <v>22081</v>
      </c>
      <c r="I4023" s="9">
        <v>3</v>
      </c>
    </row>
    <row r="4024" spans="1:9">
      <c r="A4024" s="257" t="s">
        <v>5122</v>
      </c>
      <c r="B4024" s="9">
        <v>1</v>
      </c>
      <c r="C4024" s="257" t="s">
        <v>11550</v>
      </c>
      <c r="D4024" s="9">
        <v>0.16599828138474845</v>
      </c>
      <c r="E4024" s="9">
        <v>1721536.5294189453</v>
      </c>
      <c r="F4024" s="257" t="s">
        <v>16077</v>
      </c>
      <c r="G4024" s="9"/>
      <c r="H4024" s="257" t="s">
        <v>22082</v>
      </c>
      <c r="I4024" s="9">
        <v>3</v>
      </c>
    </row>
    <row r="4025" spans="1:9">
      <c r="A4025" s="257" t="s">
        <v>5123</v>
      </c>
      <c r="B4025" s="9">
        <v>1</v>
      </c>
      <c r="C4025" s="257" t="s">
        <v>11551</v>
      </c>
      <c r="D4025" s="9">
        <v>228.98196544029764</v>
      </c>
      <c r="E4025" s="9">
        <v>1721536.5294189453</v>
      </c>
      <c r="F4025" s="257" t="s">
        <v>16077</v>
      </c>
      <c r="G4025" s="9"/>
      <c r="H4025" s="257" t="s">
        <v>22083</v>
      </c>
      <c r="I4025" s="9">
        <v>3</v>
      </c>
    </row>
    <row r="4026" spans="1:9">
      <c r="A4026" s="257" t="s">
        <v>5124</v>
      </c>
      <c r="B4026" s="9">
        <v>1</v>
      </c>
      <c r="C4026" s="257" t="s">
        <v>11552</v>
      </c>
      <c r="D4026" s="9">
        <v>285772.10522460938</v>
      </c>
      <c r="E4026" s="9">
        <v>1721536.5294189453</v>
      </c>
      <c r="F4026" s="257" t="s">
        <v>16078</v>
      </c>
      <c r="G4026" s="9"/>
      <c r="H4026" s="257" t="s">
        <v>22084</v>
      </c>
      <c r="I4026" s="9">
        <v>3</v>
      </c>
    </row>
    <row r="4027" spans="1:9">
      <c r="A4027" s="257" t="s">
        <v>5125</v>
      </c>
      <c r="B4027" s="9">
        <v>1</v>
      </c>
      <c r="C4027" s="257" t="s">
        <v>11553</v>
      </c>
      <c r="D4027" s="9">
        <v>394200818.08361888</v>
      </c>
      <c r="E4027" s="9">
        <v>1721536.5294189453</v>
      </c>
      <c r="F4027" s="257" t="s">
        <v>16078</v>
      </c>
      <c r="G4027" s="9"/>
      <c r="H4027" s="257" t="s">
        <v>22085</v>
      </c>
      <c r="I4027" s="9">
        <v>3</v>
      </c>
    </row>
    <row r="4028" spans="1:9">
      <c r="A4028" s="257" t="s">
        <v>5126</v>
      </c>
      <c r="B4028" s="9">
        <v>1</v>
      </c>
      <c r="C4028" s="257" t="s">
        <v>11554</v>
      </c>
      <c r="D4028" s="9">
        <v>0.16599828138474845</v>
      </c>
      <c r="E4028" s="9">
        <v>1721536.5294189453</v>
      </c>
      <c r="F4028" s="257" t="s">
        <v>16078</v>
      </c>
      <c r="G4028" s="9"/>
      <c r="H4028" s="257" t="s">
        <v>22086</v>
      </c>
      <c r="I4028" s="9">
        <v>3</v>
      </c>
    </row>
    <row r="4029" spans="1:9">
      <c r="A4029" s="257" t="s">
        <v>5127</v>
      </c>
      <c r="B4029" s="9">
        <v>1</v>
      </c>
      <c r="C4029" s="257" t="s">
        <v>11555</v>
      </c>
      <c r="D4029" s="9">
        <v>228.98196544029764</v>
      </c>
      <c r="E4029" s="9">
        <v>1721536.5294189453</v>
      </c>
      <c r="F4029" s="257" t="s">
        <v>16078</v>
      </c>
      <c r="G4029" s="9"/>
      <c r="H4029" s="257" t="s">
        <v>22087</v>
      </c>
      <c r="I4029" s="9">
        <v>3</v>
      </c>
    </row>
    <row r="4030" spans="1:9">
      <c r="A4030" s="257" t="s">
        <v>5128</v>
      </c>
      <c r="B4030" s="9">
        <v>1</v>
      </c>
      <c r="C4030" s="257" t="s">
        <v>11556</v>
      </c>
      <c r="D4030" s="9">
        <v>1721536.5294189453</v>
      </c>
      <c r="E4030" s="9">
        <v>1721536.5294189453</v>
      </c>
      <c r="F4030" s="257" t="s">
        <v>16079</v>
      </c>
      <c r="G4030" s="9"/>
      <c r="H4030" s="257" t="s">
        <v>22088</v>
      </c>
      <c r="I4030" s="9">
        <v>3</v>
      </c>
    </row>
    <row r="4031" spans="1:9">
      <c r="A4031" s="257" t="s">
        <v>5129</v>
      </c>
      <c r="B4031" s="9">
        <v>1</v>
      </c>
      <c r="C4031" s="257" t="s">
        <v>11557</v>
      </c>
      <c r="D4031" s="9">
        <v>719675504.06898451</v>
      </c>
      <c r="E4031" s="9">
        <v>1721536.5294189453</v>
      </c>
      <c r="F4031" s="257" t="s">
        <v>16079</v>
      </c>
      <c r="G4031" s="9"/>
      <c r="H4031" s="257" t="s">
        <v>22089</v>
      </c>
      <c r="I4031" s="9">
        <v>3</v>
      </c>
    </row>
    <row r="4032" spans="1:9">
      <c r="A4032" s="257" t="s">
        <v>5130</v>
      </c>
      <c r="B4032" s="9">
        <v>1</v>
      </c>
      <c r="C4032" s="257" t="s">
        <v>11558</v>
      </c>
      <c r="D4032" s="9">
        <v>1</v>
      </c>
      <c r="E4032" s="9">
        <v>1721536.5294189453</v>
      </c>
      <c r="F4032" s="257" t="s">
        <v>16079</v>
      </c>
      <c r="G4032" s="9"/>
      <c r="H4032" s="257" t="s">
        <v>22090</v>
      </c>
      <c r="I4032" s="9">
        <v>3</v>
      </c>
    </row>
    <row r="4033" spans="1:9">
      <c r="A4033" s="257" t="s">
        <v>5131</v>
      </c>
      <c r="B4033" s="9">
        <v>1</v>
      </c>
      <c r="C4033" s="257" t="s">
        <v>11559</v>
      </c>
      <c r="D4033" s="9">
        <v>418.04254035311703</v>
      </c>
      <c r="E4033" s="9">
        <v>1721536.5294189453</v>
      </c>
      <c r="F4033" s="257" t="s">
        <v>16079</v>
      </c>
      <c r="G4033" s="9"/>
      <c r="H4033" s="257" t="s">
        <v>22091</v>
      </c>
      <c r="I4033" s="9">
        <v>3</v>
      </c>
    </row>
    <row r="4034" spans="1:9">
      <c r="A4034" s="257" t="s">
        <v>5132</v>
      </c>
      <c r="B4034" s="9">
        <v>1</v>
      </c>
      <c r="C4034" s="257" t="s">
        <v>11560</v>
      </c>
      <c r="D4034" s="9">
        <v>1721536.5294189453</v>
      </c>
      <c r="E4034" s="9">
        <v>1721536.5294189453</v>
      </c>
      <c r="F4034" s="257" t="s">
        <v>16080</v>
      </c>
      <c r="G4034" s="9"/>
      <c r="H4034" s="257" t="s">
        <v>22092</v>
      </c>
      <c r="I4034" s="9">
        <v>3</v>
      </c>
    </row>
    <row r="4035" spans="1:9">
      <c r="A4035" s="257" t="s">
        <v>5133</v>
      </c>
      <c r="B4035" s="9">
        <v>1</v>
      </c>
      <c r="C4035" s="257" t="s">
        <v>11561</v>
      </c>
      <c r="D4035" s="9">
        <v>1123420584.4038143</v>
      </c>
      <c r="E4035" s="9">
        <v>1721536.5294189453</v>
      </c>
      <c r="F4035" s="257" t="s">
        <v>16080</v>
      </c>
      <c r="G4035" s="9"/>
      <c r="H4035" s="257" t="s">
        <v>22093</v>
      </c>
      <c r="I4035" s="9">
        <v>3</v>
      </c>
    </row>
    <row r="4036" spans="1:9">
      <c r="A4036" s="257" t="s">
        <v>5134</v>
      </c>
      <c r="B4036" s="9">
        <v>1</v>
      </c>
      <c r="C4036" s="257" t="s">
        <v>11562</v>
      </c>
      <c r="D4036" s="9">
        <v>1</v>
      </c>
      <c r="E4036" s="9">
        <v>1721536.5294189453</v>
      </c>
      <c r="F4036" s="257" t="s">
        <v>16080</v>
      </c>
      <c r="G4036" s="9"/>
      <c r="H4036" s="257" t="s">
        <v>22094</v>
      </c>
      <c r="I4036" s="9">
        <v>3</v>
      </c>
    </row>
    <row r="4037" spans="1:9">
      <c r="A4037" s="257" t="s">
        <v>5135</v>
      </c>
      <c r="B4037" s="9">
        <v>1</v>
      </c>
      <c r="C4037" s="257" t="s">
        <v>11563</v>
      </c>
      <c r="D4037" s="9">
        <v>652.56854281389678</v>
      </c>
      <c r="E4037" s="9">
        <v>1721536.5294189453</v>
      </c>
      <c r="F4037" s="257" t="s">
        <v>16080</v>
      </c>
      <c r="G4037" s="9"/>
      <c r="H4037" s="257" t="s">
        <v>22095</v>
      </c>
      <c r="I4037" s="9">
        <v>3</v>
      </c>
    </row>
    <row r="4038" spans="1:9">
      <c r="A4038" s="257" t="s">
        <v>5136</v>
      </c>
      <c r="B4038" s="9">
        <v>1</v>
      </c>
      <c r="C4038" s="257" t="s">
        <v>11564</v>
      </c>
      <c r="D4038" s="9">
        <v>287844.57055664063</v>
      </c>
      <c r="E4038" s="9">
        <v>1721536.5294189453</v>
      </c>
      <c r="F4038" s="257" t="s">
        <v>16081</v>
      </c>
      <c r="G4038" s="9"/>
      <c r="H4038" s="257" t="s">
        <v>22096</v>
      </c>
      <c r="I4038" s="9">
        <v>3</v>
      </c>
    </row>
    <row r="4039" spans="1:9">
      <c r="A4039" s="257" t="s">
        <v>5137</v>
      </c>
      <c r="B4039" s="9">
        <v>1</v>
      </c>
      <c r="C4039" s="257" t="s">
        <v>11565</v>
      </c>
      <c r="D4039" s="9">
        <v>650179378.80134463</v>
      </c>
      <c r="E4039" s="9">
        <v>1721536.5294189453</v>
      </c>
      <c r="F4039" s="257" t="s">
        <v>16081</v>
      </c>
      <c r="G4039" s="9"/>
      <c r="H4039" s="257" t="s">
        <v>22097</v>
      </c>
      <c r="I4039" s="9">
        <v>3</v>
      </c>
    </row>
    <row r="4040" spans="1:9">
      <c r="A4040" s="257" t="s">
        <v>5138</v>
      </c>
      <c r="B4040" s="9">
        <v>1</v>
      </c>
      <c r="C4040" s="257" t="s">
        <v>11566</v>
      </c>
      <c r="D4040" s="9">
        <v>0.16720212765615505</v>
      </c>
      <c r="E4040" s="9">
        <v>1721536.5294189453</v>
      </c>
      <c r="F4040" s="257" t="s">
        <v>16081</v>
      </c>
      <c r="G4040" s="9"/>
      <c r="H4040" s="257" t="s">
        <v>22098</v>
      </c>
      <c r="I4040" s="9">
        <v>3</v>
      </c>
    </row>
    <row r="4041" spans="1:9">
      <c r="A4041" s="257" t="s">
        <v>5139</v>
      </c>
      <c r="B4041" s="9">
        <v>1</v>
      </c>
      <c r="C4041" s="257" t="s">
        <v>11567</v>
      </c>
      <c r="D4041" s="9">
        <v>377.67387893929487</v>
      </c>
      <c r="E4041" s="9">
        <v>1721536.5294189453</v>
      </c>
      <c r="F4041" s="257" t="s">
        <v>16081</v>
      </c>
      <c r="G4041" s="9"/>
      <c r="H4041" s="257" t="s">
        <v>22099</v>
      </c>
      <c r="I4041" s="9">
        <v>3</v>
      </c>
    </row>
    <row r="4042" spans="1:9">
      <c r="A4042" s="257" t="s">
        <v>5140</v>
      </c>
      <c r="B4042" s="9">
        <v>1</v>
      </c>
      <c r="C4042" s="257" t="s">
        <v>11568</v>
      </c>
      <c r="D4042" s="9">
        <v>0</v>
      </c>
      <c r="E4042" s="9">
        <v>1721536.5294189453</v>
      </c>
      <c r="F4042" s="257" t="s">
        <v>16082</v>
      </c>
      <c r="G4042" s="9"/>
      <c r="H4042" s="257" t="s">
        <v>22100</v>
      </c>
      <c r="I4042" s="9">
        <v>3</v>
      </c>
    </row>
    <row r="4043" spans="1:9">
      <c r="A4043" s="257" t="s">
        <v>5141</v>
      </c>
      <c r="B4043" s="9">
        <v>1</v>
      </c>
      <c r="C4043" s="257" t="s">
        <v>11569</v>
      </c>
      <c r="D4043" s="9">
        <v>-246204747.53992537</v>
      </c>
      <c r="E4043" s="9">
        <v>1721536.5294189453</v>
      </c>
      <c r="F4043" s="257" t="s">
        <v>16082</v>
      </c>
      <c r="G4043" s="9"/>
      <c r="H4043" s="257" t="s">
        <v>22101</v>
      </c>
      <c r="I4043" s="9">
        <v>3</v>
      </c>
    </row>
    <row r="4044" spans="1:9">
      <c r="A4044" s="257" t="s">
        <v>5142</v>
      </c>
      <c r="B4044" s="9">
        <v>1</v>
      </c>
      <c r="C4044" s="257" t="s">
        <v>11570</v>
      </c>
      <c r="D4044" s="9">
        <v>0</v>
      </c>
      <c r="E4044" s="9">
        <v>1721536.5294189453</v>
      </c>
      <c r="F4044" s="257" t="s">
        <v>16082</v>
      </c>
      <c r="G4044" s="9"/>
      <c r="H4044" s="257" t="s">
        <v>22102</v>
      </c>
      <c r="I4044" s="9">
        <v>3</v>
      </c>
    </row>
    <row r="4045" spans="1:9">
      <c r="A4045" s="257" t="s">
        <v>5143</v>
      </c>
      <c r="B4045" s="9">
        <v>1</v>
      </c>
      <c r="C4045" s="257" t="s">
        <v>11571</v>
      </c>
      <c r="D4045" s="9">
        <v>-143.01453575488441</v>
      </c>
      <c r="E4045" s="9">
        <v>1721536.5294189453</v>
      </c>
      <c r="F4045" s="257" t="s">
        <v>16082</v>
      </c>
      <c r="G4045" s="9"/>
      <c r="H4045" s="257" t="s">
        <v>22103</v>
      </c>
      <c r="I4045" s="9">
        <v>3</v>
      </c>
    </row>
    <row r="4046" spans="1:9">
      <c r="A4046" s="257" t="s">
        <v>5144</v>
      </c>
      <c r="B4046" s="9">
        <v>1</v>
      </c>
      <c r="C4046" s="257" t="s">
        <v>11572</v>
      </c>
      <c r="D4046" s="9">
        <v>285772.10522460938</v>
      </c>
      <c r="E4046" s="9">
        <v>1721536.5294189453</v>
      </c>
      <c r="F4046" s="257" t="s">
        <v>16083</v>
      </c>
      <c r="G4046" s="9"/>
      <c r="H4046" s="257" t="s">
        <v>22104</v>
      </c>
      <c r="I4046" s="9">
        <v>3</v>
      </c>
    </row>
    <row r="4047" spans="1:9">
      <c r="A4047" s="257" t="s">
        <v>5145</v>
      </c>
      <c r="B4047" s="9">
        <v>1</v>
      </c>
      <c r="C4047" s="257" t="s">
        <v>11573</v>
      </c>
      <c r="D4047" s="9">
        <v>403974631.26141924</v>
      </c>
      <c r="E4047" s="9">
        <v>1721536.5294189453</v>
      </c>
      <c r="F4047" s="257" t="s">
        <v>16083</v>
      </c>
      <c r="G4047" s="9"/>
      <c r="H4047" s="257" t="s">
        <v>22105</v>
      </c>
      <c r="I4047" s="9">
        <v>3</v>
      </c>
    </row>
    <row r="4048" spans="1:9">
      <c r="A4048" s="257" t="s">
        <v>5146</v>
      </c>
      <c r="B4048" s="9">
        <v>1</v>
      </c>
      <c r="C4048" s="257" t="s">
        <v>11574</v>
      </c>
      <c r="D4048" s="9">
        <v>0.16599828138474845</v>
      </c>
      <c r="E4048" s="9">
        <v>1721536.5294189453</v>
      </c>
      <c r="F4048" s="257" t="s">
        <v>16083</v>
      </c>
      <c r="G4048" s="9"/>
      <c r="H4048" s="257" t="s">
        <v>22106</v>
      </c>
      <c r="I4048" s="9">
        <v>3</v>
      </c>
    </row>
    <row r="4049" spans="1:9">
      <c r="A4049" s="257" t="s">
        <v>5147</v>
      </c>
      <c r="B4049" s="9">
        <v>1</v>
      </c>
      <c r="C4049" s="257" t="s">
        <v>11575</v>
      </c>
      <c r="D4049" s="9">
        <v>234.65934318441046</v>
      </c>
      <c r="E4049" s="9">
        <v>1721536.5294189453</v>
      </c>
      <c r="F4049" s="257" t="s">
        <v>16083</v>
      </c>
      <c r="G4049" s="9"/>
      <c r="H4049" s="257" t="s">
        <v>22107</v>
      </c>
      <c r="I4049" s="9">
        <v>3</v>
      </c>
    </row>
    <row r="4050" spans="1:9">
      <c r="A4050" s="257" t="s">
        <v>5148</v>
      </c>
      <c r="B4050" s="9">
        <v>1</v>
      </c>
      <c r="C4050" s="257" t="s">
        <v>11576</v>
      </c>
      <c r="D4050" s="9">
        <v>13207.776977539063</v>
      </c>
      <c r="E4050" s="9">
        <v>1721536.5294189453</v>
      </c>
      <c r="F4050" s="257" t="s">
        <v>16084</v>
      </c>
      <c r="G4050" s="9"/>
      <c r="H4050" s="257" t="s">
        <v>22108</v>
      </c>
      <c r="I4050" s="9">
        <v>3</v>
      </c>
    </row>
    <row r="4051" spans="1:9">
      <c r="A4051" s="257" t="s">
        <v>5149</v>
      </c>
      <c r="B4051" s="9">
        <v>1</v>
      </c>
      <c r="C4051" s="257" t="s">
        <v>11577</v>
      </c>
      <c r="D4051" s="9">
        <v>9773813.1778003834</v>
      </c>
      <c r="E4051" s="9">
        <v>1721536.5294189453</v>
      </c>
      <c r="F4051" s="257" t="s">
        <v>16084</v>
      </c>
      <c r="G4051" s="9"/>
      <c r="H4051" s="257" t="s">
        <v>22109</v>
      </c>
      <c r="I4051" s="9">
        <v>3</v>
      </c>
    </row>
    <row r="4052" spans="1:9">
      <c r="A4052" s="257" t="s">
        <v>5150</v>
      </c>
      <c r="B4052" s="9">
        <v>1</v>
      </c>
      <c r="C4052" s="257" t="s">
        <v>11578</v>
      </c>
      <c r="D4052" s="9">
        <v>7.6720863901720195E-3</v>
      </c>
      <c r="E4052" s="9">
        <v>1721536.5294189453</v>
      </c>
      <c r="F4052" s="257" t="s">
        <v>16084</v>
      </c>
      <c r="G4052" s="9"/>
      <c r="H4052" s="257" t="s">
        <v>22110</v>
      </c>
      <c r="I4052" s="9">
        <v>3</v>
      </c>
    </row>
    <row r="4053" spans="1:9">
      <c r="A4053" s="257" t="s">
        <v>5151</v>
      </c>
      <c r="B4053" s="9">
        <v>1</v>
      </c>
      <c r="C4053" s="257" t="s">
        <v>11579</v>
      </c>
      <c r="D4053" s="9">
        <v>5.6773777441128424</v>
      </c>
      <c r="E4053" s="9">
        <v>1721536.5294189453</v>
      </c>
      <c r="F4053" s="257" t="s">
        <v>16084</v>
      </c>
      <c r="G4053" s="9"/>
      <c r="H4053" s="257" t="s">
        <v>22111</v>
      </c>
      <c r="I4053" s="9">
        <v>3</v>
      </c>
    </row>
    <row r="4054" spans="1:9">
      <c r="A4054" s="257" t="s">
        <v>5152</v>
      </c>
      <c r="B4054" s="9">
        <v>1</v>
      </c>
      <c r="C4054" s="257" t="s">
        <v>11580</v>
      </c>
      <c r="D4054" s="9">
        <v>231369.07879638672</v>
      </c>
      <c r="E4054" s="9">
        <v>1721536.5294189453</v>
      </c>
      <c r="F4054" s="257" t="s">
        <v>16085</v>
      </c>
      <c r="G4054" s="9"/>
      <c r="H4054" s="257" t="s">
        <v>22112</v>
      </c>
      <c r="I4054" s="9">
        <v>3</v>
      </c>
    </row>
    <row r="4055" spans="1:9">
      <c r="A4055" s="257" t="s">
        <v>5153</v>
      </c>
      <c r="B4055" s="9">
        <v>1</v>
      </c>
      <c r="C4055" s="257" t="s">
        <v>11581</v>
      </c>
      <c r="D4055" s="9">
        <v>403745080.33482975</v>
      </c>
      <c r="E4055" s="9">
        <v>1721536.5294189453</v>
      </c>
      <c r="F4055" s="257" t="s">
        <v>16085</v>
      </c>
      <c r="G4055" s="9"/>
      <c r="H4055" s="257" t="s">
        <v>22113</v>
      </c>
      <c r="I4055" s="9">
        <v>3</v>
      </c>
    </row>
    <row r="4056" spans="1:9">
      <c r="A4056" s="257" t="s">
        <v>5154</v>
      </c>
      <c r="B4056" s="9">
        <v>1</v>
      </c>
      <c r="C4056" s="257" t="s">
        <v>11582</v>
      </c>
      <c r="D4056" s="9">
        <v>0.1343968454009388</v>
      </c>
      <c r="E4056" s="9">
        <v>1721536.5294189453</v>
      </c>
      <c r="F4056" s="257" t="s">
        <v>16085</v>
      </c>
      <c r="G4056" s="9"/>
      <c r="H4056" s="257" t="s">
        <v>22114</v>
      </c>
      <c r="I4056" s="9">
        <v>3</v>
      </c>
    </row>
    <row r="4057" spans="1:9">
      <c r="A4057" s="257" t="s">
        <v>5155</v>
      </c>
      <c r="B4057" s="9">
        <v>1</v>
      </c>
      <c r="C4057" s="257" t="s">
        <v>11583</v>
      </c>
      <c r="D4057" s="9">
        <v>234.52600246077972</v>
      </c>
      <c r="E4057" s="9">
        <v>1721536.5294189453</v>
      </c>
      <c r="F4057" s="257" t="s">
        <v>16085</v>
      </c>
      <c r="G4057" s="9"/>
      <c r="H4057" s="257" t="s">
        <v>22115</v>
      </c>
      <c r="I4057" s="9">
        <v>3</v>
      </c>
    </row>
    <row r="4058" spans="1:9">
      <c r="A4058" s="257" t="s">
        <v>5156</v>
      </c>
      <c r="B4058" s="9">
        <v>1</v>
      </c>
      <c r="C4058" s="257" t="s">
        <v>11584</v>
      </c>
      <c r="D4058" s="9">
        <v>0</v>
      </c>
      <c r="E4058" s="9">
        <v>1721536.5294189453</v>
      </c>
      <c r="F4058" s="257" t="s">
        <v>16086</v>
      </c>
      <c r="G4058" s="9"/>
      <c r="H4058" s="257" t="s">
        <v>22116</v>
      </c>
      <c r="I4058" s="9">
        <v>3</v>
      </c>
    </row>
    <row r="4059" spans="1:9">
      <c r="A4059" s="257" t="s">
        <v>5157</v>
      </c>
      <c r="B4059" s="9">
        <v>1</v>
      </c>
      <c r="C4059" s="257" t="s">
        <v>11585</v>
      </c>
      <c r="D4059" s="9">
        <v>0</v>
      </c>
      <c r="E4059" s="9">
        <v>1721536.5294189453</v>
      </c>
      <c r="F4059" s="257" t="s">
        <v>16086</v>
      </c>
      <c r="G4059" s="9"/>
      <c r="H4059" s="257" t="s">
        <v>22117</v>
      </c>
      <c r="I4059" s="9">
        <v>3</v>
      </c>
    </row>
    <row r="4060" spans="1:9">
      <c r="A4060" s="257" t="s">
        <v>5158</v>
      </c>
      <c r="B4060" s="9">
        <v>1</v>
      </c>
      <c r="C4060" s="257" t="s">
        <v>11586</v>
      </c>
      <c r="D4060" s="9">
        <v>0</v>
      </c>
      <c r="E4060" s="9">
        <v>1721536.5294189453</v>
      </c>
      <c r="F4060" s="257" t="s">
        <v>16086</v>
      </c>
      <c r="G4060" s="9"/>
      <c r="H4060" s="257" t="s">
        <v>22118</v>
      </c>
      <c r="I4060" s="9">
        <v>3</v>
      </c>
    </row>
    <row r="4061" spans="1:9">
      <c r="A4061" s="257" t="s">
        <v>5159</v>
      </c>
      <c r="B4061" s="9">
        <v>1</v>
      </c>
      <c r="C4061" s="257" t="s">
        <v>11587</v>
      </c>
      <c r="D4061" s="9">
        <v>0</v>
      </c>
      <c r="E4061" s="9">
        <v>1721536.5294189453</v>
      </c>
      <c r="F4061" s="257" t="s">
        <v>16086</v>
      </c>
      <c r="G4061" s="9"/>
      <c r="H4061" s="257" t="s">
        <v>22119</v>
      </c>
      <c r="I4061" s="9">
        <v>3</v>
      </c>
    </row>
    <row r="4062" spans="1:9">
      <c r="A4062" s="257" t="s">
        <v>5160</v>
      </c>
      <c r="B4062" s="9">
        <v>2</v>
      </c>
      <c r="C4062" s="257" t="s">
        <v>11588</v>
      </c>
      <c r="D4062" s="9">
        <v>371304.27395629883</v>
      </c>
      <c r="E4062" s="9">
        <v>1728935.5716552734</v>
      </c>
      <c r="F4062" s="257" t="s">
        <v>16087</v>
      </c>
      <c r="G4062" s="9"/>
      <c r="H4062" s="257" t="s">
        <v>22120</v>
      </c>
      <c r="I4062" s="9">
        <v>3</v>
      </c>
    </row>
    <row r="4063" spans="1:9">
      <c r="A4063" s="257" t="s">
        <v>5161</v>
      </c>
      <c r="B4063" s="9">
        <v>2</v>
      </c>
      <c r="C4063" s="257" t="s">
        <v>11589</v>
      </c>
      <c r="D4063" s="9">
        <v>1221506233.8920085</v>
      </c>
      <c r="E4063" s="9">
        <v>1728935.5716552734</v>
      </c>
      <c r="F4063" s="257" t="s">
        <v>16087</v>
      </c>
      <c r="G4063" s="9"/>
      <c r="H4063" s="257" t="s">
        <v>22121</v>
      </c>
      <c r="I4063" s="9">
        <v>3</v>
      </c>
    </row>
    <row r="4064" spans="1:9">
      <c r="A4064" s="257" t="s">
        <v>5162</v>
      </c>
      <c r="B4064" s="9">
        <v>2</v>
      </c>
      <c r="C4064" s="257" t="s">
        <v>11590</v>
      </c>
      <c r="D4064" s="9">
        <v>0.21475888404610366</v>
      </c>
      <c r="E4064" s="9">
        <v>1728935.5716552734</v>
      </c>
      <c r="F4064" s="257" t="s">
        <v>16087</v>
      </c>
      <c r="G4064" s="9"/>
      <c r="H4064" s="257" t="s">
        <v>22122</v>
      </c>
      <c r="I4064" s="9">
        <v>3</v>
      </c>
    </row>
    <row r="4065" spans="1:9">
      <c r="A4065" s="257" t="s">
        <v>5163</v>
      </c>
      <c r="B4065" s="9">
        <v>2</v>
      </c>
      <c r="C4065" s="257" t="s">
        <v>11591</v>
      </c>
      <c r="D4065" s="9">
        <v>706.50766513094823</v>
      </c>
      <c r="E4065" s="9">
        <v>1728935.5716552734</v>
      </c>
      <c r="F4065" s="257" t="s">
        <v>16087</v>
      </c>
      <c r="G4065" s="9"/>
      <c r="H4065" s="257" t="s">
        <v>22123</v>
      </c>
      <c r="I4065" s="9">
        <v>3</v>
      </c>
    </row>
    <row r="4066" spans="1:9">
      <c r="A4066" s="257" t="s">
        <v>5164</v>
      </c>
      <c r="B4066" s="9">
        <v>2</v>
      </c>
      <c r="C4066" s="257" t="s">
        <v>11592</v>
      </c>
      <c r="D4066" s="9">
        <v>0</v>
      </c>
      <c r="E4066" s="9">
        <v>1728935.5716552734</v>
      </c>
      <c r="F4066" s="257" t="s">
        <v>16088</v>
      </c>
      <c r="G4066" s="9"/>
      <c r="H4066" s="257" t="s">
        <v>22124</v>
      </c>
      <c r="I4066" s="9">
        <v>3</v>
      </c>
    </row>
    <row r="4067" spans="1:9">
      <c r="A4067" s="257" t="s">
        <v>5165</v>
      </c>
      <c r="B4067" s="9">
        <v>2</v>
      </c>
      <c r="C4067" s="257" t="s">
        <v>11593</v>
      </c>
      <c r="D4067" s="9">
        <v>0</v>
      </c>
      <c r="E4067" s="9">
        <v>1728935.5716552734</v>
      </c>
      <c r="F4067" s="257" t="s">
        <v>16088</v>
      </c>
      <c r="G4067" s="9"/>
      <c r="H4067" s="257" t="s">
        <v>22125</v>
      </c>
      <c r="I4067" s="9">
        <v>3</v>
      </c>
    </row>
    <row r="4068" spans="1:9">
      <c r="A4068" s="257" t="s">
        <v>5166</v>
      </c>
      <c r="B4068" s="9">
        <v>2</v>
      </c>
      <c r="C4068" s="257" t="s">
        <v>11594</v>
      </c>
      <c r="D4068" s="9">
        <v>0</v>
      </c>
      <c r="E4068" s="9">
        <v>1728935.5716552734</v>
      </c>
      <c r="F4068" s="257" t="s">
        <v>16088</v>
      </c>
      <c r="G4068" s="9"/>
      <c r="H4068" s="257" t="s">
        <v>22126</v>
      </c>
      <c r="I4068" s="9">
        <v>3</v>
      </c>
    </row>
    <row r="4069" spans="1:9">
      <c r="A4069" s="257" t="s">
        <v>5167</v>
      </c>
      <c r="B4069" s="9">
        <v>2</v>
      </c>
      <c r="C4069" s="257" t="s">
        <v>11595</v>
      </c>
      <c r="D4069" s="9">
        <v>0</v>
      </c>
      <c r="E4069" s="9">
        <v>1728935.5716552734</v>
      </c>
      <c r="F4069" s="257" t="s">
        <v>16088</v>
      </c>
      <c r="G4069" s="9"/>
      <c r="H4069" s="257" t="s">
        <v>22127</v>
      </c>
      <c r="I4069" s="9">
        <v>3</v>
      </c>
    </row>
    <row r="4070" spans="1:9">
      <c r="A4070" s="257" t="s">
        <v>5168</v>
      </c>
      <c r="B4070" s="9">
        <v>2</v>
      </c>
      <c r="C4070" s="257" t="s">
        <v>11596</v>
      </c>
      <c r="D4070" s="9">
        <v>0</v>
      </c>
      <c r="E4070" s="9">
        <v>1728935.5716552734</v>
      </c>
      <c r="F4070" s="257" t="s">
        <v>16089</v>
      </c>
      <c r="G4070" s="9"/>
      <c r="H4070" s="257" t="s">
        <v>22128</v>
      </c>
      <c r="I4070" s="9">
        <v>3</v>
      </c>
    </row>
    <row r="4071" spans="1:9">
      <c r="A4071" s="257" t="s">
        <v>5169</v>
      </c>
      <c r="B4071" s="9">
        <v>2</v>
      </c>
      <c r="C4071" s="257" t="s">
        <v>11597</v>
      </c>
      <c r="D4071" s="9">
        <v>0</v>
      </c>
      <c r="E4071" s="9">
        <v>1728935.5716552734</v>
      </c>
      <c r="F4071" s="257" t="s">
        <v>16089</v>
      </c>
      <c r="G4071" s="9"/>
      <c r="H4071" s="257" t="s">
        <v>22129</v>
      </c>
      <c r="I4071" s="9">
        <v>3</v>
      </c>
    </row>
    <row r="4072" spans="1:9">
      <c r="A4072" s="257" t="s">
        <v>5170</v>
      </c>
      <c r="B4072" s="9">
        <v>2</v>
      </c>
      <c r="C4072" s="257" t="s">
        <v>11598</v>
      </c>
      <c r="D4072" s="9">
        <v>0</v>
      </c>
      <c r="E4072" s="9">
        <v>1728935.5716552734</v>
      </c>
      <c r="F4072" s="257" t="s">
        <v>16089</v>
      </c>
      <c r="G4072" s="9"/>
      <c r="H4072" s="257" t="s">
        <v>22130</v>
      </c>
      <c r="I4072" s="9">
        <v>3</v>
      </c>
    </row>
    <row r="4073" spans="1:9">
      <c r="A4073" s="257" t="s">
        <v>5171</v>
      </c>
      <c r="B4073" s="9">
        <v>2</v>
      </c>
      <c r="C4073" s="257" t="s">
        <v>11599</v>
      </c>
      <c r="D4073" s="9">
        <v>0</v>
      </c>
      <c r="E4073" s="9">
        <v>1728935.5716552734</v>
      </c>
      <c r="F4073" s="257" t="s">
        <v>16089</v>
      </c>
      <c r="G4073" s="9"/>
      <c r="H4073" s="257" t="s">
        <v>22131</v>
      </c>
      <c r="I4073" s="9">
        <v>3</v>
      </c>
    </row>
    <row r="4074" spans="1:9">
      <c r="A4074" s="257" t="s">
        <v>5172</v>
      </c>
      <c r="B4074" s="9">
        <v>2</v>
      </c>
      <c r="C4074" s="257" t="s">
        <v>11600</v>
      </c>
      <c r="D4074" s="9">
        <v>0</v>
      </c>
      <c r="E4074" s="9">
        <v>1728935.5716552734</v>
      </c>
      <c r="F4074" s="257" t="s">
        <v>16090</v>
      </c>
      <c r="G4074" s="9"/>
      <c r="H4074" s="257" t="s">
        <v>22132</v>
      </c>
      <c r="I4074" s="9">
        <v>3</v>
      </c>
    </row>
    <row r="4075" spans="1:9">
      <c r="A4075" s="257" t="s">
        <v>5173</v>
      </c>
      <c r="B4075" s="9">
        <v>2</v>
      </c>
      <c r="C4075" s="257" t="s">
        <v>11601</v>
      </c>
      <c r="D4075" s="9">
        <v>0</v>
      </c>
      <c r="E4075" s="9">
        <v>1728935.5716552734</v>
      </c>
      <c r="F4075" s="257" t="s">
        <v>16090</v>
      </c>
      <c r="G4075" s="9"/>
      <c r="H4075" s="257" t="s">
        <v>22133</v>
      </c>
      <c r="I4075" s="9">
        <v>3</v>
      </c>
    </row>
    <row r="4076" spans="1:9">
      <c r="A4076" s="257" t="s">
        <v>5174</v>
      </c>
      <c r="B4076" s="9">
        <v>2</v>
      </c>
      <c r="C4076" s="257" t="s">
        <v>11602</v>
      </c>
      <c r="D4076" s="9">
        <v>0</v>
      </c>
      <c r="E4076" s="9">
        <v>1728935.5716552734</v>
      </c>
      <c r="F4076" s="257" t="s">
        <v>16090</v>
      </c>
      <c r="G4076" s="9"/>
      <c r="H4076" s="257" t="s">
        <v>22134</v>
      </c>
      <c r="I4076" s="9">
        <v>3</v>
      </c>
    </row>
    <row r="4077" spans="1:9">
      <c r="A4077" s="257" t="s">
        <v>5175</v>
      </c>
      <c r="B4077" s="9">
        <v>2</v>
      </c>
      <c r="C4077" s="257" t="s">
        <v>11603</v>
      </c>
      <c r="D4077" s="9">
        <v>0</v>
      </c>
      <c r="E4077" s="9">
        <v>1728935.5716552734</v>
      </c>
      <c r="F4077" s="257" t="s">
        <v>16090</v>
      </c>
      <c r="G4077" s="9"/>
      <c r="H4077" s="257" t="s">
        <v>22135</v>
      </c>
      <c r="I4077" s="9">
        <v>3</v>
      </c>
    </row>
    <row r="4078" spans="1:9">
      <c r="A4078" s="257" t="s">
        <v>5176</v>
      </c>
      <c r="B4078" s="9">
        <v>2</v>
      </c>
      <c r="C4078" s="257" t="s">
        <v>11604</v>
      </c>
      <c r="D4078" s="9">
        <v>0</v>
      </c>
      <c r="E4078" s="9">
        <v>1728935.5716552734</v>
      </c>
      <c r="F4078" s="257" t="s">
        <v>16091</v>
      </c>
      <c r="G4078" s="9"/>
      <c r="H4078" s="257" t="s">
        <v>22136</v>
      </c>
      <c r="I4078" s="9">
        <v>3</v>
      </c>
    </row>
    <row r="4079" spans="1:9">
      <c r="A4079" s="257" t="s">
        <v>5177</v>
      </c>
      <c r="B4079" s="9">
        <v>2</v>
      </c>
      <c r="C4079" s="257" t="s">
        <v>11605</v>
      </c>
      <c r="D4079" s="9">
        <v>0</v>
      </c>
      <c r="E4079" s="9">
        <v>1728935.5716552734</v>
      </c>
      <c r="F4079" s="257" t="s">
        <v>16091</v>
      </c>
      <c r="G4079" s="9"/>
      <c r="H4079" s="257" t="s">
        <v>22137</v>
      </c>
      <c r="I4079" s="9">
        <v>3</v>
      </c>
    </row>
    <row r="4080" spans="1:9">
      <c r="A4080" s="257" t="s">
        <v>5178</v>
      </c>
      <c r="B4080" s="9">
        <v>2</v>
      </c>
      <c r="C4080" s="257" t="s">
        <v>11606</v>
      </c>
      <c r="D4080" s="9">
        <v>0</v>
      </c>
      <c r="E4080" s="9">
        <v>1728935.5716552734</v>
      </c>
      <c r="F4080" s="257" t="s">
        <v>16091</v>
      </c>
      <c r="G4080" s="9"/>
      <c r="H4080" s="257" t="s">
        <v>22138</v>
      </c>
      <c r="I4080" s="9">
        <v>3</v>
      </c>
    </row>
    <row r="4081" spans="1:9">
      <c r="A4081" s="257" t="s">
        <v>5179</v>
      </c>
      <c r="B4081" s="9">
        <v>2</v>
      </c>
      <c r="C4081" s="257" t="s">
        <v>11607</v>
      </c>
      <c r="D4081" s="9">
        <v>0</v>
      </c>
      <c r="E4081" s="9">
        <v>1728935.5716552734</v>
      </c>
      <c r="F4081" s="257" t="s">
        <v>16091</v>
      </c>
      <c r="G4081" s="9"/>
      <c r="H4081" s="257" t="s">
        <v>22139</v>
      </c>
      <c r="I4081" s="9">
        <v>3</v>
      </c>
    </row>
    <row r="4082" spans="1:9">
      <c r="A4082" s="257" t="s">
        <v>5180</v>
      </c>
      <c r="B4082" s="9">
        <v>2</v>
      </c>
      <c r="C4082" s="257" t="s">
        <v>11608</v>
      </c>
      <c r="D4082" s="9">
        <v>0</v>
      </c>
      <c r="E4082" s="9">
        <v>1728935.5716552734</v>
      </c>
      <c r="F4082" s="257" t="s">
        <v>16092</v>
      </c>
      <c r="G4082" s="9"/>
      <c r="H4082" s="257" t="s">
        <v>22140</v>
      </c>
      <c r="I4082" s="9">
        <v>3</v>
      </c>
    </row>
    <row r="4083" spans="1:9">
      <c r="A4083" s="257" t="s">
        <v>5181</v>
      </c>
      <c r="B4083" s="9">
        <v>2</v>
      </c>
      <c r="C4083" s="257" t="s">
        <v>11609</v>
      </c>
      <c r="D4083" s="9">
        <v>0</v>
      </c>
      <c r="E4083" s="9">
        <v>1728935.5716552734</v>
      </c>
      <c r="F4083" s="257" t="s">
        <v>16092</v>
      </c>
      <c r="G4083" s="9"/>
      <c r="H4083" s="257" t="s">
        <v>22141</v>
      </c>
      <c r="I4083" s="9">
        <v>3</v>
      </c>
    </row>
    <row r="4084" spans="1:9">
      <c r="A4084" s="257" t="s">
        <v>5182</v>
      </c>
      <c r="B4084" s="9">
        <v>2</v>
      </c>
      <c r="C4084" s="257" t="s">
        <v>11610</v>
      </c>
      <c r="D4084" s="9">
        <v>0</v>
      </c>
      <c r="E4084" s="9">
        <v>1728935.5716552734</v>
      </c>
      <c r="F4084" s="257" t="s">
        <v>16092</v>
      </c>
      <c r="G4084" s="9"/>
      <c r="H4084" s="257" t="s">
        <v>22142</v>
      </c>
      <c r="I4084" s="9">
        <v>3</v>
      </c>
    </row>
    <row r="4085" spans="1:9">
      <c r="A4085" s="257" t="s">
        <v>5183</v>
      </c>
      <c r="B4085" s="9">
        <v>2</v>
      </c>
      <c r="C4085" s="257" t="s">
        <v>11611</v>
      </c>
      <c r="D4085" s="9">
        <v>0</v>
      </c>
      <c r="E4085" s="9">
        <v>1728935.5716552734</v>
      </c>
      <c r="F4085" s="257" t="s">
        <v>16092</v>
      </c>
      <c r="G4085" s="9"/>
      <c r="H4085" s="257" t="s">
        <v>22143</v>
      </c>
      <c r="I4085" s="9">
        <v>3</v>
      </c>
    </row>
    <row r="4086" spans="1:9">
      <c r="A4086" s="257" t="s">
        <v>5184</v>
      </c>
      <c r="B4086" s="9">
        <v>2</v>
      </c>
      <c r="C4086" s="257" t="s">
        <v>11612</v>
      </c>
      <c r="D4086" s="9">
        <v>0</v>
      </c>
      <c r="E4086" s="9">
        <v>1728935.5716552734</v>
      </c>
      <c r="F4086" s="257" t="s">
        <v>16093</v>
      </c>
      <c r="G4086" s="9"/>
      <c r="H4086" s="257" t="s">
        <v>22144</v>
      </c>
      <c r="I4086" s="9">
        <v>3</v>
      </c>
    </row>
    <row r="4087" spans="1:9">
      <c r="A4087" s="257" t="s">
        <v>5185</v>
      </c>
      <c r="B4087" s="9">
        <v>2</v>
      </c>
      <c r="C4087" s="257" t="s">
        <v>11613</v>
      </c>
      <c r="D4087" s="9">
        <v>0</v>
      </c>
      <c r="E4087" s="9">
        <v>1728935.5716552734</v>
      </c>
      <c r="F4087" s="257" t="s">
        <v>16093</v>
      </c>
      <c r="G4087" s="9"/>
      <c r="H4087" s="257" t="s">
        <v>22145</v>
      </c>
      <c r="I4087" s="9">
        <v>3</v>
      </c>
    </row>
    <row r="4088" spans="1:9">
      <c r="A4088" s="257" t="s">
        <v>5186</v>
      </c>
      <c r="B4088" s="9">
        <v>2</v>
      </c>
      <c r="C4088" s="257" t="s">
        <v>11614</v>
      </c>
      <c r="D4088" s="9">
        <v>0</v>
      </c>
      <c r="E4088" s="9">
        <v>1728935.5716552734</v>
      </c>
      <c r="F4088" s="257" t="s">
        <v>16093</v>
      </c>
      <c r="G4088" s="9"/>
      <c r="H4088" s="257" t="s">
        <v>22146</v>
      </c>
      <c r="I4088" s="9">
        <v>3</v>
      </c>
    </row>
    <row r="4089" spans="1:9">
      <c r="A4089" s="257" t="s">
        <v>5187</v>
      </c>
      <c r="B4089" s="9">
        <v>2</v>
      </c>
      <c r="C4089" s="257" t="s">
        <v>11615</v>
      </c>
      <c r="D4089" s="9">
        <v>0</v>
      </c>
      <c r="E4089" s="9">
        <v>1728935.5716552734</v>
      </c>
      <c r="F4089" s="257" t="s">
        <v>16093</v>
      </c>
      <c r="G4089" s="9"/>
      <c r="H4089" s="257" t="s">
        <v>22147</v>
      </c>
      <c r="I4089" s="9">
        <v>3</v>
      </c>
    </row>
    <row r="4090" spans="1:9">
      <c r="A4090" s="257" t="s">
        <v>5188</v>
      </c>
      <c r="B4090" s="9">
        <v>2</v>
      </c>
      <c r="C4090" s="257" t="s">
        <v>11616</v>
      </c>
      <c r="D4090" s="9">
        <v>0</v>
      </c>
      <c r="E4090" s="9">
        <v>1728935.5716552734</v>
      </c>
      <c r="F4090" s="257" t="s">
        <v>16094</v>
      </c>
      <c r="G4090" s="9"/>
      <c r="H4090" s="257" t="s">
        <v>22148</v>
      </c>
      <c r="I4090" s="9">
        <v>3</v>
      </c>
    </row>
    <row r="4091" spans="1:9">
      <c r="A4091" s="257" t="s">
        <v>5189</v>
      </c>
      <c r="B4091" s="9">
        <v>2</v>
      </c>
      <c r="C4091" s="257" t="s">
        <v>11617</v>
      </c>
      <c r="D4091" s="9">
        <v>0</v>
      </c>
      <c r="E4091" s="9">
        <v>1728935.5716552734</v>
      </c>
      <c r="F4091" s="257" t="s">
        <v>16094</v>
      </c>
      <c r="G4091" s="9"/>
      <c r="H4091" s="257" t="s">
        <v>22149</v>
      </c>
      <c r="I4091" s="9">
        <v>3</v>
      </c>
    </row>
    <row r="4092" spans="1:9">
      <c r="A4092" s="257" t="s">
        <v>5190</v>
      </c>
      <c r="B4092" s="9">
        <v>2</v>
      </c>
      <c r="C4092" s="257" t="s">
        <v>11618</v>
      </c>
      <c r="D4092" s="9">
        <v>0</v>
      </c>
      <c r="E4092" s="9">
        <v>1728935.5716552734</v>
      </c>
      <c r="F4092" s="257" t="s">
        <v>16094</v>
      </c>
      <c r="G4092" s="9"/>
      <c r="H4092" s="257" t="s">
        <v>22150</v>
      </c>
      <c r="I4092" s="9">
        <v>3</v>
      </c>
    </row>
    <row r="4093" spans="1:9">
      <c r="A4093" s="257" t="s">
        <v>5191</v>
      </c>
      <c r="B4093" s="9">
        <v>2</v>
      </c>
      <c r="C4093" s="257" t="s">
        <v>11619</v>
      </c>
      <c r="D4093" s="9">
        <v>0</v>
      </c>
      <c r="E4093" s="9">
        <v>1728935.5716552734</v>
      </c>
      <c r="F4093" s="257" t="s">
        <v>16094</v>
      </c>
      <c r="G4093" s="9"/>
      <c r="H4093" s="257" t="s">
        <v>22151</v>
      </c>
      <c r="I4093" s="9">
        <v>3</v>
      </c>
    </row>
    <row r="4094" spans="1:9">
      <c r="A4094" s="257" t="s">
        <v>5192</v>
      </c>
      <c r="B4094" s="9">
        <v>2</v>
      </c>
      <c r="C4094" s="257" t="s">
        <v>11620</v>
      </c>
      <c r="D4094" s="9">
        <v>1728935.5716552734</v>
      </c>
      <c r="E4094" s="9">
        <v>1728935.5716552734</v>
      </c>
      <c r="F4094" s="257" t="s">
        <v>16095</v>
      </c>
      <c r="G4094" s="9"/>
      <c r="H4094" s="257" t="s">
        <v>22152</v>
      </c>
      <c r="I4094" s="9">
        <v>3</v>
      </c>
    </row>
    <row r="4095" spans="1:9">
      <c r="A4095" s="257" t="s">
        <v>5193</v>
      </c>
      <c r="B4095" s="9">
        <v>2</v>
      </c>
      <c r="C4095" s="257" t="s">
        <v>11621</v>
      </c>
      <c r="D4095" s="9">
        <v>2101663871.8361347</v>
      </c>
      <c r="E4095" s="9">
        <v>1728935.5716552734</v>
      </c>
      <c r="F4095" s="257" t="s">
        <v>16095</v>
      </c>
      <c r="G4095" s="9"/>
      <c r="H4095" s="257" t="s">
        <v>22153</v>
      </c>
      <c r="I4095" s="9">
        <v>3</v>
      </c>
    </row>
    <row r="4096" spans="1:9">
      <c r="A4096" s="257" t="s">
        <v>5194</v>
      </c>
      <c r="B4096" s="9">
        <v>2</v>
      </c>
      <c r="C4096" s="257" t="s">
        <v>11622</v>
      </c>
      <c r="D4096" s="9">
        <v>1</v>
      </c>
      <c r="E4096" s="9">
        <v>1728935.5716552734</v>
      </c>
      <c r="F4096" s="257" t="s">
        <v>16095</v>
      </c>
      <c r="G4096" s="9"/>
      <c r="H4096" s="257" t="s">
        <v>22154</v>
      </c>
      <c r="I4096" s="9">
        <v>3</v>
      </c>
    </row>
    <row r="4097" spans="1:9">
      <c r="A4097" s="257" t="s">
        <v>5195</v>
      </c>
      <c r="B4097" s="9">
        <v>2</v>
      </c>
      <c r="C4097" s="257" t="s">
        <v>11623</v>
      </c>
      <c r="D4097" s="9">
        <v>1215.5825273604692</v>
      </c>
      <c r="E4097" s="9">
        <v>1728935.5716552734</v>
      </c>
      <c r="F4097" s="257" t="s">
        <v>16095</v>
      </c>
      <c r="G4097" s="9"/>
      <c r="H4097" s="257" t="s">
        <v>22155</v>
      </c>
      <c r="I4097" s="9">
        <v>3</v>
      </c>
    </row>
    <row r="4098" spans="1:9">
      <c r="A4098" s="257" t="s">
        <v>5196</v>
      </c>
      <c r="B4098" s="9">
        <v>2</v>
      </c>
      <c r="C4098" s="257" t="s">
        <v>11624</v>
      </c>
      <c r="D4098" s="9">
        <v>1728935.5716552734</v>
      </c>
      <c r="E4098" s="9">
        <v>1728935.5716552734</v>
      </c>
      <c r="F4098" s="257" t="s">
        <v>16096</v>
      </c>
      <c r="G4098" s="9"/>
      <c r="H4098" s="257" t="s">
        <v>22156</v>
      </c>
      <c r="I4098" s="9">
        <v>3</v>
      </c>
    </row>
    <row r="4099" spans="1:9">
      <c r="A4099" s="257" t="s">
        <v>5197</v>
      </c>
      <c r="B4099" s="9">
        <v>2</v>
      </c>
      <c r="C4099" s="257" t="s">
        <v>11625</v>
      </c>
      <c r="D4099" s="9">
        <v>2101663871.8361347</v>
      </c>
      <c r="E4099" s="9">
        <v>1728935.5716552734</v>
      </c>
      <c r="F4099" s="257" t="s">
        <v>16096</v>
      </c>
      <c r="G4099" s="9"/>
      <c r="H4099" s="257" t="s">
        <v>22157</v>
      </c>
      <c r="I4099" s="9">
        <v>3</v>
      </c>
    </row>
    <row r="4100" spans="1:9">
      <c r="A4100" s="257" t="s">
        <v>5198</v>
      </c>
      <c r="B4100" s="9">
        <v>2</v>
      </c>
      <c r="C4100" s="257" t="s">
        <v>11626</v>
      </c>
      <c r="D4100" s="9">
        <v>1</v>
      </c>
      <c r="E4100" s="9">
        <v>1728935.5716552734</v>
      </c>
      <c r="F4100" s="257" t="s">
        <v>16096</v>
      </c>
      <c r="G4100" s="9"/>
      <c r="H4100" s="257" t="s">
        <v>22158</v>
      </c>
      <c r="I4100" s="9">
        <v>3</v>
      </c>
    </row>
    <row r="4101" spans="1:9">
      <c r="A4101" s="257" t="s">
        <v>5199</v>
      </c>
      <c r="B4101" s="9">
        <v>2</v>
      </c>
      <c r="C4101" s="257" t="s">
        <v>11627</v>
      </c>
      <c r="D4101" s="9">
        <v>1215.5825273604692</v>
      </c>
      <c r="E4101" s="9">
        <v>1728935.5716552734</v>
      </c>
      <c r="F4101" s="257" t="s">
        <v>16096</v>
      </c>
      <c r="G4101" s="9"/>
      <c r="H4101" s="257" t="s">
        <v>22159</v>
      </c>
      <c r="I4101" s="9">
        <v>3</v>
      </c>
    </row>
    <row r="4102" spans="1:9">
      <c r="A4102" s="257" t="s">
        <v>5200</v>
      </c>
      <c r="B4102" s="9">
        <v>2</v>
      </c>
      <c r="C4102" s="257" t="s">
        <v>11628</v>
      </c>
      <c r="D4102" s="9">
        <v>1728935.5716552734</v>
      </c>
      <c r="E4102" s="9">
        <v>1728935.5716552734</v>
      </c>
      <c r="F4102" s="257" t="s">
        <v>16097</v>
      </c>
      <c r="G4102" s="9"/>
      <c r="H4102" s="257" t="s">
        <v>22160</v>
      </c>
      <c r="I4102" s="9">
        <v>3</v>
      </c>
    </row>
    <row r="4103" spans="1:9">
      <c r="A4103" s="257" t="s">
        <v>5201</v>
      </c>
      <c r="B4103" s="9">
        <v>2</v>
      </c>
      <c r="C4103" s="257" t="s">
        <v>11629</v>
      </c>
      <c r="D4103" s="9">
        <v>2101663871.8361347</v>
      </c>
      <c r="E4103" s="9">
        <v>1728935.5716552734</v>
      </c>
      <c r="F4103" s="257" t="s">
        <v>16097</v>
      </c>
      <c r="G4103" s="9"/>
      <c r="H4103" s="257" t="s">
        <v>22161</v>
      </c>
      <c r="I4103" s="9">
        <v>3</v>
      </c>
    </row>
    <row r="4104" spans="1:9">
      <c r="A4104" s="257" t="s">
        <v>5202</v>
      </c>
      <c r="B4104" s="9">
        <v>2</v>
      </c>
      <c r="C4104" s="257" t="s">
        <v>11630</v>
      </c>
      <c r="D4104" s="9">
        <v>1</v>
      </c>
      <c r="E4104" s="9">
        <v>1728935.5716552734</v>
      </c>
      <c r="F4104" s="257" t="s">
        <v>16097</v>
      </c>
      <c r="G4104" s="9"/>
      <c r="H4104" s="257" t="s">
        <v>22162</v>
      </c>
      <c r="I4104" s="9">
        <v>3</v>
      </c>
    </row>
    <row r="4105" spans="1:9">
      <c r="A4105" s="257" t="s">
        <v>5203</v>
      </c>
      <c r="B4105" s="9">
        <v>2</v>
      </c>
      <c r="C4105" s="257" t="s">
        <v>11631</v>
      </c>
      <c r="D4105" s="9">
        <v>1215.5825273604692</v>
      </c>
      <c r="E4105" s="9">
        <v>1728935.5716552734</v>
      </c>
      <c r="F4105" s="257" t="s">
        <v>16097</v>
      </c>
      <c r="G4105" s="9"/>
      <c r="H4105" s="257" t="s">
        <v>22163</v>
      </c>
      <c r="I4105" s="9">
        <v>3</v>
      </c>
    </row>
    <row r="4106" spans="1:9">
      <c r="A4106" s="257" t="s">
        <v>5204</v>
      </c>
      <c r="B4106" s="9">
        <v>2</v>
      </c>
      <c r="C4106" s="257" t="s">
        <v>11632</v>
      </c>
      <c r="D4106" s="9">
        <v>1728935.5716552734</v>
      </c>
      <c r="E4106" s="9">
        <v>1728935.5716552734</v>
      </c>
      <c r="F4106" s="257" t="s">
        <v>16098</v>
      </c>
      <c r="G4106" s="9"/>
      <c r="H4106" s="257" t="s">
        <v>22164</v>
      </c>
      <c r="I4106" s="9">
        <v>3</v>
      </c>
    </row>
    <row r="4107" spans="1:9">
      <c r="A4107" s="257" t="s">
        <v>5205</v>
      </c>
      <c r="B4107" s="9">
        <v>2</v>
      </c>
      <c r="C4107" s="257" t="s">
        <v>11633</v>
      </c>
      <c r="D4107" s="9">
        <v>886579772.77209437</v>
      </c>
      <c r="E4107" s="9">
        <v>1728935.5716552734</v>
      </c>
      <c r="F4107" s="257" t="s">
        <v>16098</v>
      </c>
      <c r="G4107" s="9"/>
      <c r="H4107" s="257" t="s">
        <v>22165</v>
      </c>
      <c r="I4107" s="9">
        <v>3</v>
      </c>
    </row>
    <row r="4108" spans="1:9">
      <c r="A4108" s="257" t="s">
        <v>5206</v>
      </c>
      <c r="B4108" s="9">
        <v>2</v>
      </c>
      <c r="C4108" s="257" t="s">
        <v>11634</v>
      </c>
      <c r="D4108" s="9">
        <v>1</v>
      </c>
      <c r="E4108" s="9">
        <v>1728935.5716552734</v>
      </c>
      <c r="F4108" s="257" t="s">
        <v>16098</v>
      </c>
      <c r="G4108" s="9"/>
      <c r="H4108" s="257" t="s">
        <v>22166</v>
      </c>
      <c r="I4108" s="9">
        <v>3</v>
      </c>
    </row>
    <row r="4109" spans="1:9">
      <c r="A4109" s="257" t="s">
        <v>5207</v>
      </c>
      <c r="B4109" s="9">
        <v>2</v>
      </c>
      <c r="C4109" s="257" t="s">
        <v>11635</v>
      </c>
      <c r="D4109" s="9">
        <v>512.78936433894285</v>
      </c>
      <c r="E4109" s="9">
        <v>1728935.5716552734</v>
      </c>
      <c r="F4109" s="257" t="s">
        <v>16098</v>
      </c>
      <c r="G4109" s="9"/>
      <c r="H4109" s="257" t="s">
        <v>22167</v>
      </c>
      <c r="I4109" s="9">
        <v>3</v>
      </c>
    </row>
    <row r="4110" spans="1:9">
      <c r="A4110" s="257" t="s">
        <v>5208</v>
      </c>
      <c r="B4110" s="9">
        <v>2</v>
      </c>
      <c r="C4110" s="257" t="s">
        <v>11636</v>
      </c>
      <c r="D4110" s="9">
        <v>407549.17483520508</v>
      </c>
      <c r="E4110" s="9">
        <v>1728935.5716552734</v>
      </c>
      <c r="F4110" s="257" t="s">
        <v>16099</v>
      </c>
      <c r="G4110" s="9"/>
      <c r="H4110" s="257" t="s">
        <v>22168</v>
      </c>
      <c r="I4110" s="9">
        <v>3</v>
      </c>
    </row>
    <row r="4111" spans="1:9">
      <c r="A4111" s="257" t="s">
        <v>5209</v>
      </c>
      <c r="B4111" s="9">
        <v>2</v>
      </c>
      <c r="C4111" s="257" t="s">
        <v>11637</v>
      </c>
      <c r="D4111" s="9">
        <v>909008921.40612173</v>
      </c>
      <c r="E4111" s="9">
        <v>1728935.5716552734</v>
      </c>
      <c r="F4111" s="257" t="s">
        <v>16099</v>
      </c>
      <c r="G4111" s="9"/>
      <c r="H4111" s="257" t="s">
        <v>22169</v>
      </c>
      <c r="I4111" s="9">
        <v>3</v>
      </c>
    </row>
    <row r="4112" spans="1:9">
      <c r="A4112" s="257" t="s">
        <v>5210</v>
      </c>
      <c r="B4112" s="9">
        <v>2</v>
      </c>
      <c r="C4112" s="257" t="s">
        <v>11638</v>
      </c>
      <c r="D4112" s="9">
        <v>0.23572259227972256</v>
      </c>
      <c r="E4112" s="9">
        <v>1728935.5716552734</v>
      </c>
      <c r="F4112" s="257" t="s">
        <v>16099</v>
      </c>
      <c r="G4112" s="9"/>
      <c r="H4112" s="257" t="s">
        <v>22170</v>
      </c>
      <c r="I4112" s="9">
        <v>3</v>
      </c>
    </row>
    <row r="4113" spans="1:9">
      <c r="A4113" s="257" t="s">
        <v>5211</v>
      </c>
      <c r="B4113" s="9">
        <v>2</v>
      </c>
      <c r="C4113" s="257" t="s">
        <v>11639</v>
      </c>
      <c r="D4113" s="9">
        <v>525.76217200265103</v>
      </c>
      <c r="E4113" s="9">
        <v>1728935.5716552734</v>
      </c>
      <c r="F4113" s="257" t="s">
        <v>16099</v>
      </c>
      <c r="G4113" s="9"/>
      <c r="H4113" s="257" t="s">
        <v>22171</v>
      </c>
      <c r="I4113" s="9">
        <v>3</v>
      </c>
    </row>
    <row r="4114" spans="1:9">
      <c r="A4114" s="257" t="s">
        <v>5212</v>
      </c>
      <c r="B4114" s="9">
        <v>2</v>
      </c>
      <c r="C4114" s="257" t="s">
        <v>11640</v>
      </c>
      <c r="D4114" s="9">
        <v>1728935.5716552734</v>
      </c>
      <c r="E4114" s="9">
        <v>1728935.5716552734</v>
      </c>
      <c r="F4114" s="257" t="s">
        <v>16100</v>
      </c>
      <c r="G4114" s="9"/>
      <c r="H4114" s="257" t="s">
        <v>22172</v>
      </c>
      <c r="I4114" s="9">
        <v>3</v>
      </c>
    </row>
    <row r="4115" spans="1:9">
      <c r="A4115" s="257" t="s">
        <v>5213</v>
      </c>
      <c r="B4115" s="9">
        <v>2</v>
      </c>
      <c r="C4115" s="257" t="s">
        <v>11641</v>
      </c>
      <c r="D4115" s="9">
        <v>3010672793.2422562</v>
      </c>
      <c r="E4115" s="9">
        <v>1728935.5716552734</v>
      </c>
      <c r="F4115" s="257" t="s">
        <v>16100</v>
      </c>
      <c r="G4115" s="9"/>
      <c r="H4115" s="257" t="s">
        <v>22173</v>
      </c>
      <c r="I4115" s="9">
        <v>3</v>
      </c>
    </row>
    <row r="4116" spans="1:9">
      <c r="A4116" s="257" t="s">
        <v>5214</v>
      </c>
      <c r="B4116" s="9">
        <v>2</v>
      </c>
      <c r="C4116" s="257" t="s">
        <v>11642</v>
      </c>
      <c r="D4116" s="9">
        <v>1</v>
      </c>
      <c r="E4116" s="9">
        <v>1728935.5716552734</v>
      </c>
      <c r="F4116" s="257" t="s">
        <v>16100</v>
      </c>
      <c r="G4116" s="9"/>
      <c r="H4116" s="257" t="s">
        <v>22174</v>
      </c>
      <c r="I4116" s="9">
        <v>3</v>
      </c>
    </row>
    <row r="4117" spans="1:9">
      <c r="A4117" s="257" t="s">
        <v>5215</v>
      </c>
      <c r="B4117" s="9">
        <v>2</v>
      </c>
      <c r="C4117" s="257" t="s">
        <v>11643</v>
      </c>
      <c r="D4117" s="9">
        <v>1741.3446993631201</v>
      </c>
      <c r="E4117" s="9">
        <v>1728935.5716552734</v>
      </c>
      <c r="F4117" s="257" t="s">
        <v>16100</v>
      </c>
      <c r="G4117" s="9"/>
      <c r="H4117" s="257" t="s">
        <v>22175</v>
      </c>
      <c r="I4117" s="9">
        <v>3</v>
      </c>
    </row>
    <row r="4118" spans="1:9">
      <c r="A4118" s="257" t="s">
        <v>5216</v>
      </c>
      <c r="B4118" s="9">
        <v>2</v>
      </c>
      <c r="C4118" s="257" t="s">
        <v>11644</v>
      </c>
      <c r="D4118" s="9">
        <v>1728935.5716552734</v>
      </c>
      <c r="E4118" s="9">
        <v>1728935.5716552734</v>
      </c>
      <c r="F4118" s="257" t="s">
        <v>16101</v>
      </c>
      <c r="G4118" s="9"/>
      <c r="H4118" s="257" t="s">
        <v>22176</v>
      </c>
      <c r="I4118" s="9">
        <v>3</v>
      </c>
    </row>
    <row r="4119" spans="1:9">
      <c r="A4119" s="257" t="s">
        <v>5217</v>
      </c>
      <c r="B4119" s="9">
        <v>2</v>
      </c>
      <c r="C4119" s="257" t="s">
        <v>11645</v>
      </c>
      <c r="D4119" s="9">
        <v>3010672793.2422562</v>
      </c>
      <c r="E4119" s="9">
        <v>1728935.5716552734</v>
      </c>
      <c r="F4119" s="257" t="s">
        <v>16101</v>
      </c>
      <c r="G4119" s="9"/>
      <c r="H4119" s="257" t="s">
        <v>22177</v>
      </c>
      <c r="I4119" s="9">
        <v>3</v>
      </c>
    </row>
    <row r="4120" spans="1:9">
      <c r="A4120" s="257" t="s">
        <v>5218</v>
      </c>
      <c r="B4120" s="9">
        <v>2</v>
      </c>
      <c r="C4120" s="257" t="s">
        <v>11646</v>
      </c>
      <c r="D4120" s="9">
        <v>1</v>
      </c>
      <c r="E4120" s="9">
        <v>1728935.5716552734</v>
      </c>
      <c r="F4120" s="257" t="s">
        <v>16101</v>
      </c>
      <c r="G4120" s="9"/>
      <c r="H4120" s="257" t="s">
        <v>22178</v>
      </c>
      <c r="I4120" s="9">
        <v>3</v>
      </c>
    </row>
    <row r="4121" spans="1:9">
      <c r="A4121" s="257" t="s">
        <v>5219</v>
      </c>
      <c r="B4121" s="9">
        <v>2</v>
      </c>
      <c r="C4121" s="257" t="s">
        <v>11647</v>
      </c>
      <c r="D4121" s="9">
        <v>1741.3446993631201</v>
      </c>
      <c r="E4121" s="9">
        <v>1728935.5716552734</v>
      </c>
      <c r="F4121" s="257" t="s">
        <v>16101</v>
      </c>
      <c r="G4121" s="9"/>
      <c r="H4121" s="257" t="s">
        <v>22179</v>
      </c>
      <c r="I4121" s="9">
        <v>3</v>
      </c>
    </row>
    <row r="4122" spans="1:9">
      <c r="A4122" s="257" t="s">
        <v>5220</v>
      </c>
      <c r="B4122" s="9">
        <v>2</v>
      </c>
      <c r="C4122" s="257" t="s">
        <v>11648</v>
      </c>
      <c r="D4122" s="9">
        <v>460319.74406433105</v>
      </c>
      <c r="E4122" s="9">
        <v>1728935.5716552734</v>
      </c>
      <c r="F4122" s="257" t="s">
        <v>16102</v>
      </c>
      <c r="G4122" s="9"/>
      <c r="H4122" s="257" t="s">
        <v>22180</v>
      </c>
      <c r="I4122" s="9">
        <v>3</v>
      </c>
    </row>
    <row r="4123" spans="1:9">
      <c r="A4123" s="257" t="s">
        <v>5221</v>
      </c>
      <c r="B4123" s="9">
        <v>2</v>
      </c>
      <c r="C4123" s="257" t="s">
        <v>11649</v>
      </c>
      <c r="D4123" s="9">
        <v>832708740.84426057</v>
      </c>
      <c r="E4123" s="9">
        <v>1728935.5716552734</v>
      </c>
      <c r="F4123" s="257" t="s">
        <v>16102</v>
      </c>
      <c r="G4123" s="9"/>
      <c r="H4123" s="257" t="s">
        <v>22181</v>
      </c>
      <c r="I4123" s="9">
        <v>3</v>
      </c>
    </row>
    <row r="4124" spans="1:9">
      <c r="A4124" s="257" t="s">
        <v>5222</v>
      </c>
      <c r="B4124" s="9">
        <v>2</v>
      </c>
      <c r="C4124" s="257" t="s">
        <v>11650</v>
      </c>
      <c r="D4124" s="9">
        <v>0.26624459095582342</v>
      </c>
      <c r="E4124" s="9">
        <v>1728935.5716552734</v>
      </c>
      <c r="F4124" s="257" t="s">
        <v>16102</v>
      </c>
      <c r="G4124" s="9"/>
      <c r="H4124" s="257" t="s">
        <v>22182</v>
      </c>
      <c r="I4124" s="9">
        <v>3</v>
      </c>
    </row>
    <row r="4125" spans="1:9">
      <c r="A4125" s="257" t="s">
        <v>5223</v>
      </c>
      <c r="B4125" s="9">
        <v>2</v>
      </c>
      <c r="C4125" s="257" t="s">
        <v>11651</v>
      </c>
      <c r="D4125" s="9">
        <v>481.63086843486587</v>
      </c>
      <c r="E4125" s="9">
        <v>1728935.5716552734</v>
      </c>
      <c r="F4125" s="257" t="s">
        <v>16102</v>
      </c>
      <c r="G4125" s="9"/>
      <c r="H4125" s="257" t="s">
        <v>22183</v>
      </c>
      <c r="I4125" s="9">
        <v>3</v>
      </c>
    </row>
    <row r="4126" spans="1:9">
      <c r="A4126" s="257" t="s">
        <v>5224</v>
      </c>
      <c r="B4126" s="9">
        <v>2</v>
      </c>
      <c r="C4126" s="257" t="s">
        <v>11652</v>
      </c>
      <c r="D4126" s="9">
        <v>460319.74406433105</v>
      </c>
      <c r="E4126" s="9">
        <v>1728935.5716552734</v>
      </c>
      <c r="F4126" s="257" t="s">
        <v>16103</v>
      </c>
      <c r="G4126" s="9"/>
      <c r="H4126" s="257" t="s">
        <v>22184</v>
      </c>
      <c r="I4126" s="9">
        <v>3</v>
      </c>
    </row>
    <row r="4127" spans="1:9">
      <c r="A4127" s="257" t="s">
        <v>5225</v>
      </c>
      <c r="B4127" s="9">
        <v>2</v>
      </c>
      <c r="C4127" s="257" t="s">
        <v>11653</v>
      </c>
      <c r="D4127" s="9">
        <v>832708740.84426057</v>
      </c>
      <c r="E4127" s="9">
        <v>1728935.5716552734</v>
      </c>
      <c r="F4127" s="257" t="s">
        <v>16103</v>
      </c>
      <c r="G4127" s="9"/>
      <c r="H4127" s="257" t="s">
        <v>22185</v>
      </c>
      <c r="I4127" s="9">
        <v>3</v>
      </c>
    </row>
    <row r="4128" spans="1:9">
      <c r="A4128" s="257" t="s">
        <v>5226</v>
      </c>
      <c r="B4128" s="9">
        <v>2</v>
      </c>
      <c r="C4128" s="257" t="s">
        <v>11654</v>
      </c>
      <c r="D4128" s="9">
        <v>0.26624459095582342</v>
      </c>
      <c r="E4128" s="9">
        <v>1728935.5716552734</v>
      </c>
      <c r="F4128" s="257" t="s">
        <v>16103</v>
      </c>
      <c r="G4128" s="9"/>
      <c r="H4128" s="257" t="s">
        <v>22186</v>
      </c>
      <c r="I4128" s="9">
        <v>3</v>
      </c>
    </row>
    <row r="4129" spans="1:9">
      <c r="A4129" s="257" t="s">
        <v>5227</v>
      </c>
      <c r="B4129" s="9">
        <v>2</v>
      </c>
      <c r="C4129" s="257" t="s">
        <v>11655</v>
      </c>
      <c r="D4129" s="9">
        <v>481.63086843486587</v>
      </c>
      <c r="E4129" s="9">
        <v>1728935.5716552734</v>
      </c>
      <c r="F4129" s="257" t="s">
        <v>16103</v>
      </c>
      <c r="G4129" s="9"/>
      <c r="H4129" s="257" t="s">
        <v>22187</v>
      </c>
      <c r="I4129" s="9">
        <v>3</v>
      </c>
    </row>
    <row r="4130" spans="1:9">
      <c r="A4130" s="257" t="s">
        <v>5228</v>
      </c>
      <c r="B4130" s="9">
        <v>2</v>
      </c>
      <c r="C4130" s="257" t="s">
        <v>11656</v>
      </c>
      <c r="D4130" s="9">
        <v>1728935.5716552734</v>
      </c>
      <c r="E4130" s="9">
        <v>1728935.5716552734</v>
      </c>
      <c r="F4130" s="257" t="s">
        <v>16104</v>
      </c>
      <c r="G4130" s="9"/>
      <c r="H4130" s="257" t="s">
        <v>22188</v>
      </c>
      <c r="I4130" s="9">
        <v>3</v>
      </c>
    </row>
    <row r="4131" spans="1:9">
      <c r="A4131" s="257" t="s">
        <v>5229</v>
      </c>
      <c r="B4131" s="9">
        <v>2</v>
      </c>
      <c r="C4131" s="257" t="s">
        <v>11657</v>
      </c>
      <c r="D4131" s="9">
        <v>1268955130.991874</v>
      </c>
      <c r="E4131" s="9">
        <v>1728935.5716552734</v>
      </c>
      <c r="F4131" s="257" t="s">
        <v>16104</v>
      </c>
      <c r="G4131" s="9"/>
      <c r="H4131" s="257" t="s">
        <v>22189</v>
      </c>
      <c r="I4131" s="9">
        <v>3</v>
      </c>
    </row>
    <row r="4132" spans="1:9">
      <c r="A4132" s="257" t="s">
        <v>5230</v>
      </c>
      <c r="B4132" s="9">
        <v>2</v>
      </c>
      <c r="C4132" s="257" t="s">
        <v>11658</v>
      </c>
      <c r="D4132" s="9">
        <v>1</v>
      </c>
      <c r="E4132" s="9">
        <v>1728935.5716552734</v>
      </c>
      <c r="F4132" s="257" t="s">
        <v>16104</v>
      </c>
      <c r="G4132" s="9"/>
      <c r="H4132" s="257" t="s">
        <v>22190</v>
      </c>
      <c r="I4132" s="9">
        <v>3</v>
      </c>
    </row>
    <row r="4133" spans="1:9">
      <c r="A4133" s="257" t="s">
        <v>5231</v>
      </c>
      <c r="B4133" s="9">
        <v>2</v>
      </c>
      <c r="C4133" s="257" t="s">
        <v>11659</v>
      </c>
      <c r="D4133" s="9">
        <v>733.95165892560317</v>
      </c>
      <c r="E4133" s="9">
        <v>1728935.5716552734</v>
      </c>
      <c r="F4133" s="257" t="s">
        <v>16104</v>
      </c>
      <c r="G4133" s="9"/>
      <c r="H4133" s="257" t="s">
        <v>22191</v>
      </c>
      <c r="I4133" s="9">
        <v>3</v>
      </c>
    </row>
    <row r="4134" spans="1:9">
      <c r="A4134" s="257" t="s">
        <v>5232</v>
      </c>
      <c r="B4134" s="9">
        <v>2</v>
      </c>
      <c r="C4134" s="257" t="s">
        <v>11660</v>
      </c>
      <c r="D4134" s="9">
        <v>1728935.5716552734</v>
      </c>
      <c r="E4134" s="9">
        <v>1728935.5716552734</v>
      </c>
      <c r="F4134" s="257" t="s">
        <v>16105</v>
      </c>
      <c r="G4134" s="9"/>
      <c r="H4134" s="257" t="s">
        <v>22192</v>
      </c>
      <c r="I4134" s="9">
        <v>3</v>
      </c>
    </row>
    <row r="4135" spans="1:9">
      <c r="A4135" s="257" t="s">
        <v>5233</v>
      </c>
      <c r="B4135" s="9">
        <v>2</v>
      </c>
      <c r="C4135" s="257" t="s">
        <v>11661</v>
      </c>
      <c r="D4135" s="9">
        <v>2108086006.664103</v>
      </c>
      <c r="E4135" s="9">
        <v>1728935.5716552734</v>
      </c>
      <c r="F4135" s="257" t="s">
        <v>16105</v>
      </c>
      <c r="G4135" s="9"/>
      <c r="H4135" s="257" t="s">
        <v>22193</v>
      </c>
      <c r="I4135" s="9">
        <v>3</v>
      </c>
    </row>
    <row r="4136" spans="1:9">
      <c r="A4136" s="257" t="s">
        <v>5234</v>
      </c>
      <c r="B4136" s="9">
        <v>2</v>
      </c>
      <c r="C4136" s="257" t="s">
        <v>11662</v>
      </c>
      <c r="D4136" s="9">
        <v>1</v>
      </c>
      <c r="E4136" s="9">
        <v>1728935.5716552734</v>
      </c>
      <c r="F4136" s="257" t="s">
        <v>16105</v>
      </c>
      <c r="G4136" s="9"/>
      <c r="H4136" s="257" t="s">
        <v>22194</v>
      </c>
      <c r="I4136" s="9">
        <v>3</v>
      </c>
    </row>
    <row r="4137" spans="1:9">
      <c r="A4137" s="257" t="s">
        <v>5235</v>
      </c>
      <c r="B4137" s="9">
        <v>2</v>
      </c>
      <c r="C4137" s="257" t="s">
        <v>11663</v>
      </c>
      <c r="D4137" s="9">
        <v>1219.2970294698912</v>
      </c>
      <c r="E4137" s="9">
        <v>1728935.5716552734</v>
      </c>
      <c r="F4137" s="257" t="s">
        <v>16105</v>
      </c>
      <c r="G4137" s="9"/>
      <c r="H4137" s="257" t="s">
        <v>22195</v>
      </c>
      <c r="I4137" s="9">
        <v>3</v>
      </c>
    </row>
    <row r="4138" spans="1:9">
      <c r="A4138" s="257" t="s">
        <v>5236</v>
      </c>
      <c r="B4138" s="9">
        <v>2</v>
      </c>
      <c r="C4138" s="257" t="s">
        <v>11664</v>
      </c>
      <c r="D4138" s="9">
        <v>462838.70304870605</v>
      </c>
      <c r="E4138" s="9">
        <v>1728935.5716552734</v>
      </c>
      <c r="F4138" s="257" t="s">
        <v>16106</v>
      </c>
      <c r="G4138" s="9"/>
      <c r="H4138" s="257" t="s">
        <v>22196</v>
      </c>
      <c r="I4138" s="9">
        <v>3</v>
      </c>
    </row>
    <row r="4139" spans="1:9">
      <c r="A4139" s="257" t="s">
        <v>5237</v>
      </c>
      <c r="B4139" s="9">
        <v>2</v>
      </c>
      <c r="C4139" s="257" t="s">
        <v>11665</v>
      </c>
      <c r="D4139" s="9">
        <v>1284930209.7899833</v>
      </c>
      <c r="E4139" s="9">
        <v>1728935.5716552734</v>
      </c>
      <c r="F4139" s="257" t="s">
        <v>16106</v>
      </c>
      <c r="G4139" s="9"/>
      <c r="H4139" s="257" t="s">
        <v>22197</v>
      </c>
      <c r="I4139" s="9">
        <v>3</v>
      </c>
    </row>
    <row r="4140" spans="1:9">
      <c r="A4140" s="257" t="s">
        <v>5238</v>
      </c>
      <c r="B4140" s="9">
        <v>2</v>
      </c>
      <c r="C4140" s="257" t="s">
        <v>11666</v>
      </c>
      <c r="D4140" s="9">
        <v>0.26770153303375371</v>
      </c>
      <c r="E4140" s="9">
        <v>1728935.5716552734</v>
      </c>
      <c r="F4140" s="257" t="s">
        <v>16106</v>
      </c>
      <c r="G4140" s="9"/>
      <c r="H4140" s="257" t="s">
        <v>22198</v>
      </c>
      <c r="I4140" s="9">
        <v>3</v>
      </c>
    </row>
    <row r="4141" spans="1:9">
      <c r="A4141" s="257" t="s">
        <v>5239</v>
      </c>
      <c r="B4141" s="9">
        <v>2</v>
      </c>
      <c r="C4141" s="257" t="s">
        <v>11667</v>
      </c>
      <c r="D4141" s="9">
        <v>743.19149357300694</v>
      </c>
      <c r="E4141" s="9">
        <v>1728935.5716552734</v>
      </c>
      <c r="F4141" s="257" t="s">
        <v>16106</v>
      </c>
      <c r="G4141" s="9"/>
      <c r="H4141" s="257" t="s">
        <v>22199</v>
      </c>
      <c r="I4141" s="9">
        <v>3</v>
      </c>
    </row>
    <row r="4142" spans="1:9">
      <c r="A4142" s="257" t="s">
        <v>5240</v>
      </c>
      <c r="B4142" s="9">
        <v>2</v>
      </c>
      <c r="C4142" s="257" t="s">
        <v>11668</v>
      </c>
      <c r="D4142" s="9">
        <v>0</v>
      </c>
      <c r="E4142" s="9">
        <v>1728935.5716552734</v>
      </c>
      <c r="F4142" s="257" t="s">
        <v>16107</v>
      </c>
      <c r="G4142" s="9"/>
      <c r="H4142" s="257" t="s">
        <v>22200</v>
      </c>
      <c r="I4142" s="9">
        <v>3</v>
      </c>
    </row>
    <row r="4143" spans="1:9">
      <c r="A4143" s="257" t="s">
        <v>5241</v>
      </c>
      <c r="B4143" s="9">
        <v>2</v>
      </c>
      <c r="C4143" s="257" t="s">
        <v>11669</v>
      </c>
      <c r="D4143" s="9">
        <v>-382343423.2118299</v>
      </c>
      <c r="E4143" s="9">
        <v>1728935.5716552734</v>
      </c>
      <c r="F4143" s="257" t="s">
        <v>16107</v>
      </c>
      <c r="G4143" s="9"/>
      <c r="H4143" s="257" t="s">
        <v>22201</v>
      </c>
      <c r="I4143" s="9">
        <v>3</v>
      </c>
    </row>
    <row r="4144" spans="1:9">
      <c r="A4144" s="257" t="s">
        <v>5242</v>
      </c>
      <c r="B4144" s="9">
        <v>2</v>
      </c>
      <c r="C4144" s="257" t="s">
        <v>11670</v>
      </c>
      <c r="D4144" s="9">
        <v>0</v>
      </c>
      <c r="E4144" s="9">
        <v>1728935.5716552734</v>
      </c>
      <c r="F4144" s="257" t="s">
        <v>16107</v>
      </c>
      <c r="G4144" s="9"/>
      <c r="H4144" s="257" t="s">
        <v>22202</v>
      </c>
      <c r="I4144" s="9">
        <v>3</v>
      </c>
    </row>
    <row r="4145" spans="1:9">
      <c r="A4145" s="257" t="s">
        <v>5243</v>
      </c>
      <c r="B4145" s="9">
        <v>2</v>
      </c>
      <c r="C4145" s="257" t="s">
        <v>11671</v>
      </c>
      <c r="D4145" s="9">
        <v>-221.14382367977797</v>
      </c>
      <c r="E4145" s="9">
        <v>1728935.5716552734</v>
      </c>
      <c r="F4145" s="257" t="s">
        <v>16107</v>
      </c>
      <c r="G4145" s="9"/>
      <c r="H4145" s="257" t="s">
        <v>22203</v>
      </c>
      <c r="I4145" s="9">
        <v>3</v>
      </c>
    </row>
    <row r="4146" spans="1:9">
      <c r="A4146" s="257" t="s">
        <v>5244</v>
      </c>
      <c r="B4146" s="9">
        <v>2</v>
      </c>
      <c r="C4146" s="257" t="s">
        <v>11672</v>
      </c>
      <c r="D4146" s="9">
        <v>460319.74406433105</v>
      </c>
      <c r="E4146" s="9">
        <v>1728935.5716552734</v>
      </c>
      <c r="F4146" s="257" t="s">
        <v>16108</v>
      </c>
      <c r="G4146" s="9"/>
      <c r="H4146" s="257" t="s">
        <v>22204</v>
      </c>
      <c r="I4146" s="9">
        <v>3</v>
      </c>
    </row>
    <row r="4147" spans="1:9">
      <c r="A4147" s="257" t="s">
        <v>5245</v>
      </c>
      <c r="B4147" s="9">
        <v>2</v>
      </c>
      <c r="C4147" s="257" t="s">
        <v>11673</v>
      </c>
      <c r="D4147" s="9">
        <v>902586786.57815337</v>
      </c>
      <c r="E4147" s="9">
        <v>1728935.5716552734</v>
      </c>
      <c r="F4147" s="257" t="s">
        <v>16108</v>
      </c>
      <c r="G4147" s="9"/>
      <c r="H4147" s="257" t="s">
        <v>22205</v>
      </c>
      <c r="I4147" s="9">
        <v>3</v>
      </c>
    </row>
    <row r="4148" spans="1:9">
      <c r="A4148" s="257" t="s">
        <v>5246</v>
      </c>
      <c r="B4148" s="9">
        <v>2</v>
      </c>
      <c r="C4148" s="257" t="s">
        <v>11674</v>
      </c>
      <c r="D4148" s="9">
        <v>0.26624459095582342</v>
      </c>
      <c r="E4148" s="9">
        <v>1728935.5716552734</v>
      </c>
      <c r="F4148" s="257" t="s">
        <v>16108</v>
      </c>
      <c r="G4148" s="9"/>
      <c r="H4148" s="257" t="s">
        <v>22206</v>
      </c>
      <c r="I4148" s="9">
        <v>3</v>
      </c>
    </row>
    <row r="4149" spans="1:9">
      <c r="A4149" s="257" t="s">
        <v>5247</v>
      </c>
      <c r="B4149" s="9">
        <v>2</v>
      </c>
      <c r="C4149" s="257" t="s">
        <v>11675</v>
      </c>
      <c r="D4149" s="9">
        <v>522.047669893229</v>
      </c>
      <c r="E4149" s="9">
        <v>1728935.5716552734</v>
      </c>
      <c r="F4149" s="257" t="s">
        <v>16108</v>
      </c>
      <c r="G4149" s="9"/>
      <c r="H4149" s="257" t="s">
        <v>22207</v>
      </c>
      <c r="I4149" s="9">
        <v>3</v>
      </c>
    </row>
    <row r="4150" spans="1:9">
      <c r="A4150" s="257" t="s">
        <v>5248</v>
      </c>
      <c r="B4150" s="9">
        <v>2</v>
      </c>
      <c r="C4150" s="257" t="s">
        <v>11676</v>
      </c>
      <c r="D4150" s="9">
        <v>51071.08203125</v>
      </c>
      <c r="E4150" s="9">
        <v>1728935.5716552734</v>
      </c>
      <c r="F4150" s="257" t="s">
        <v>16109</v>
      </c>
      <c r="G4150" s="9"/>
      <c r="H4150" s="257" t="s">
        <v>22208</v>
      </c>
      <c r="I4150" s="9">
        <v>3</v>
      </c>
    </row>
    <row r="4151" spans="1:9">
      <c r="A4151" s="257" t="s">
        <v>5249</v>
      </c>
      <c r="B4151" s="9">
        <v>2</v>
      </c>
      <c r="C4151" s="257" t="s">
        <v>11677</v>
      </c>
      <c r="D4151" s="9">
        <v>69878045.733892769</v>
      </c>
      <c r="E4151" s="9">
        <v>1728935.5716552734</v>
      </c>
      <c r="F4151" s="257" t="s">
        <v>16109</v>
      </c>
      <c r="G4151" s="9"/>
      <c r="H4151" s="257" t="s">
        <v>22209</v>
      </c>
      <c r="I4151" s="9">
        <v>3</v>
      </c>
    </row>
    <row r="4152" spans="1:9">
      <c r="A4152" s="257" t="s">
        <v>5250</v>
      </c>
      <c r="B4152" s="9">
        <v>2</v>
      </c>
      <c r="C4152" s="257" t="s">
        <v>11678</v>
      </c>
      <c r="D4152" s="9">
        <v>2.9539031337272346E-2</v>
      </c>
      <c r="E4152" s="9">
        <v>1728935.5716552734</v>
      </c>
      <c r="F4152" s="257" t="s">
        <v>16109</v>
      </c>
      <c r="G4152" s="9"/>
      <c r="H4152" s="257" t="s">
        <v>22210</v>
      </c>
      <c r="I4152" s="9">
        <v>3</v>
      </c>
    </row>
    <row r="4153" spans="1:9">
      <c r="A4153" s="257" t="s">
        <v>5251</v>
      </c>
      <c r="B4153" s="9">
        <v>2</v>
      </c>
      <c r="C4153" s="257" t="s">
        <v>11679</v>
      </c>
      <c r="D4153" s="9">
        <v>40.416801458363139</v>
      </c>
      <c r="E4153" s="9">
        <v>1728935.5716552734</v>
      </c>
      <c r="F4153" s="257" t="s">
        <v>16109</v>
      </c>
      <c r="G4153" s="9"/>
      <c r="H4153" s="257" t="s">
        <v>22211</v>
      </c>
      <c r="I4153" s="9">
        <v>3</v>
      </c>
    </row>
    <row r="4154" spans="1:9">
      <c r="A4154" s="257" t="s">
        <v>5252</v>
      </c>
      <c r="B4154" s="9">
        <v>2</v>
      </c>
      <c r="C4154" s="257" t="s">
        <v>11680</v>
      </c>
      <c r="D4154" s="9">
        <v>371304.27395629883</v>
      </c>
      <c r="E4154" s="9">
        <v>1728935.5716552734</v>
      </c>
      <c r="F4154" s="257" t="s">
        <v>16110</v>
      </c>
      <c r="G4154" s="9"/>
      <c r="H4154" s="257" t="s">
        <v>22212</v>
      </c>
      <c r="I4154" s="9">
        <v>3</v>
      </c>
    </row>
    <row r="4155" spans="1:9">
      <c r="A4155" s="257" t="s">
        <v>5253</v>
      </c>
      <c r="B4155" s="9">
        <v>2</v>
      </c>
      <c r="C4155" s="257" t="s">
        <v>11681</v>
      </c>
      <c r="D4155" s="9">
        <v>839130875.67222893</v>
      </c>
      <c r="E4155" s="9">
        <v>1728935.5716552734</v>
      </c>
      <c r="F4155" s="257" t="s">
        <v>16110</v>
      </c>
      <c r="G4155" s="9"/>
      <c r="H4155" s="257" t="s">
        <v>22213</v>
      </c>
      <c r="I4155" s="9">
        <v>3</v>
      </c>
    </row>
    <row r="4156" spans="1:9">
      <c r="A4156" s="257" t="s">
        <v>5254</v>
      </c>
      <c r="B4156" s="9">
        <v>2</v>
      </c>
      <c r="C4156" s="257" t="s">
        <v>11682</v>
      </c>
      <c r="D4156" s="9">
        <v>0.21475888404610366</v>
      </c>
      <c r="E4156" s="9">
        <v>1728935.5716552734</v>
      </c>
      <c r="F4156" s="257" t="s">
        <v>16110</v>
      </c>
      <c r="G4156" s="9"/>
      <c r="H4156" s="257" t="s">
        <v>22214</v>
      </c>
      <c r="I4156" s="9">
        <v>3</v>
      </c>
    </row>
    <row r="4157" spans="1:9">
      <c r="A4157" s="257" t="s">
        <v>5255</v>
      </c>
      <c r="B4157" s="9">
        <v>2</v>
      </c>
      <c r="C4157" s="257" t="s">
        <v>11683</v>
      </c>
      <c r="D4157" s="9">
        <v>485.3453705442879</v>
      </c>
      <c r="E4157" s="9">
        <v>1728935.5716552734</v>
      </c>
      <c r="F4157" s="257" t="s">
        <v>16110</v>
      </c>
      <c r="G4157" s="9"/>
      <c r="H4157" s="257" t="s">
        <v>22215</v>
      </c>
      <c r="I4157" s="9">
        <v>3</v>
      </c>
    </row>
    <row r="4158" spans="1:9">
      <c r="A4158" s="257" t="s">
        <v>5256</v>
      </c>
      <c r="B4158" s="9">
        <v>2</v>
      </c>
      <c r="C4158" s="257" t="s">
        <v>11684</v>
      </c>
      <c r="D4158" s="9">
        <v>0</v>
      </c>
      <c r="E4158" s="9">
        <v>1728935.5716552734</v>
      </c>
      <c r="F4158" s="257" t="s">
        <v>16111</v>
      </c>
      <c r="G4158" s="9"/>
      <c r="H4158" s="257" t="s">
        <v>22216</v>
      </c>
      <c r="I4158" s="9">
        <v>3</v>
      </c>
    </row>
    <row r="4159" spans="1:9">
      <c r="A4159" s="257" t="s">
        <v>5257</v>
      </c>
      <c r="B4159" s="9">
        <v>2</v>
      </c>
      <c r="C4159" s="257" t="s">
        <v>11685</v>
      </c>
      <c r="D4159" s="9">
        <v>0</v>
      </c>
      <c r="E4159" s="9">
        <v>1728935.5716552734</v>
      </c>
      <c r="F4159" s="257" t="s">
        <v>16111</v>
      </c>
      <c r="G4159" s="9"/>
      <c r="H4159" s="257" t="s">
        <v>22217</v>
      </c>
      <c r="I4159" s="9">
        <v>3</v>
      </c>
    </row>
    <row r="4160" spans="1:9">
      <c r="A4160" s="257" t="s">
        <v>5258</v>
      </c>
      <c r="B4160" s="9">
        <v>2</v>
      </c>
      <c r="C4160" s="257" t="s">
        <v>11686</v>
      </c>
      <c r="D4160" s="9">
        <v>0</v>
      </c>
      <c r="E4160" s="9">
        <v>1728935.5716552734</v>
      </c>
      <c r="F4160" s="257" t="s">
        <v>16111</v>
      </c>
      <c r="G4160" s="9"/>
      <c r="H4160" s="257" t="s">
        <v>22218</v>
      </c>
      <c r="I4160" s="9">
        <v>3</v>
      </c>
    </row>
    <row r="4161" spans="1:9">
      <c r="A4161" s="257" t="s">
        <v>5259</v>
      </c>
      <c r="B4161" s="9">
        <v>2</v>
      </c>
      <c r="C4161" s="257" t="s">
        <v>11687</v>
      </c>
      <c r="D4161" s="9">
        <v>0</v>
      </c>
      <c r="E4161" s="9">
        <v>1728935.5716552734</v>
      </c>
      <c r="F4161" s="257" t="s">
        <v>16111</v>
      </c>
      <c r="G4161" s="9"/>
      <c r="H4161" s="257" t="s">
        <v>22219</v>
      </c>
      <c r="I4161" s="9">
        <v>3</v>
      </c>
    </row>
    <row r="4162" spans="1:9">
      <c r="A4162" s="257" t="s">
        <v>5260</v>
      </c>
      <c r="B4162" s="9">
        <v>3</v>
      </c>
      <c r="C4162" s="257" t="s">
        <v>11688</v>
      </c>
      <c r="D4162" s="9">
        <v>558196.97508239746</v>
      </c>
      <c r="E4162" s="9">
        <v>1724459.8235549927</v>
      </c>
      <c r="F4162" s="257" t="s">
        <v>16112</v>
      </c>
      <c r="G4162" s="9"/>
      <c r="H4162" s="257" t="s">
        <v>22220</v>
      </c>
      <c r="I4162" s="9">
        <v>3</v>
      </c>
    </row>
    <row r="4163" spans="1:9">
      <c r="A4163" s="257" t="s">
        <v>5261</v>
      </c>
      <c r="B4163" s="9">
        <v>3</v>
      </c>
      <c r="C4163" s="257" t="s">
        <v>11689</v>
      </c>
      <c r="D4163" s="9">
        <v>1326242447.9909408</v>
      </c>
      <c r="E4163" s="9">
        <v>1724459.8235549927</v>
      </c>
      <c r="F4163" s="257" t="s">
        <v>16112</v>
      </c>
      <c r="G4163" s="9"/>
      <c r="H4163" s="257" t="s">
        <v>22221</v>
      </c>
      <c r="I4163" s="9">
        <v>3</v>
      </c>
    </row>
    <row r="4164" spans="1:9">
      <c r="A4164" s="257" t="s">
        <v>5262</v>
      </c>
      <c r="B4164" s="9">
        <v>3</v>
      </c>
      <c r="C4164" s="257" t="s">
        <v>11690</v>
      </c>
      <c r="D4164" s="9">
        <v>0.32369381266979497</v>
      </c>
      <c r="E4164" s="9">
        <v>1724459.8235549927</v>
      </c>
      <c r="F4164" s="257" t="s">
        <v>16112</v>
      </c>
      <c r="G4164" s="9"/>
      <c r="H4164" s="257" t="s">
        <v>22222</v>
      </c>
      <c r="I4164" s="9">
        <v>3</v>
      </c>
    </row>
    <row r="4165" spans="1:9">
      <c r="A4165" s="257" t="s">
        <v>5263</v>
      </c>
      <c r="B4165" s="9">
        <v>3</v>
      </c>
      <c r="C4165" s="257" t="s">
        <v>11691</v>
      </c>
      <c r="D4165" s="9">
        <v>769.07703495050271</v>
      </c>
      <c r="E4165" s="9">
        <v>1724459.8235549927</v>
      </c>
      <c r="F4165" s="257" t="s">
        <v>16112</v>
      </c>
      <c r="G4165" s="9"/>
      <c r="H4165" s="257" t="s">
        <v>22223</v>
      </c>
      <c r="I4165" s="9">
        <v>3</v>
      </c>
    </row>
    <row r="4166" spans="1:9">
      <c r="A4166" s="257" t="s">
        <v>5264</v>
      </c>
      <c r="B4166" s="9">
        <v>3</v>
      </c>
      <c r="C4166" s="257" t="s">
        <v>11692</v>
      </c>
      <c r="D4166" s="9">
        <v>0</v>
      </c>
      <c r="E4166" s="9">
        <v>1724459.8235549927</v>
      </c>
      <c r="F4166" s="257" t="s">
        <v>16113</v>
      </c>
      <c r="G4166" s="9"/>
      <c r="H4166" s="257" t="s">
        <v>22224</v>
      </c>
      <c r="I4166" s="9">
        <v>3</v>
      </c>
    </row>
    <row r="4167" spans="1:9">
      <c r="A4167" s="257" t="s">
        <v>5265</v>
      </c>
      <c r="B4167" s="9">
        <v>3</v>
      </c>
      <c r="C4167" s="257" t="s">
        <v>11693</v>
      </c>
      <c r="D4167" s="9">
        <v>0</v>
      </c>
      <c r="E4167" s="9">
        <v>1724459.8235549927</v>
      </c>
      <c r="F4167" s="257" t="s">
        <v>16113</v>
      </c>
      <c r="G4167" s="9"/>
      <c r="H4167" s="257" t="s">
        <v>22225</v>
      </c>
      <c r="I4167" s="9">
        <v>3</v>
      </c>
    </row>
    <row r="4168" spans="1:9">
      <c r="A4168" s="257" t="s">
        <v>5266</v>
      </c>
      <c r="B4168" s="9">
        <v>3</v>
      </c>
      <c r="C4168" s="257" t="s">
        <v>11694</v>
      </c>
      <c r="D4168" s="9">
        <v>0</v>
      </c>
      <c r="E4168" s="9">
        <v>1724459.8235549927</v>
      </c>
      <c r="F4168" s="257" t="s">
        <v>16113</v>
      </c>
      <c r="G4168" s="9"/>
      <c r="H4168" s="257" t="s">
        <v>22226</v>
      </c>
      <c r="I4168" s="9">
        <v>3</v>
      </c>
    </row>
    <row r="4169" spans="1:9">
      <c r="A4169" s="257" t="s">
        <v>5267</v>
      </c>
      <c r="B4169" s="9">
        <v>3</v>
      </c>
      <c r="C4169" s="257" t="s">
        <v>11695</v>
      </c>
      <c r="D4169" s="9">
        <v>0</v>
      </c>
      <c r="E4169" s="9">
        <v>1724459.8235549927</v>
      </c>
      <c r="F4169" s="257" t="s">
        <v>16113</v>
      </c>
      <c r="G4169" s="9"/>
      <c r="H4169" s="257" t="s">
        <v>22227</v>
      </c>
      <c r="I4169" s="9">
        <v>3</v>
      </c>
    </row>
    <row r="4170" spans="1:9">
      <c r="A4170" s="257" t="s">
        <v>5268</v>
      </c>
      <c r="B4170" s="9">
        <v>3</v>
      </c>
      <c r="C4170" s="257" t="s">
        <v>11696</v>
      </c>
      <c r="D4170" s="9">
        <v>0</v>
      </c>
      <c r="E4170" s="9">
        <v>1724459.8235549927</v>
      </c>
      <c r="F4170" s="257" t="s">
        <v>16114</v>
      </c>
      <c r="G4170" s="9"/>
      <c r="H4170" s="257" t="s">
        <v>22228</v>
      </c>
      <c r="I4170" s="9">
        <v>3</v>
      </c>
    </row>
    <row r="4171" spans="1:9">
      <c r="A4171" s="257" t="s">
        <v>5269</v>
      </c>
      <c r="B4171" s="9">
        <v>3</v>
      </c>
      <c r="C4171" s="257" t="s">
        <v>11697</v>
      </c>
      <c r="D4171" s="9">
        <v>0</v>
      </c>
      <c r="E4171" s="9">
        <v>1724459.8235549927</v>
      </c>
      <c r="F4171" s="257" t="s">
        <v>16114</v>
      </c>
      <c r="G4171" s="9"/>
      <c r="H4171" s="257" t="s">
        <v>22229</v>
      </c>
      <c r="I4171" s="9">
        <v>3</v>
      </c>
    </row>
    <row r="4172" spans="1:9">
      <c r="A4172" s="257" t="s">
        <v>5270</v>
      </c>
      <c r="B4172" s="9">
        <v>3</v>
      </c>
      <c r="C4172" s="257" t="s">
        <v>11698</v>
      </c>
      <c r="D4172" s="9">
        <v>0</v>
      </c>
      <c r="E4172" s="9">
        <v>1724459.8235549927</v>
      </c>
      <c r="F4172" s="257" t="s">
        <v>16114</v>
      </c>
      <c r="G4172" s="9"/>
      <c r="H4172" s="257" t="s">
        <v>22230</v>
      </c>
      <c r="I4172" s="9">
        <v>3</v>
      </c>
    </row>
    <row r="4173" spans="1:9">
      <c r="A4173" s="257" t="s">
        <v>5271</v>
      </c>
      <c r="B4173" s="9">
        <v>3</v>
      </c>
      <c r="C4173" s="257" t="s">
        <v>11699</v>
      </c>
      <c r="D4173" s="9">
        <v>0</v>
      </c>
      <c r="E4173" s="9">
        <v>1724459.8235549927</v>
      </c>
      <c r="F4173" s="257" t="s">
        <v>16114</v>
      </c>
      <c r="G4173" s="9"/>
      <c r="H4173" s="257" t="s">
        <v>22231</v>
      </c>
      <c r="I4173" s="9">
        <v>3</v>
      </c>
    </row>
    <row r="4174" spans="1:9">
      <c r="A4174" s="257" t="s">
        <v>5272</v>
      </c>
      <c r="B4174" s="9">
        <v>3</v>
      </c>
      <c r="C4174" s="257" t="s">
        <v>11700</v>
      </c>
      <c r="D4174" s="9">
        <v>0</v>
      </c>
      <c r="E4174" s="9">
        <v>1724459.8235549927</v>
      </c>
      <c r="F4174" s="257" t="s">
        <v>16115</v>
      </c>
      <c r="G4174" s="9"/>
      <c r="H4174" s="257" t="s">
        <v>22232</v>
      </c>
      <c r="I4174" s="9">
        <v>3</v>
      </c>
    </row>
    <row r="4175" spans="1:9">
      <c r="A4175" s="257" t="s">
        <v>5273</v>
      </c>
      <c r="B4175" s="9">
        <v>3</v>
      </c>
      <c r="C4175" s="257" t="s">
        <v>11701</v>
      </c>
      <c r="D4175" s="9">
        <v>0</v>
      </c>
      <c r="E4175" s="9">
        <v>1724459.8235549927</v>
      </c>
      <c r="F4175" s="257" t="s">
        <v>16115</v>
      </c>
      <c r="G4175" s="9"/>
      <c r="H4175" s="257" t="s">
        <v>22233</v>
      </c>
      <c r="I4175" s="9">
        <v>3</v>
      </c>
    </row>
    <row r="4176" spans="1:9">
      <c r="A4176" s="257" t="s">
        <v>5274</v>
      </c>
      <c r="B4176" s="9">
        <v>3</v>
      </c>
      <c r="C4176" s="257" t="s">
        <v>11702</v>
      </c>
      <c r="D4176" s="9">
        <v>0</v>
      </c>
      <c r="E4176" s="9">
        <v>1724459.8235549927</v>
      </c>
      <c r="F4176" s="257" t="s">
        <v>16115</v>
      </c>
      <c r="G4176" s="9"/>
      <c r="H4176" s="257" t="s">
        <v>22234</v>
      </c>
      <c r="I4176" s="9">
        <v>3</v>
      </c>
    </row>
    <row r="4177" spans="1:9">
      <c r="A4177" s="257" t="s">
        <v>5275</v>
      </c>
      <c r="B4177" s="9">
        <v>3</v>
      </c>
      <c r="C4177" s="257" t="s">
        <v>11703</v>
      </c>
      <c r="D4177" s="9">
        <v>0</v>
      </c>
      <c r="E4177" s="9">
        <v>1724459.8235549927</v>
      </c>
      <c r="F4177" s="257" t="s">
        <v>16115</v>
      </c>
      <c r="G4177" s="9"/>
      <c r="H4177" s="257" t="s">
        <v>22235</v>
      </c>
      <c r="I4177" s="9">
        <v>3</v>
      </c>
    </row>
    <row r="4178" spans="1:9">
      <c r="A4178" s="257" t="s">
        <v>5276</v>
      </c>
      <c r="B4178" s="9">
        <v>3</v>
      </c>
      <c r="C4178" s="257" t="s">
        <v>11704</v>
      </c>
      <c r="D4178" s="9">
        <v>0</v>
      </c>
      <c r="E4178" s="9">
        <v>1724459.8235549927</v>
      </c>
      <c r="F4178" s="257" t="s">
        <v>16116</v>
      </c>
      <c r="G4178" s="9"/>
      <c r="H4178" s="257" t="s">
        <v>22236</v>
      </c>
      <c r="I4178" s="9">
        <v>3</v>
      </c>
    </row>
    <row r="4179" spans="1:9">
      <c r="A4179" s="257" t="s">
        <v>5277</v>
      </c>
      <c r="B4179" s="9">
        <v>3</v>
      </c>
      <c r="C4179" s="257" t="s">
        <v>11705</v>
      </c>
      <c r="D4179" s="9">
        <v>0</v>
      </c>
      <c r="E4179" s="9">
        <v>1724459.8235549927</v>
      </c>
      <c r="F4179" s="257" t="s">
        <v>16116</v>
      </c>
      <c r="G4179" s="9"/>
      <c r="H4179" s="257" t="s">
        <v>22237</v>
      </c>
      <c r="I4179" s="9">
        <v>3</v>
      </c>
    </row>
    <row r="4180" spans="1:9">
      <c r="A4180" s="257" t="s">
        <v>5278</v>
      </c>
      <c r="B4180" s="9">
        <v>3</v>
      </c>
      <c r="C4180" s="257" t="s">
        <v>11706</v>
      </c>
      <c r="D4180" s="9">
        <v>0</v>
      </c>
      <c r="E4180" s="9">
        <v>1724459.8235549927</v>
      </c>
      <c r="F4180" s="257" t="s">
        <v>16116</v>
      </c>
      <c r="G4180" s="9"/>
      <c r="H4180" s="257" t="s">
        <v>22238</v>
      </c>
      <c r="I4180" s="9">
        <v>3</v>
      </c>
    </row>
    <row r="4181" spans="1:9">
      <c r="A4181" s="257" t="s">
        <v>5279</v>
      </c>
      <c r="B4181" s="9">
        <v>3</v>
      </c>
      <c r="C4181" s="257" t="s">
        <v>11707</v>
      </c>
      <c r="D4181" s="9">
        <v>0</v>
      </c>
      <c r="E4181" s="9">
        <v>1724459.8235549927</v>
      </c>
      <c r="F4181" s="257" t="s">
        <v>16116</v>
      </c>
      <c r="G4181" s="9"/>
      <c r="H4181" s="257" t="s">
        <v>22239</v>
      </c>
      <c r="I4181" s="9">
        <v>3</v>
      </c>
    </row>
    <row r="4182" spans="1:9">
      <c r="A4182" s="257" t="s">
        <v>5280</v>
      </c>
      <c r="B4182" s="9">
        <v>3</v>
      </c>
      <c r="C4182" s="257" t="s">
        <v>11708</v>
      </c>
      <c r="D4182" s="9">
        <v>0</v>
      </c>
      <c r="E4182" s="9">
        <v>1724459.8235549927</v>
      </c>
      <c r="F4182" s="257" t="s">
        <v>16117</v>
      </c>
      <c r="G4182" s="9"/>
      <c r="H4182" s="257" t="s">
        <v>22240</v>
      </c>
      <c r="I4182" s="9">
        <v>3</v>
      </c>
    </row>
    <row r="4183" spans="1:9">
      <c r="A4183" s="257" t="s">
        <v>5281</v>
      </c>
      <c r="B4183" s="9">
        <v>3</v>
      </c>
      <c r="C4183" s="257" t="s">
        <v>11709</v>
      </c>
      <c r="D4183" s="9">
        <v>0</v>
      </c>
      <c r="E4183" s="9">
        <v>1724459.8235549927</v>
      </c>
      <c r="F4183" s="257" t="s">
        <v>16117</v>
      </c>
      <c r="G4183" s="9"/>
      <c r="H4183" s="257" t="s">
        <v>22241</v>
      </c>
      <c r="I4183" s="9">
        <v>3</v>
      </c>
    </row>
    <row r="4184" spans="1:9">
      <c r="A4184" s="257" t="s">
        <v>5282</v>
      </c>
      <c r="B4184" s="9">
        <v>3</v>
      </c>
      <c r="C4184" s="257" t="s">
        <v>11710</v>
      </c>
      <c r="D4184" s="9">
        <v>0</v>
      </c>
      <c r="E4184" s="9">
        <v>1724459.8235549927</v>
      </c>
      <c r="F4184" s="257" t="s">
        <v>16117</v>
      </c>
      <c r="G4184" s="9"/>
      <c r="H4184" s="257" t="s">
        <v>22242</v>
      </c>
      <c r="I4184" s="9">
        <v>3</v>
      </c>
    </row>
    <row r="4185" spans="1:9">
      <c r="A4185" s="257" t="s">
        <v>5283</v>
      </c>
      <c r="B4185" s="9">
        <v>3</v>
      </c>
      <c r="C4185" s="257" t="s">
        <v>11711</v>
      </c>
      <c r="D4185" s="9">
        <v>0</v>
      </c>
      <c r="E4185" s="9">
        <v>1724459.8235549927</v>
      </c>
      <c r="F4185" s="257" t="s">
        <v>16117</v>
      </c>
      <c r="G4185" s="9"/>
      <c r="H4185" s="257" t="s">
        <v>22243</v>
      </c>
      <c r="I4185" s="9">
        <v>3</v>
      </c>
    </row>
    <row r="4186" spans="1:9">
      <c r="A4186" s="257" t="s">
        <v>5284</v>
      </c>
      <c r="B4186" s="9">
        <v>3</v>
      </c>
      <c r="C4186" s="257" t="s">
        <v>11712</v>
      </c>
      <c r="D4186" s="9">
        <v>0</v>
      </c>
      <c r="E4186" s="9">
        <v>1724459.8235549927</v>
      </c>
      <c r="F4186" s="257" t="s">
        <v>16118</v>
      </c>
      <c r="G4186" s="9"/>
      <c r="H4186" s="257" t="s">
        <v>22244</v>
      </c>
      <c r="I4186" s="9">
        <v>3</v>
      </c>
    </row>
    <row r="4187" spans="1:9">
      <c r="A4187" s="257" t="s">
        <v>5285</v>
      </c>
      <c r="B4187" s="9">
        <v>3</v>
      </c>
      <c r="C4187" s="257" t="s">
        <v>11713</v>
      </c>
      <c r="D4187" s="9">
        <v>0</v>
      </c>
      <c r="E4187" s="9">
        <v>1724459.8235549927</v>
      </c>
      <c r="F4187" s="257" t="s">
        <v>16118</v>
      </c>
      <c r="G4187" s="9"/>
      <c r="H4187" s="257" t="s">
        <v>22245</v>
      </c>
      <c r="I4187" s="9">
        <v>3</v>
      </c>
    </row>
    <row r="4188" spans="1:9">
      <c r="A4188" s="257" t="s">
        <v>5286</v>
      </c>
      <c r="B4188" s="9">
        <v>3</v>
      </c>
      <c r="C4188" s="257" t="s">
        <v>11714</v>
      </c>
      <c r="D4188" s="9">
        <v>0</v>
      </c>
      <c r="E4188" s="9">
        <v>1724459.8235549927</v>
      </c>
      <c r="F4188" s="257" t="s">
        <v>16118</v>
      </c>
      <c r="G4188" s="9"/>
      <c r="H4188" s="257" t="s">
        <v>22246</v>
      </c>
      <c r="I4188" s="9">
        <v>3</v>
      </c>
    </row>
    <row r="4189" spans="1:9">
      <c r="A4189" s="257" t="s">
        <v>5287</v>
      </c>
      <c r="B4189" s="9">
        <v>3</v>
      </c>
      <c r="C4189" s="257" t="s">
        <v>11715</v>
      </c>
      <c r="D4189" s="9">
        <v>0</v>
      </c>
      <c r="E4189" s="9">
        <v>1724459.8235549927</v>
      </c>
      <c r="F4189" s="257" t="s">
        <v>16118</v>
      </c>
      <c r="G4189" s="9"/>
      <c r="H4189" s="257" t="s">
        <v>22247</v>
      </c>
      <c r="I4189" s="9">
        <v>3</v>
      </c>
    </row>
    <row r="4190" spans="1:9">
      <c r="A4190" s="257" t="s">
        <v>5288</v>
      </c>
      <c r="B4190" s="9">
        <v>3</v>
      </c>
      <c r="C4190" s="257" t="s">
        <v>11716</v>
      </c>
      <c r="D4190" s="9">
        <v>0</v>
      </c>
      <c r="E4190" s="9">
        <v>1724459.8235549927</v>
      </c>
      <c r="F4190" s="257" t="s">
        <v>16119</v>
      </c>
      <c r="G4190" s="9"/>
      <c r="H4190" s="257" t="s">
        <v>22248</v>
      </c>
      <c r="I4190" s="9">
        <v>3</v>
      </c>
    </row>
    <row r="4191" spans="1:9">
      <c r="A4191" s="257" t="s">
        <v>5289</v>
      </c>
      <c r="B4191" s="9">
        <v>3</v>
      </c>
      <c r="C4191" s="257" t="s">
        <v>11717</v>
      </c>
      <c r="D4191" s="9">
        <v>0</v>
      </c>
      <c r="E4191" s="9">
        <v>1724459.8235549927</v>
      </c>
      <c r="F4191" s="257" t="s">
        <v>16119</v>
      </c>
      <c r="G4191" s="9"/>
      <c r="H4191" s="257" t="s">
        <v>22249</v>
      </c>
      <c r="I4191" s="9">
        <v>3</v>
      </c>
    </row>
    <row r="4192" spans="1:9">
      <c r="A4192" s="257" t="s">
        <v>5290</v>
      </c>
      <c r="B4192" s="9">
        <v>3</v>
      </c>
      <c r="C4192" s="257" t="s">
        <v>11718</v>
      </c>
      <c r="D4192" s="9">
        <v>0</v>
      </c>
      <c r="E4192" s="9">
        <v>1724459.8235549927</v>
      </c>
      <c r="F4192" s="257" t="s">
        <v>16119</v>
      </c>
      <c r="G4192" s="9"/>
      <c r="H4192" s="257" t="s">
        <v>22250</v>
      </c>
      <c r="I4192" s="9">
        <v>3</v>
      </c>
    </row>
    <row r="4193" spans="1:9">
      <c r="A4193" s="257" t="s">
        <v>5291</v>
      </c>
      <c r="B4193" s="9">
        <v>3</v>
      </c>
      <c r="C4193" s="257" t="s">
        <v>11719</v>
      </c>
      <c r="D4193" s="9">
        <v>0</v>
      </c>
      <c r="E4193" s="9">
        <v>1724459.8235549927</v>
      </c>
      <c r="F4193" s="257" t="s">
        <v>16119</v>
      </c>
      <c r="G4193" s="9"/>
      <c r="H4193" s="257" t="s">
        <v>22251</v>
      </c>
      <c r="I4193" s="9">
        <v>3</v>
      </c>
    </row>
    <row r="4194" spans="1:9">
      <c r="A4194" s="257" t="s">
        <v>5292</v>
      </c>
      <c r="B4194" s="9">
        <v>3</v>
      </c>
      <c r="C4194" s="257" t="s">
        <v>11720</v>
      </c>
      <c r="D4194" s="9">
        <v>1724459.8235549927</v>
      </c>
      <c r="E4194" s="9">
        <v>1724459.8235549927</v>
      </c>
      <c r="F4194" s="257" t="s">
        <v>16120</v>
      </c>
      <c r="G4194" s="9"/>
      <c r="H4194" s="257" t="s">
        <v>22252</v>
      </c>
      <c r="I4194" s="9">
        <v>3</v>
      </c>
    </row>
    <row r="4195" spans="1:9">
      <c r="A4195" s="257" t="s">
        <v>5293</v>
      </c>
      <c r="B4195" s="9">
        <v>3</v>
      </c>
      <c r="C4195" s="257" t="s">
        <v>11721</v>
      </c>
      <c r="D4195" s="9">
        <v>3015842272.0673523</v>
      </c>
      <c r="E4195" s="9">
        <v>1724459.8235549927</v>
      </c>
      <c r="F4195" s="257" t="s">
        <v>16120</v>
      </c>
      <c r="G4195" s="9"/>
      <c r="H4195" s="257" t="s">
        <v>22253</v>
      </c>
      <c r="I4195" s="9">
        <v>3</v>
      </c>
    </row>
    <row r="4196" spans="1:9">
      <c r="A4196" s="257" t="s">
        <v>5294</v>
      </c>
      <c r="B4196" s="9">
        <v>3</v>
      </c>
      <c r="C4196" s="257" t="s">
        <v>11722</v>
      </c>
      <c r="D4196" s="9">
        <v>1</v>
      </c>
      <c r="E4196" s="9">
        <v>1724459.8235549927</v>
      </c>
      <c r="F4196" s="257" t="s">
        <v>16120</v>
      </c>
      <c r="G4196" s="9"/>
      <c r="H4196" s="257" t="s">
        <v>22254</v>
      </c>
      <c r="I4196" s="9">
        <v>3</v>
      </c>
    </row>
    <row r="4197" spans="1:9">
      <c r="A4197" s="257" t="s">
        <v>5295</v>
      </c>
      <c r="B4197" s="9">
        <v>3</v>
      </c>
      <c r="C4197" s="257" t="s">
        <v>11723</v>
      </c>
      <c r="D4197" s="9">
        <v>1748.8620093509403</v>
      </c>
      <c r="E4197" s="9">
        <v>1724459.8235549927</v>
      </c>
      <c r="F4197" s="257" t="s">
        <v>16120</v>
      </c>
      <c r="G4197" s="9"/>
      <c r="H4197" s="257" t="s">
        <v>22255</v>
      </c>
      <c r="I4197" s="9">
        <v>3</v>
      </c>
    </row>
    <row r="4198" spans="1:9">
      <c r="A4198" s="257" t="s">
        <v>5296</v>
      </c>
      <c r="B4198" s="9">
        <v>3</v>
      </c>
      <c r="C4198" s="257" t="s">
        <v>11724</v>
      </c>
      <c r="D4198" s="9">
        <v>1724459.8235549927</v>
      </c>
      <c r="E4198" s="9">
        <v>1724459.8235549927</v>
      </c>
      <c r="F4198" s="257" t="s">
        <v>16121</v>
      </c>
      <c r="G4198" s="9"/>
      <c r="H4198" s="257" t="s">
        <v>22256</v>
      </c>
      <c r="I4198" s="9">
        <v>3</v>
      </c>
    </row>
    <row r="4199" spans="1:9">
      <c r="A4199" s="257" t="s">
        <v>5297</v>
      </c>
      <c r="B4199" s="9">
        <v>3</v>
      </c>
      <c r="C4199" s="257" t="s">
        <v>11725</v>
      </c>
      <c r="D4199" s="9">
        <v>3015842272.0673523</v>
      </c>
      <c r="E4199" s="9">
        <v>1724459.8235549927</v>
      </c>
      <c r="F4199" s="257" t="s">
        <v>16121</v>
      </c>
      <c r="G4199" s="9"/>
      <c r="H4199" s="257" t="s">
        <v>22257</v>
      </c>
      <c r="I4199" s="9">
        <v>3</v>
      </c>
    </row>
    <row r="4200" spans="1:9">
      <c r="A4200" s="257" t="s">
        <v>5298</v>
      </c>
      <c r="B4200" s="9">
        <v>3</v>
      </c>
      <c r="C4200" s="257" t="s">
        <v>11726</v>
      </c>
      <c r="D4200" s="9">
        <v>1</v>
      </c>
      <c r="E4200" s="9">
        <v>1724459.8235549927</v>
      </c>
      <c r="F4200" s="257" t="s">
        <v>16121</v>
      </c>
      <c r="G4200" s="9"/>
      <c r="H4200" s="257" t="s">
        <v>22258</v>
      </c>
      <c r="I4200" s="9">
        <v>3</v>
      </c>
    </row>
    <row r="4201" spans="1:9">
      <c r="A4201" s="257" t="s">
        <v>5299</v>
      </c>
      <c r="B4201" s="9">
        <v>3</v>
      </c>
      <c r="C4201" s="257" t="s">
        <v>11727</v>
      </c>
      <c r="D4201" s="9">
        <v>1748.8620093509403</v>
      </c>
      <c r="E4201" s="9">
        <v>1724459.8235549927</v>
      </c>
      <c r="F4201" s="257" t="s">
        <v>16121</v>
      </c>
      <c r="G4201" s="9"/>
      <c r="H4201" s="257" t="s">
        <v>22259</v>
      </c>
      <c r="I4201" s="9">
        <v>3</v>
      </c>
    </row>
    <row r="4202" spans="1:9">
      <c r="A4202" s="257" t="s">
        <v>5300</v>
      </c>
      <c r="B4202" s="9">
        <v>3</v>
      </c>
      <c r="C4202" s="257" t="s">
        <v>11728</v>
      </c>
      <c r="D4202" s="9">
        <v>1724459.8235549927</v>
      </c>
      <c r="E4202" s="9">
        <v>1724459.8235549927</v>
      </c>
      <c r="F4202" s="257" t="s">
        <v>16122</v>
      </c>
      <c r="G4202" s="9"/>
      <c r="H4202" s="257" t="s">
        <v>22260</v>
      </c>
      <c r="I4202" s="9">
        <v>3</v>
      </c>
    </row>
    <row r="4203" spans="1:9">
      <c r="A4203" s="257" t="s">
        <v>5301</v>
      </c>
      <c r="B4203" s="9">
        <v>3</v>
      </c>
      <c r="C4203" s="257" t="s">
        <v>11729</v>
      </c>
      <c r="D4203" s="9">
        <v>3015842272.0673523</v>
      </c>
      <c r="E4203" s="9">
        <v>1724459.8235549927</v>
      </c>
      <c r="F4203" s="257" t="s">
        <v>16122</v>
      </c>
      <c r="G4203" s="9"/>
      <c r="H4203" s="257" t="s">
        <v>22261</v>
      </c>
      <c r="I4203" s="9">
        <v>3</v>
      </c>
    </row>
    <row r="4204" spans="1:9">
      <c r="A4204" s="257" t="s">
        <v>5302</v>
      </c>
      <c r="B4204" s="9">
        <v>3</v>
      </c>
      <c r="C4204" s="257" t="s">
        <v>11730</v>
      </c>
      <c r="D4204" s="9">
        <v>1</v>
      </c>
      <c r="E4204" s="9">
        <v>1724459.8235549927</v>
      </c>
      <c r="F4204" s="257" t="s">
        <v>16122</v>
      </c>
      <c r="G4204" s="9"/>
      <c r="H4204" s="257" t="s">
        <v>22262</v>
      </c>
      <c r="I4204" s="9">
        <v>3</v>
      </c>
    </row>
    <row r="4205" spans="1:9">
      <c r="A4205" s="257" t="s">
        <v>5303</v>
      </c>
      <c r="B4205" s="9">
        <v>3</v>
      </c>
      <c r="C4205" s="257" t="s">
        <v>11731</v>
      </c>
      <c r="D4205" s="9">
        <v>1748.8620093509403</v>
      </c>
      <c r="E4205" s="9">
        <v>1724459.8235549927</v>
      </c>
      <c r="F4205" s="257" t="s">
        <v>16122</v>
      </c>
      <c r="G4205" s="9"/>
      <c r="H4205" s="257" t="s">
        <v>22263</v>
      </c>
      <c r="I4205" s="9">
        <v>3</v>
      </c>
    </row>
    <row r="4206" spans="1:9">
      <c r="A4206" s="257" t="s">
        <v>5304</v>
      </c>
      <c r="B4206" s="9">
        <v>3</v>
      </c>
      <c r="C4206" s="257" t="s">
        <v>11732</v>
      </c>
      <c r="D4206" s="9">
        <v>1724459.8235549927</v>
      </c>
      <c r="E4206" s="9">
        <v>1724459.8235549927</v>
      </c>
      <c r="F4206" s="257" t="s">
        <v>16123</v>
      </c>
      <c r="G4206" s="9"/>
      <c r="H4206" s="257" t="s">
        <v>22264</v>
      </c>
      <c r="I4206" s="9">
        <v>3</v>
      </c>
    </row>
    <row r="4207" spans="1:9">
      <c r="A4207" s="257" t="s">
        <v>5305</v>
      </c>
      <c r="B4207" s="9">
        <v>3</v>
      </c>
      <c r="C4207" s="257" t="s">
        <v>11733</v>
      </c>
      <c r="D4207" s="9">
        <v>1100570242.7206361</v>
      </c>
      <c r="E4207" s="9">
        <v>1724459.8235549927</v>
      </c>
      <c r="F4207" s="257" t="s">
        <v>16123</v>
      </c>
      <c r="G4207" s="9"/>
      <c r="H4207" s="257" t="s">
        <v>22265</v>
      </c>
      <c r="I4207" s="9">
        <v>3</v>
      </c>
    </row>
    <row r="4208" spans="1:9">
      <c r="A4208" s="257" t="s">
        <v>5306</v>
      </c>
      <c r="B4208" s="9">
        <v>3</v>
      </c>
      <c r="C4208" s="257" t="s">
        <v>11734</v>
      </c>
      <c r="D4208" s="9">
        <v>1</v>
      </c>
      <c r="E4208" s="9">
        <v>1724459.8235549927</v>
      </c>
      <c r="F4208" s="257" t="s">
        <v>16123</v>
      </c>
      <c r="G4208" s="9"/>
      <c r="H4208" s="257" t="s">
        <v>22266</v>
      </c>
      <c r="I4208" s="9">
        <v>3</v>
      </c>
    </row>
    <row r="4209" spans="1:9">
      <c r="A4209" s="257" t="s">
        <v>5307</v>
      </c>
      <c r="B4209" s="9">
        <v>3</v>
      </c>
      <c r="C4209" s="257" t="s">
        <v>11735</v>
      </c>
      <c r="D4209" s="9">
        <v>638.21158816666343</v>
      </c>
      <c r="E4209" s="9">
        <v>1724459.8235549927</v>
      </c>
      <c r="F4209" s="257" t="s">
        <v>16123</v>
      </c>
      <c r="G4209" s="9"/>
      <c r="H4209" s="257" t="s">
        <v>22267</v>
      </c>
      <c r="I4209" s="9">
        <v>3</v>
      </c>
    </row>
    <row r="4210" spans="1:9">
      <c r="A4210" s="257" t="s">
        <v>5308</v>
      </c>
      <c r="B4210" s="9">
        <v>3</v>
      </c>
      <c r="C4210" s="257" t="s">
        <v>11736</v>
      </c>
      <c r="D4210" s="9">
        <v>594773.77226257324</v>
      </c>
      <c r="E4210" s="9">
        <v>1724459.8235549927</v>
      </c>
      <c r="F4210" s="257" t="s">
        <v>16124</v>
      </c>
      <c r="G4210" s="9"/>
      <c r="H4210" s="257" t="s">
        <v>22268</v>
      </c>
      <c r="I4210" s="9">
        <v>3</v>
      </c>
    </row>
    <row r="4211" spans="1:9">
      <c r="A4211" s="257" t="s">
        <v>5309</v>
      </c>
      <c r="B4211" s="9">
        <v>3</v>
      </c>
      <c r="C4211" s="257" t="s">
        <v>11737</v>
      </c>
      <c r="D4211" s="9">
        <v>976303285.31556344</v>
      </c>
      <c r="E4211" s="9">
        <v>1724459.8235549927</v>
      </c>
      <c r="F4211" s="257" t="s">
        <v>16124</v>
      </c>
      <c r="G4211" s="9"/>
      <c r="H4211" s="257" t="s">
        <v>22269</v>
      </c>
      <c r="I4211" s="9">
        <v>3</v>
      </c>
    </row>
    <row r="4212" spans="1:9">
      <c r="A4212" s="257" t="s">
        <v>5310</v>
      </c>
      <c r="B4212" s="9">
        <v>3</v>
      </c>
      <c r="C4212" s="257" t="s">
        <v>11738</v>
      </c>
      <c r="D4212" s="9">
        <v>0.34490439506815568</v>
      </c>
      <c r="E4212" s="9">
        <v>1724459.8235549927</v>
      </c>
      <c r="F4212" s="257" t="s">
        <v>16124</v>
      </c>
      <c r="G4212" s="9"/>
      <c r="H4212" s="257" t="s">
        <v>22270</v>
      </c>
      <c r="I4212" s="9">
        <v>3</v>
      </c>
    </row>
    <row r="4213" spans="1:9">
      <c r="A4213" s="257" t="s">
        <v>5311</v>
      </c>
      <c r="B4213" s="9">
        <v>3</v>
      </c>
      <c r="C4213" s="257" t="s">
        <v>11739</v>
      </c>
      <c r="D4213" s="9">
        <v>566.15020656317961</v>
      </c>
      <c r="E4213" s="9">
        <v>1724459.8235549927</v>
      </c>
      <c r="F4213" s="257" t="s">
        <v>16124</v>
      </c>
      <c r="G4213" s="9"/>
      <c r="H4213" s="257" t="s">
        <v>22271</v>
      </c>
      <c r="I4213" s="9">
        <v>3</v>
      </c>
    </row>
    <row r="4214" spans="1:9">
      <c r="A4214" s="257" t="s">
        <v>5312</v>
      </c>
      <c r="B4214" s="9">
        <v>3</v>
      </c>
      <c r="C4214" s="257" t="s">
        <v>11740</v>
      </c>
      <c r="D4214" s="9">
        <v>1724459.8235549927</v>
      </c>
      <c r="E4214" s="9">
        <v>1724459.8235549927</v>
      </c>
      <c r="F4214" s="257" t="s">
        <v>16125</v>
      </c>
      <c r="G4214" s="9"/>
      <c r="H4214" s="257" t="s">
        <v>22272</v>
      </c>
      <c r="I4214" s="9">
        <v>3</v>
      </c>
    </row>
    <row r="4215" spans="1:9">
      <c r="A4215" s="257" t="s">
        <v>5313</v>
      </c>
      <c r="B4215" s="9">
        <v>3</v>
      </c>
      <c r="C4215" s="257" t="s">
        <v>11741</v>
      </c>
      <c r="D4215" s="9">
        <v>3992145557.3829155</v>
      </c>
      <c r="E4215" s="9">
        <v>1724459.8235549927</v>
      </c>
      <c r="F4215" s="257" t="s">
        <v>16125</v>
      </c>
      <c r="G4215" s="9"/>
      <c r="H4215" s="257" t="s">
        <v>22273</v>
      </c>
      <c r="I4215" s="9">
        <v>3</v>
      </c>
    </row>
    <row r="4216" spans="1:9">
      <c r="A4216" s="257" t="s">
        <v>5314</v>
      </c>
      <c r="B4216" s="9">
        <v>3</v>
      </c>
      <c r="C4216" s="257" t="s">
        <v>11742</v>
      </c>
      <c r="D4216" s="9">
        <v>1</v>
      </c>
      <c r="E4216" s="9">
        <v>1724459.8235549927</v>
      </c>
      <c r="F4216" s="257" t="s">
        <v>16125</v>
      </c>
      <c r="G4216" s="9"/>
      <c r="H4216" s="257" t="s">
        <v>22274</v>
      </c>
      <c r="I4216" s="9">
        <v>3</v>
      </c>
    </row>
    <row r="4217" spans="1:9">
      <c r="A4217" s="257" t="s">
        <v>5315</v>
      </c>
      <c r="B4217" s="9">
        <v>3</v>
      </c>
      <c r="C4217" s="257" t="s">
        <v>11743</v>
      </c>
      <c r="D4217" s="9">
        <v>2315.0122159141197</v>
      </c>
      <c r="E4217" s="9">
        <v>1724459.8235549927</v>
      </c>
      <c r="F4217" s="257" t="s">
        <v>16125</v>
      </c>
      <c r="G4217" s="9"/>
      <c r="H4217" s="257" t="s">
        <v>22275</v>
      </c>
      <c r="I4217" s="9">
        <v>3</v>
      </c>
    </row>
    <row r="4218" spans="1:9">
      <c r="A4218" s="257" t="s">
        <v>5316</v>
      </c>
      <c r="B4218" s="9">
        <v>3</v>
      </c>
      <c r="C4218" s="257" t="s">
        <v>11744</v>
      </c>
      <c r="D4218" s="9">
        <v>1724459.8235549927</v>
      </c>
      <c r="E4218" s="9">
        <v>1724459.8235549927</v>
      </c>
      <c r="F4218" s="257" t="s">
        <v>16126</v>
      </c>
      <c r="G4218" s="9"/>
      <c r="H4218" s="257" t="s">
        <v>22276</v>
      </c>
      <c r="I4218" s="9">
        <v>3</v>
      </c>
    </row>
    <row r="4219" spans="1:9">
      <c r="A4219" s="257" t="s">
        <v>5317</v>
      </c>
      <c r="B4219" s="9">
        <v>3</v>
      </c>
      <c r="C4219" s="257" t="s">
        <v>11745</v>
      </c>
      <c r="D4219" s="9">
        <v>3992145557.3829155</v>
      </c>
      <c r="E4219" s="9">
        <v>1724459.8235549927</v>
      </c>
      <c r="F4219" s="257" t="s">
        <v>16126</v>
      </c>
      <c r="G4219" s="9"/>
      <c r="H4219" s="257" t="s">
        <v>22277</v>
      </c>
      <c r="I4219" s="9">
        <v>3</v>
      </c>
    </row>
    <row r="4220" spans="1:9">
      <c r="A4220" s="257" t="s">
        <v>5318</v>
      </c>
      <c r="B4220" s="9">
        <v>3</v>
      </c>
      <c r="C4220" s="257" t="s">
        <v>11746</v>
      </c>
      <c r="D4220" s="9">
        <v>1</v>
      </c>
      <c r="E4220" s="9">
        <v>1724459.8235549927</v>
      </c>
      <c r="F4220" s="257" t="s">
        <v>16126</v>
      </c>
      <c r="G4220" s="9"/>
      <c r="H4220" s="257" t="s">
        <v>22278</v>
      </c>
      <c r="I4220" s="9">
        <v>3</v>
      </c>
    </row>
    <row r="4221" spans="1:9">
      <c r="A4221" s="257" t="s">
        <v>5319</v>
      </c>
      <c r="B4221" s="9">
        <v>3</v>
      </c>
      <c r="C4221" s="257" t="s">
        <v>11747</v>
      </c>
      <c r="D4221" s="9">
        <v>2315.0122159141197</v>
      </c>
      <c r="E4221" s="9">
        <v>1724459.8235549927</v>
      </c>
      <c r="F4221" s="257" t="s">
        <v>16126</v>
      </c>
      <c r="G4221" s="9"/>
      <c r="H4221" s="257" t="s">
        <v>22279</v>
      </c>
      <c r="I4221" s="9">
        <v>3</v>
      </c>
    </row>
    <row r="4222" spans="1:9">
      <c r="A4222" s="257" t="s">
        <v>5320</v>
      </c>
      <c r="B4222" s="9">
        <v>3</v>
      </c>
      <c r="C4222" s="257" t="s">
        <v>11748</v>
      </c>
      <c r="D4222" s="9">
        <v>597108.9446105957</v>
      </c>
      <c r="E4222" s="9">
        <v>1724459.8235549927</v>
      </c>
      <c r="F4222" s="257" t="s">
        <v>16127</v>
      </c>
      <c r="G4222" s="9"/>
      <c r="H4222" s="257" t="s">
        <v>22280</v>
      </c>
      <c r="I4222" s="9">
        <v>3</v>
      </c>
    </row>
    <row r="4223" spans="1:9">
      <c r="A4223" s="257" t="s">
        <v>5321</v>
      </c>
      <c r="B4223" s="9">
        <v>3</v>
      </c>
      <c r="C4223" s="257" t="s">
        <v>11749</v>
      </c>
      <c r="D4223" s="9">
        <v>1450896983.3756139</v>
      </c>
      <c r="E4223" s="9">
        <v>1724459.8235549927</v>
      </c>
      <c r="F4223" s="257" t="s">
        <v>16127</v>
      </c>
      <c r="G4223" s="9"/>
      <c r="H4223" s="257" t="s">
        <v>22281</v>
      </c>
      <c r="I4223" s="9">
        <v>3</v>
      </c>
    </row>
    <row r="4224" spans="1:9">
      <c r="A4224" s="257" t="s">
        <v>5322</v>
      </c>
      <c r="B4224" s="9">
        <v>3</v>
      </c>
      <c r="C4224" s="257" t="s">
        <v>11750</v>
      </c>
      <c r="D4224" s="9">
        <v>0.34625854221390273</v>
      </c>
      <c r="E4224" s="9">
        <v>1724459.8235549927</v>
      </c>
      <c r="F4224" s="257" t="s">
        <v>16127</v>
      </c>
      <c r="G4224" s="9"/>
      <c r="H4224" s="257" t="s">
        <v>22282</v>
      </c>
      <c r="I4224" s="9">
        <v>3</v>
      </c>
    </row>
    <row r="4225" spans="1:9">
      <c r="A4225" s="257" t="s">
        <v>5323</v>
      </c>
      <c r="B4225" s="9">
        <v>3</v>
      </c>
      <c r="C4225" s="257" t="s">
        <v>11751</v>
      </c>
      <c r="D4225" s="9">
        <v>841.36316982124526</v>
      </c>
      <c r="E4225" s="9">
        <v>1724459.8235549927</v>
      </c>
      <c r="F4225" s="257" t="s">
        <v>16127</v>
      </c>
      <c r="G4225" s="9"/>
      <c r="H4225" s="257" t="s">
        <v>22283</v>
      </c>
      <c r="I4225" s="9">
        <v>3</v>
      </c>
    </row>
    <row r="4226" spans="1:9">
      <c r="A4226" s="257" t="s">
        <v>5324</v>
      </c>
      <c r="B4226" s="9">
        <v>3</v>
      </c>
      <c r="C4226" s="257" t="s">
        <v>11752</v>
      </c>
      <c r="D4226" s="9">
        <v>597108.9446105957</v>
      </c>
      <c r="E4226" s="9">
        <v>1724459.8235549927</v>
      </c>
      <c r="F4226" s="257" t="s">
        <v>16128</v>
      </c>
      <c r="G4226" s="9"/>
      <c r="H4226" s="257" t="s">
        <v>22284</v>
      </c>
      <c r="I4226" s="9">
        <v>3</v>
      </c>
    </row>
    <row r="4227" spans="1:9">
      <c r="A4227" s="257" t="s">
        <v>5325</v>
      </c>
      <c r="B4227" s="9">
        <v>3</v>
      </c>
      <c r="C4227" s="257" t="s">
        <v>11753</v>
      </c>
      <c r="D4227" s="9">
        <v>1450896983.3756139</v>
      </c>
      <c r="E4227" s="9">
        <v>1724459.8235549927</v>
      </c>
      <c r="F4227" s="257" t="s">
        <v>16128</v>
      </c>
      <c r="G4227" s="9"/>
      <c r="H4227" s="257" t="s">
        <v>22285</v>
      </c>
      <c r="I4227" s="9">
        <v>3</v>
      </c>
    </row>
    <row r="4228" spans="1:9">
      <c r="A4228" s="257" t="s">
        <v>5326</v>
      </c>
      <c r="B4228" s="9">
        <v>3</v>
      </c>
      <c r="C4228" s="257" t="s">
        <v>11754</v>
      </c>
      <c r="D4228" s="9">
        <v>0.34625854221390273</v>
      </c>
      <c r="E4228" s="9">
        <v>1724459.8235549927</v>
      </c>
      <c r="F4228" s="257" t="s">
        <v>16128</v>
      </c>
      <c r="G4228" s="9"/>
      <c r="H4228" s="257" t="s">
        <v>22286</v>
      </c>
      <c r="I4228" s="9">
        <v>3</v>
      </c>
    </row>
    <row r="4229" spans="1:9">
      <c r="A4229" s="257" t="s">
        <v>5327</v>
      </c>
      <c r="B4229" s="9">
        <v>3</v>
      </c>
      <c r="C4229" s="257" t="s">
        <v>11755</v>
      </c>
      <c r="D4229" s="9">
        <v>841.36316982124526</v>
      </c>
      <c r="E4229" s="9">
        <v>1724459.8235549927</v>
      </c>
      <c r="F4229" s="257" t="s">
        <v>16128</v>
      </c>
      <c r="G4229" s="9"/>
      <c r="H4229" s="257" t="s">
        <v>22287</v>
      </c>
      <c r="I4229" s="9">
        <v>3</v>
      </c>
    </row>
    <row r="4230" spans="1:9">
      <c r="A4230" s="257" t="s">
        <v>5328</v>
      </c>
      <c r="B4230" s="9">
        <v>3</v>
      </c>
      <c r="C4230" s="257" t="s">
        <v>11756</v>
      </c>
      <c r="D4230" s="9">
        <v>1724459.8235549927</v>
      </c>
      <c r="E4230" s="9">
        <v>1724459.8235549927</v>
      </c>
      <c r="F4230" s="257" t="s">
        <v>16129</v>
      </c>
      <c r="G4230" s="9"/>
      <c r="H4230" s="257" t="s">
        <v>22288</v>
      </c>
      <c r="I4230" s="9">
        <v>3</v>
      </c>
    </row>
    <row r="4231" spans="1:9">
      <c r="A4231" s="257" t="s">
        <v>5329</v>
      </c>
      <c r="B4231" s="9">
        <v>3</v>
      </c>
      <c r="C4231" s="257" t="s">
        <v>11757</v>
      </c>
      <c r="D4231" s="9">
        <v>1564945288.6917384</v>
      </c>
      <c r="E4231" s="9">
        <v>1724459.8235549927</v>
      </c>
      <c r="F4231" s="257" t="s">
        <v>16129</v>
      </c>
      <c r="G4231" s="9"/>
      <c r="H4231" s="257" t="s">
        <v>22289</v>
      </c>
      <c r="I4231" s="9">
        <v>3</v>
      </c>
    </row>
    <row r="4232" spans="1:9">
      <c r="A4232" s="257" t="s">
        <v>5330</v>
      </c>
      <c r="B4232" s="9">
        <v>3</v>
      </c>
      <c r="C4232" s="257" t="s">
        <v>11758</v>
      </c>
      <c r="D4232" s="9">
        <v>1</v>
      </c>
      <c r="E4232" s="9">
        <v>1724459.8235549927</v>
      </c>
      <c r="F4232" s="257" t="s">
        <v>16129</v>
      </c>
      <c r="G4232" s="9"/>
      <c r="H4232" s="257" t="s">
        <v>22290</v>
      </c>
      <c r="I4232" s="9">
        <v>3</v>
      </c>
    </row>
    <row r="4233" spans="1:9">
      <c r="A4233" s="257" t="s">
        <v>5331</v>
      </c>
      <c r="B4233" s="9">
        <v>3</v>
      </c>
      <c r="C4233" s="257" t="s">
        <v>11759</v>
      </c>
      <c r="D4233" s="9">
        <v>907.49883952969492</v>
      </c>
      <c r="E4233" s="9">
        <v>1724459.8235549927</v>
      </c>
      <c r="F4233" s="257" t="s">
        <v>16129</v>
      </c>
      <c r="G4233" s="9"/>
      <c r="H4233" s="257" t="s">
        <v>22291</v>
      </c>
      <c r="I4233" s="9">
        <v>3</v>
      </c>
    </row>
    <row r="4234" spans="1:9">
      <c r="A4234" s="257" t="s">
        <v>5332</v>
      </c>
      <c r="B4234" s="9">
        <v>3</v>
      </c>
      <c r="C4234" s="257" t="s">
        <v>11760</v>
      </c>
      <c r="D4234" s="9">
        <v>1724459.8235549927</v>
      </c>
      <c r="E4234" s="9">
        <v>1724459.8235549927</v>
      </c>
      <c r="F4234" s="257" t="s">
        <v>16130</v>
      </c>
      <c r="G4234" s="9"/>
      <c r="H4234" s="257" t="s">
        <v>22292</v>
      </c>
      <c r="I4234" s="9">
        <v>3</v>
      </c>
    </row>
    <row r="4235" spans="1:9">
      <c r="A4235" s="257" t="s">
        <v>5333</v>
      </c>
      <c r="B4235" s="9">
        <v>3</v>
      </c>
      <c r="C4235" s="257" t="s">
        <v>11761</v>
      </c>
      <c r="D4235" s="9">
        <v>2426812690.7115769</v>
      </c>
      <c r="E4235" s="9">
        <v>1724459.8235549927</v>
      </c>
      <c r="F4235" s="257" t="s">
        <v>16130</v>
      </c>
      <c r="G4235" s="9"/>
      <c r="H4235" s="257" t="s">
        <v>22293</v>
      </c>
      <c r="I4235" s="9">
        <v>3</v>
      </c>
    </row>
    <row r="4236" spans="1:9">
      <c r="A4236" s="257" t="s">
        <v>5334</v>
      </c>
      <c r="B4236" s="9">
        <v>3</v>
      </c>
      <c r="C4236" s="257" t="s">
        <v>11762</v>
      </c>
      <c r="D4236" s="9">
        <v>1</v>
      </c>
      <c r="E4236" s="9">
        <v>1724459.8235549927</v>
      </c>
      <c r="F4236" s="257" t="s">
        <v>16130</v>
      </c>
      <c r="G4236" s="9"/>
      <c r="H4236" s="257" t="s">
        <v>22294</v>
      </c>
      <c r="I4236" s="9">
        <v>3</v>
      </c>
    </row>
    <row r="4237" spans="1:9">
      <c r="A4237" s="257" t="s">
        <v>5335</v>
      </c>
      <c r="B4237" s="9">
        <v>3</v>
      </c>
      <c r="C4237" s="257" t="s">
        <v>11763</v>
      </c>
      <c r="D4237" s="9">
        <v>1407.2886231171663</v>
      </c>
      <c r="E4237" s="9">
        <v>1724459.8235549927</v>
      </c>
      <c r="F4237" s="257" t="s">
        <v>16130</v>
      </c>
      <c r="G4237" s="9"/>
      <c r="H4237" s="257" t="s">
        <v>22295</v>
      </c>
      <c r="I4237" s="9">
        <v>3</v>
      </c>
    </row>
    <row r="4238" spans="1:9">
      <c r="A4238" s="257" t="s">
        <v>5336</v>
      </c>
      <c r="B4238" s="9">
        <v>3</v>
      </c>
      <c r="C4238" s="257" t="s">
        <v>11764</v>
      </c>
      <c r="D4238" s="9">
        <v>606140.43930053711</v>
      </c>
      <c r="E4238" s="9">
        <v>1724459.8235549927</v>
      </c>
      <c r="F4238" s="257" t="s">
        <v>16131</v>
      </c>
      <c r="G4238" s="9"/>
      <c r="H4238" s="257" t="s">
        <v>22296</v>
      </c>
      <c r="I4238" s="9">
        <v>3</v>
      </c>
    </row>
    <row r="4239" spans="1:9">
      <c r="A4239" s="257" t="s">
        <v>5337</v>
      </c>
      <c r="B4239" s="9">
        <v>3</v>
      </c>
      <c r="C4239" s="257" t="s">
        <v>11765</v>
      </c>
      <c r="D4239" s="9">
        <v>2033939344.0312037</v>
      </c>
      <c r="E4239" s="9">
        <v>1724459.8235549927</v>
      </c>
      <c r="F4239" s="257" t="s">
        <v>16131</v>
      </c>
      <c r="G4239" s="9"/>
      <c r="H4239" s="257" t="s">
        <v>22297</v>
      </c>
      <c r="I4239" s="9">
        <v>3</v>
      </c>
    </row>
    <row r="4240" spans="1:9">
      <c r="A4240" s="257" t="s">
        <v>5338</v>
      </c>
      <c r="B4240" s="9">
        <v>3</v>
      </c>
      <c r="C4240" s="257" t="s">
        <v>11766</v>
      </c>
      <c r="D4240" s="9">
        <v>0.35149583134443341</v>
      </c>
      <c r="E4240" s="9">
        <v>1724459.8235549927</v>
      </c>
      <c r="F4240" s="257" t="s">
        <v>16131</v>
      </c>
      <c r="G4240" s="9"/>
      <c r="H4240" s="257" t="s">
        <v>22298</v>
      </c>
      <c r="I4240" s="9">
        <v>3</v>
      </c>
    </row>
    <row r="4241" spans="1:9">
      <c r="A4241" s="257" t="s">
        <v>5339</v>
      </c>
      <c r="B4241" s="9">
        <v>3</v>
      </c>
      <c r="C4241" s="257" t="s">
        <v>11767</v>
      </c>
      <c r="D4241" s="9">
        <v>1179.4646162519552</v>
      </c>
      <c r="E4241" s="9">
        <v>1724459.8235549927</v>
      </c>
      <c r="F4241" s="257" t="s">
        <v>16131</v>
      </c>
      <c r="G4241" s="9"/>
      <c r="H4241" s="257" t="s">
        <v>22299</v>
      </c>
      <c r="I4241" s="9">
        <v>3</v>
      </c>
    </row>
    <row r="4242" spans="1:9">
      <c r="A4242" s="257" t="s">
        <v>5340</v>
      </c>
      <c r="B4242" s="9">
        <v>3</v>
      </c>
      <c r="C4242" s="257" t="s">
        <v>11768</v>
      </c>
      <c r="D4242" s="9">
        <v>0</v>
      </c>
      <c r="E4242" s="9">
        <v>1724459.8235549927</v>
      </c>
      <c r="F4242" s="257" t="s">
        <v>16132</v>
      </c>
      <c r="G4242" s="9"/>
      <c r="H4242" s="257" t="s">
        <v>22300</v>
      </c>
      <c r="I4242" s="9">
        <v>3</v>
      </c>
    </row>
    <row r="4243" spans="1:9">
      <c r="A4243" s="257" t="s">
        <v>5341</v>
      </c>
      <c r="B4243" s="9">
        <v>3</v>
      </c>
      <c r="C4243" s="257" t="s">
        <v>11769</v>
      </c>
      <c r="D4243" s="9">
        <v>-468606477.35986483</v>
      </c>
      <c r="E4243" s="9">
        <v>1724459.8235549927</v>
      </c>
      <c r="F4243" s="257" t="s">
        <v>16132</v>
      </c>
      <c r="G4243" s="9"/>
      <c r="H4243" s="257" t="s">
        <v>22301</v>
      </c>
      <c r="I4243" s="9">
        <v>3</v>
      </c>
    </row>
    <row r="4244" spans="1:9">
      <c r="A4244" s="257" t="s">
        <v>5342</v>
      </c>
      <c r="B4244" s="9">
        <v>3</v>
      </c>
      <c r="C4244" s="257" t="s">
        <v>11770</v>
      </c>
      <c r="D4244" s="9">
        <v>0</v>
      </c>
      <c r="E4244" s="9">
        <v>1724459.8235549927</v>
      </c>
      <c r="F4244" s="257" t="s">
        <v>16132</v>
      </c>
      <c r="G4244" s="9"/>
      <c r="H4244" s="257" t="s">
        <v>22302</v>
      </c>
      <c r="I4244" s="9">
        <v>3</v>
      </c>
    </row>
    <row r="4245" spans="1:9">
      <c r="A4245" s="257" t="s">
        <v>5343</v>
      </c>
      <c r="B4245" s="9">
        <v>3</v>
      </c>
      <c r="C4245" s="257" t="s">
        <v>11771</v>
      </c>
      <c r="D4245" s="9">
        <v>-271.74102345500137</v>
      </c>
      <c r="E4245" s="9">
        <v>1724459.8235549927</v>
      </c>
      <c r="F4245" s="257" t="s">
        <v>16132</v>
      </c>
      <c r="G4245" s="9"/>
      <c r="H4245" s="257" t="s">
        <v>22303</v>
      </c>
      <c r="I4245" s="9">
        <v>3</v>
      </c>
    </row>
    <row r="4246" spans="1:9">
      <c r="A4246" s="257" t="s">
        <v>5344</v>
      </c>
      <c r="B4246" s="9">
        <v>3</v>
      </c>
      <c r="C4246" s="257" t="s">
        <v>11772</v>
      </c>
      <c r="D4246" s="9">
        <v>597108.9446105957</v>
      </c>
      <c r="E4246" s="9">
        <v>1724459.8235549927</v>
      </c>
      <c r="F4246" s="257" t="s">
        <v>16133</v>
      </c>
      <c r="G4246" s="9"/>
      <c r="H4246" s="257" t="s">
        <v>22304</v>
      </c>
      <c r="I4246" s="9">
        <v>3</v>
      </c>
    </row>
    <row r="4247" spans="1:9">
      <c r="A4247" s="257" t="s">
        <v>5345</v>
      </c>
      <c r="B4247" s="9">
        <v>3</v>
      </c>
      <c r="C4247" s="257" t="s">
        <v>11773</v>
      </c>
      <c r="D4247" s="9">
        <v>1565332866.6713388</v>
      </c>
      <c r="E4247" s="9">
        <v>1724459.8235549927</v>
      </c>
      <c r="F4247" s="257" t="s">
        <v>16133</v>
      </c>
      <c r="G4247" s="9"/>
      <c r="H4247" s="257" t="s">
        <v>22305</v>
      </c>
      <c r="I4247" s="9">
        <v>3</v>
      </c>
    </row>
    <row r="4248" spans="1:9">
      <c r="A4248" s="257" t="s">
        <v>5346</v>
      </c>
      <c r="B4248" s="9">
        <v>3</v>
      </c>
      <c r="C4248" s="257" t="s">
        <v>11774</v>
      </c>
      <c r="D4248" s="9">
        <v>0.34625854221390273</v>
      </c>
      <c r="E4248" s="9">
        <v>1724459.8235549927</v>
      </c>
      <c r="F4248" s="257" t="s">
        <v>16133</v>
      </c>
      <c r="G4248" s="9"/>
      <c r="H4248" s="257" t="s">
        <v>22306</v>
      </c>
      <c r="I4248" s="9">
        <v>3</v>
      </c>
    </row>
    <row r="4249" spans="1:9">
      <c r="A4249" s="257" t="s">
        <v>5347</v>
      </c>
      <c r="B4249" s="9">
        <v>3</v>
      </c>
      <c r="C4249" s="257" t="s">
        <v>11775</v>
      </c>
      <c r="D4249" s="9">
        <v>907.72359279695365</v>
      </c>
      <c r="E4249" s="9">
        <v>1724459.8235549927</v>
      </c>
      <c r="F4249" s="257" t="s">
        <v>16133</v>
      </c>
      <c r="G4249" s="9"/>
      <c r="H4249" s="257" t="s">
        <v>22307</v>
      </c>
      <c r="I4249" s="9">
        <v>3</v>
      </c>
    </row>
    <row r="4250" spans="1:9">
      <c r="A4250" s="257" t="s">
        <v>5348</v>
      </c>
      <c r="B4250" s="9">
        <v>3</v>
      </c>
      <c r="C4250" s="257" t="s">
        <v>11776</v>
      </c>
      <c r="D4250" s="9">
        <v>78741.791076660156</v>
      </c>
      <c r="E4250" s="9">
        <v>1724459.8235549927</v>
      </c>
      <c r="F4250" s="257" t="s">
        <v>16134</v>
      </c>
      <c r="G4250" s="9"/>
      <c r="H4250" s="257" t="s">
        <v>22308</v>
      </c>
      <c r="I4250" s="9">
        <v>3</v>
      </c>
    </row>
    <row r="4251" spans="1:9">
      <c r="A4251" s="257" t="s">
        <v>5349</v>
      </c>
      <c r="B4251" s="9">
        <v>3</v>
      </c>
      <c r="C4251" s="257" t="s">
        <v>11777</v>
      </c>
      <c r="D4251" s="9">
        <v>114435883.295725</v>
      </c>
      <c r="E4251" s="9">
        <v>1724459.8235549927</v>
      </c>
      <c r="F4251" s="257" t="s">
        <v>16134</v>
      </c>
      <c r="G4251" s="9"/>
      <c r="H4251" s="257" t="s">
        <v>22309</v>
      </c>
      <c r="I4251" s="9">
        <v>3</v>
      </c>
    </row>
    <row r="4252" spans="1:9">
      <c r="A4252" s="257" t="s">
        <v>5350</v>
      </c>
      <c r="B4252" s="9">
        <v>3</v>
      </c>
      <c r="C4252" s="257" t="s">
        <v>11778</v>
      </c>
      <c r="D4252" s="9">
        <v>4.5661713889241617E-2</v>
      </c>
      <c r="E4252" s="9">
        <v>1724459.8235549927</v>
      </c>
      <c r="F4252" s="257" t="s">
        <v>16134</v>
      </c>
      <c r="G4252" s="9"/>
      <c r="H4252" s="257" t="s">
        <v>22310</v>
      </c>
      <c r="I4252" s="9">
        <v>3</v>
      </c>
    </row>
    <row r="4253" spans="1:9">
      <c r="A4253" s="257" t="s">
        <v>5351</v>
      </c>
      <c r="B4253" s="9">
        <v>3</v>
      </c>
      <c r="C4253" s="257" t="s">
        <v>11779</v>
      </c>
      <c r="D4253" s="9">
        <v>66.360422975708531</v>
      </c>
      <c r="E4253" s="9">
        <v>1724459.8235549927</v>
      </c>
      <c r="F4253" s="257" t="s">
        <v>16134</v>
      </c>
      <c r="G4253" s="9"/>
      <c r="H4253" s="257" t="s">
        <v>22311</v>
      </c>
      <c r="I4253" s="9">
        <v>3</v>
      </c>
    </row>
    <row r="4254" spans="1:9">
      <c r="A4254" s="257" t="s">
        <v>5352</v>
      </c>
      <c r="B4254" s="9">
        <v>3</v>
      </c>
      <c r="C4254" s="257" t="s">
        <v>11780</v>
      </c>
      <c r="D4254" s="9">
        <v>558196.97508239746</v>
      </c>
      <c r="E4254" s="9">
        <v>1724459.8235549927</v>
      </c>
      <c r="F4254" s="257" t="s">
        <v>16135</v>
      </c>
      <c r="G4254" s="9"/>
      <c r="H4254" s="257" t="s">
        <v>22312</v>
      </c>
      <c r="I4254" s="9">
        <v>3</v>
      </c>
    </row>
    <row r="4255" spans="1:9">
      <c r="A4255" s="257" t="s">
        <v>5353</v>
      </c>
      <c r="B4255" s="9">
        <v>3</v>
      </c>
      <c r="C4255" s="257" t="s">
        <v>11781</v>
      </c>
      <c r="D4255" s="9">
        <v>861867402.01983845</v>
      </c>
      <c r="E4255" s="9">
        <v>1724459.8235549927</v>
      </c>
      <c r="F4255" s="257" t="s">
        <v>16135</v>
      </c>
      <c r="G4255" s="9"/>
      <c r="H4255" s="257" t="s">
        <v>22313</v>
      </c>
      <c r="I4255" s="9">
        <v>3</v>
      </c>
    </row>
    <row r="4256" spans="1:9">
      <c r="A4256" s="257" t="s">
        <v>5354</v>
      </c>
      <c r="B4256" s="9">
        <v>3</v>
      </c>
      <c r="C4256" s="257" t="s">
        <v>11782</v>
      </c>
      <c r="D4256" s="9">
        <v>0.32369381266979497</v>
      </c>
      <c r="E4256" s="9">
        <v>1724459.8235549927</v>
      </c>
      <c r="F4256" s="257" t="s">
        <v>16135</v>
      </c>
      <c r="G4256" s="9"/>
      <c r="H4256" s="257" t="s">
        <v>22314</v>
      </c>
      <c r="I4256" s="9">
        <v>3</v>
      </c>
    </row>
    <row r="4257" spans="1:9">
      <c r="A4257" s="257" t="s">
        <v>5355</v>
      </c>
      <c r="B4257" s="9">
        <v>3</v>
      </c>
      <c r="C4257" s="257" t="s">
        <v>11783</v>
      </c>
      <c r="D4257" s="9">
        <v>499.78978358747116</v>
      </c>
      <c r="E4257" s="9">
        <v>1724459.8235549927</v>
      </c>
      <c r="F4257" s="257" t="s">
        <v>16135</v>
      </c>
      <c r="G4257" s="9"/>
      <c r="H4257" s="257" t="s">
        <v>22315</v>
      </c>
      <c r="I4257" s="9">
        <v>3</v>
      </c>
    </row>
    <row r="4258" spans="1:9">
      <c r="A4258" s="257" t="s">
        <v>5356</v>
      </c>
      <c r="B4258" s="9">
        <v>3</v>
      </c>
      <c r="C4258" s="257" t="s">
        <v>11784</v>
      </c>
      <c r="D4258" s="9">
        <v>0</v>
      </c>
      <c r="E4258" s="9">
        <v>1724459.8235549927</v>
      </c>
      <c r="F4258" s="257" t="s">
        <v>16136</v>
      </c>
      <c r="G4258" s="9"/>
      <c r="H4258" s="257" t="s">
        <v>22316</v>
      </c>
      <c r="I4258" s="9">
        <v>3</v>
      </c>
    </row>
    <row r="4259" spans="1:9">
      <c r="A4259" s="257" t="s">
        <v>5357</v>
      </c>
      <c r="B4259" s="9">
        <v>3</v>
      </c>
      <c r="C4259" s="257" t="s">
        <v>11785</v>
      </c>
      <c r="D4259" s="9">
        <v>0</v>
      </c>
      <c r="E4259" s="9">
        <v>1724459.8235549927</v>
      </c>
      <c r="F4259" s="257" t="s">
        <v>16136</v>
      </c>
      <c r="G4259" s="9"/>
      <c r="H4259" s="257" t="s">
        <v>22317</v>
      </c>
      <c r="I4259" s="9">
        <v>3</v>
      </c>
    </row>
    <row r="4260" spans="1:9">
      <c r="A4260" s="257" t="s">
        <v>5358</v>
      </c>
      <c r="B4260" s="9">
        <v>3</v>
      </c>
      <c r="C4260" s="257" t="s">
        <v>11786</v>
      </c>
      <c r="D4260" s="9">
        <v>0</v>
      </c>
      <c r="E4260" s="9">
        <v>1724459.8235549927</v>
      </c>
      <c r="F4260" s="257" t="s">
        <v>16136</v>
      </c>
      <c r="G4260" s="9"/>
      <c r="H4260" s="257" t="s">
        <v>22318</v>
      </c>
      <c r="I4260" s="9">
        <v>3</v>
      </c>
    </row>
    <row r="4261" spans="1:9">
      <c r="A4261" s="257" t="s">
        <v>5359</v>
      </c>
      <c r="B4261" s="9">
        <v>3</v>
      </c>
      <c r="C4261" s="257" t="s">
        <v>11787</v>
      </c>
      <c r="D4261" s="9">
        <v>0</v>
      </c>
      <c r="E4261" s="9">
        <v>1724459.8235549927</v>
      </c>
      <c r="F4261" s="257" t="s">
        <v>16136</v>
      </c>
      <c r="G4261" s="9"/>
      <c r="H4261" s="257" t="s">
        <v>22319</v>
      </c>
      <c r="I4261" s="9">
        <v>3</v>
      </c>
    </row>
    <row r="4262" spans="1:9">
      <c r="A4262" s="257" t="s">
        <v>5360</v>
      </c>
      <c r="B4262" s="9">
        <v>4</v>
      </c>
      <c r="C4262" s="257" t="s">
        <v>11788</v>
      </c>
      <c r="D4262" s="9">
        <v>620191.47164916992</v>
      </c>
      <c r="E4262" s="9">
        <v>1728561.5107574463</v>
      </c>
      <c r="F4262" s="257" t="s">
        <v>16137</v>
      </c>
      <c r="G4262" s="9"/>
      <c r="H4262" s="257" t="s">
        <v>22320</v>
      </c>
      <c r="I4262" s="9">
        <v>3</v>
      </c>
    </row>
    <row r="4263" spans="1:9">
      <c r="A4263" s="257" t="s">
        <v>5361</v>
      </c>
      <c r="B4263" s="9">
        <v>4</v>
      </c>
      <c r="C4263" s="257" t="s">
        <v>11789</v>
      </c>
      <c r="D4263" s="9">
        <v>1816564010.6574709</v>
      </c>
      <c r="E4263" s="9">
        <v>1728561.5107574463</v>
      </c>
      <c r="F4263" s="257" t="s">
        <v>16137</v>
      </c>
      <c r="G4263" s="9"/>
      <c r="H4263" s="257" t="s">
        <v>22321</v>
      </c>
      <c r="I4263" s="9">
        <v>3</v>
      </c>
    </row>
    <row r="4264" spans="1:9">
      <c r="A4264" s="257" t="s">
        <v>5362</v>
      </c>
      <c r="B4264" s="9">
        <v>4</v>
      </c>
      <c r="C4264" s="257" t="s">
        <v>11790</v>
      </c>
      <c r="D4264" s="9">
        <v>0.35879051326174988</v>
      </c>
      <c r="E4264" s="9">
        <v>1728561.5107574463</v>
      </c>
      <c r="F4264" s="257" t="s">
        <v>16137</v>
      </c>
      <c r="G4264" s="9"/>
      <c r="H4264" s="257" t="s">
        <v>22322</v>
      </c>
      <c r="I4264" s="9">
        <v>3</v>
      </c>
    </row>
    <row r="4265" spans="1:9">
      <c r="A4265" s="257" t="s">
        <v>5363</v>
      </c>
      <c r="B4265" s="9">
        <v>4</v>
      </c>
      <c r="C4265" s="257" t="s">
        <v>11791</v>
      </c>
      <c r="D4265" s="9">
        <v>1050.9108292371166</v>
      </c>
      <c r="E4265" s="9">
        <v>1728561.5107574463</v>
      </c>
      <c r="F4265" s="257" t="s">
        <v>16137</v>
      </c>
      <c r="G4265" s="9"/>
      <c r="H4265" s="257" t="s">
        <v>22323</v>
      </c>
      <c r="I4265" s="9">
        <v>3</v>
      </c>
    </row>
    <row r="4266" spans="1:9">
      <c r="A4266" s="257" t="s">
        <v>5364</v>
      </c>
      <c r="B4266" s="9">
        <v>4</v>
      </c>
      <c r="C4266" s="257" t="s">
        <v>11792</v>
      </c>
      <c r="D4266" s="9">
        <v>0</v>
      </c>
      <c r="E4266" s="9">
        <v>1728561.5107574463</v>
      </c>
      <c r="F4266" s="257" t="s">
        <v>16138</v>
      </c>
      <c r="G4266" s="9"/>
      <c r="H4266" s="257" t="s">
        <v>22324</v>
      </c>
      <c r="I4266" s="9">
        <v>3</v>
      </c>
    </row>
    <row r="4267" spans="1:9">
      <c r="A4267" s="257" t="s">
        <v>5365</v>
      </c>
      <c r="B4267" s="9">
        <v>4</v>
      </c>
      <c r="C4267" s="257" t="s">
        <v>11793</v>
      </c>
      <c r="D4267" s="9">
        <v>0</v>
      </c>
      <c r="E4267" s="9">
        <v>1728561.5107574463</v>
      </c>
      <c r="F4267" s="257" t="s">
        <v>16138</v>
      </c>
      <c r="G4267" s="9"/>
      <c r="H4267" s="257" t="s">
        <v>22325</v>
      </c>
      <c r="I4267" s="9">
        <v>3</v>
      </c>
    </row>
    <row r="4268" spans="1:9">
      <c r="A4268" s="257" t="s">
        <v>5366</v>
      </c>
      <c r="B4268" s="9">
        <v>4</v>
      </c>
      <c r="C4268" s="257" t="s">
        <v>11794</v>
      </c>
      <c r="D4268" s="9">
        <v>0</v>
      </c>
      <c r="E4268" s="9">
        <v>1728561.5107574463</v>
      </c>
      <c r="F4268" s="257" t="s">
        <v>16138</v>
      </c>
      <c r="G4268" s="9"/>
      <c r="H4268" s="257" t="s">
        <v>22326</v>
      </c>
      <c r="I4268" s="9">
        <v>3</v>
      </c>
    </row>
    <row r="4269" spans="1:9">
      <c r="A4269" s="257" t="s">
        <v>5367</v>
      </c>
      <c r="B4269" s="9">
        <v>4</v>
      </c>
      <c r="C4269" s="257" t="s">
        <v>11795</v>
      </c>
      <c r="D4269" s="9">
        <v>0</v>
      </c>
      <c r="E4269" s="9">
        <v>1728561.5107574463</v>
      </c>
      <c r="F4269" s="257" t="s">
        <v>16138</v>
      </c>
      <c r="G4269" s="9"/>
      <c r="H4269" s="257" t="s">
        <v>22327</v>
      </c>
      <c r="I4269" s="9">
        <v>3</v>
      </c>
    </row>
    <row r="4270" spans="1:9">
      <c r="A4270" s="257" t="s">
        <v>5368</v>
      </c>
      <c r="B4270" s="9">
        <v>4</v>
      </c>
      <c r="C4270" s="257" t="s">
        <v>11796</v>
      </c>
      <c r="D4270" s="9">
        <v>0</v>
      </c>
      <c r="E4270" s="9">
        <v>1728561.5107574463</v>
      </c>
      <c r="F4270" s="257" t="s">
        <v>16139</v>
      </c>
      <c r="G4270" s="9"/>
      <c r="H4270" s="257" t="s">
        <v>22328</v>
      </c>
      <c r="I4270" s="9">
        <v>3</v>
      </c>
    </row>
    <row r="4271" spans="1:9">
      <c r="A4271" s="257" t="s">
        <v>5369</v>
      </c>
      <c r="B4271" s="9">
        <v>4</v>
      </c>
      <c r="C4271" s="257" t="s">
        <v>11797</v>
      </c>
      <c r="D4271" s="9">
        <v>0</v>
      </c>
      <c r="E4271" s="9">
        <v>1728561.5107574463</v>
      </c>
      <c r="F4271" s="257" t="s">
        <v>16139</v>
      </c>
      <c r="G4271" s="9"/>
      <c r="H4271" s="257" t="s">
        <v>22329</v>
      </c>
      <c r="I4271" s="9">
        <v>3</v>
      </c>
    </row>
    <row r="4272" spans="1:9">
      <c r="A4272" s="257" t="s">
        <v>5370</v>
      </c>
      <c r="B4272" s="9">
        <v>4</v>
      </c>
      <c r="C4272" s="257" t="s">
        <v>11798</v>
      </c>
      <c r="D4272" s="9">
        <v>0</v>
      </c>
      <c r="E4272" s="9">
        <v>1728561.5107574463</v>
      </c>
      <c r="F4272" s="257" t="s">
        <v>16139</v>
      </c>
      <c r="G4272" s="9"/>
      <c r="H4272" s="257" t="s">
        <v>22330</v>
      </c>
      <c r="I4272" s="9">
        <v>3</v>
      </c>
    </row>
    <row r="4273" spans="1:9">
      <c r="A4273" s="257" t="s">
        <v>5371</v>
      </c>
      <c r="B4273" s="9">
        <v>4</v>
      </c>
      <c r="C4273" s="257" t="s">
        <v>11799</v>
      </c>
      <c r="D4273" s="9">
        <v>0</v>
      </c>
      <c r="E4273" s="9">
        <v>1728561.5107574463</v>
      </c>
      <c r="F4273" s="257" t="s">
        <v>16139</v>
      </c>
      <c r="G4273" s="9"/>
      <c r="H4273" s="257" t="s">
        <v>22331</v>
      </c>
      <c r="I4273" s="9">
        <v>3</v>
      </c>
    </row>
    <row r="4274" spans="1:9">
      <c r="A4274" s="257" t="s">
        <v>5372</v>
      </c>
      <c r="B4274" s="9">
        <v>4</v>
      </c>
      <c r="C4274" s="257" t="s">
        <v>11800</v>
      </c>
      <c r="D4274" s="9">
        <v>0</v>
      </c>
      <c r="E4274" s="9">
        <v>1728561.5107574463</v>
      </c>
      <c r="F4274" s="257" t="s">
        <v>16140</v>
      </c>
      <c r="G4274" s="9"/>
      <c r="H4274" s="257" t="s">
        <v>22332</v>
      </c>
      <c r="I4274" s="9">
        <v>3</v>
      </c>
    </row>
    <row r="4275" spans="1:9">
      <c r="A4275" s="257" t="s">
        <v>5373</v>
      </c>
      <c r="B4275" s="9">
        <v>4</v>
      </c>
      <c r="C4275" s="257" t="s">
        <v>11801</v>
      </c>
      <c r="D4275" s="9">
        <v>0</v>
      </c>
      <c r="E4275" s="9">
        <v>1728561.5107574463</v>
      </c>
      <c r="F4275" s="257" t="s">
        <v>16140</v>
      </c>
      <c r="G4275" s="9"/>
      <c r="H4275" s="257" t="s">
        <v>22333</v>
      </c>
      <c r="I4275" s="9">
        <v>3</v>
      </c>
    </row>
    <row r="4276" spans="1:9">
      <c r="A4276" s="257" t="s">
        <v>5374</v>
      </c>
      <c r="B4276" s="9">
        <v>4</v>
      </c>
      <c r="C4276" s="257" t="s">
        <v>11802</v>
      </c>
      <c r="D4276" s="9">
        <v>0</v>
      </c>
      <c r="E4276" s="9">
        <v>1728561.5107574463</v>
      </c>
      <c r="F4276" s="257" t="s">
        <v>16140</v>
      </c>
      <c r="G4276" s="9"/>
      <c r="H4276" s="257" t="s">
        <v>22334</v>
      </c>
      <c r="I4276" s="9">
        <v>3</v>
      </c>
    </row>
    <row r="4277" spans="1:9">
      <c r="A4277" s="257" t="s">
        <v>5375</v>
      </c>
      <c r="B4277" s="9">
        <v>4</v>
      </c>
      <c r="C4277" s="257" t="s">
        <v>11803</v>
      </c>
      <c r="D4277" s="9">
        <v>0</v>
      </c>
      <c r="E4277" s="9">
        <v>1728561.5107574463</v>
      </c>
      <c r="F4277" s="257" t="s">
        <v>16140</v>
      </c>
      <c r="G4277" s="9"/>
      <c r="H4277" s="257" t="s">
        <v>22335</v>
      </c>
      <c r="I4277" s="9">
        <v>3</v>
      </c>
    </row>
    <row r="4278" spans="1:9">
      <c r="A4278" s="257" t="s">
        <v>5376</v>
      </c>
      <c r="B4278" s="9">
        <v>4</v>
      </c>
      <c r="C4278" s="257" t="s">
        <v>11804</v>
      </c>
      <c r="D4278" s="9">
        <v>0</v>
      </c>
      <c r="E4278" s="9">
        <v>1728561.5107574463</v>
      </c>
      <c r="F4278" s="257" t="s">
        <v>16141</v>
      </c>
      <c r="G4278" s="9"/>
      <c r="H4278" s="257" t="s">
        <v>22336</v>
      </c>
      <c r="I4278" s="9">
        <v>3</v>
      </c>
    </row>
    <row r="4279" spans="1:9">
      <c r="A4279" s="257" t="s">
        <v>5377</v>
      </c>
      <c r="B4279" s="9">
        <v>4</v>
      </c>
      <c r="C4279" s="257" t="s">
        <v>11805</v>
      </c>
      <c r="D4279" s="9">
        <v>0</v>
      </c>
      <c r="E4279" s="9">
        <v>1728561.5107574463</v>
      </c>
      <c r="F4279" s="257" t="s">
        <v>16141</v>
      </c>
      <c r="G4279" s="9"/>
      <c r="H4279" s="257" t="s">
        <v>22337</v>
      </c>
      <c r="I4279" s="9">
        <v>3</v>
      </c>
    </row>
    <row r="4280" spans="1:9">
      <c r="A4280" s="257" t="s">
        <v>5378</v>
      </c>
      <c r="B4280" s="9">
        <v>4</v>
      </c>
      <c r="C4280" s="257" t="s">
        <v>11806</v>
      </c>
      <c r="D4280" s="9">
        <v>0</v>
      </c>
      <c r="E4280" s="9">
        <v>1728561.5107574463</v>
      </c>
      <c r="F4280" s="257" t="s">
        <v>16141</v>
      </c>
      <c r="G4280" s="9"/>
      <c r="H4280" s="257" t="s">
        <v>22338</v>
      </c>
      <c r="I4280" s="9">
        <v>3</v>
      </c>
    </row>
    <row r="4281" spans="1:9">
      <c r="A4281" s="257" t="s">
        <v>5379</v>
      </c>
      <c r="B4281" s="9">
        <v>4</v>
      </c>
      <c r="C4281" s="257" t="s">
        <v>11807</v>
      </c>
      <c r="D4281" s="9">
        <v>0</v>
      </c>
      <c r="E4281" s="9">
        <v>1728561.5107574463</v>
      </c>
      <c r="F4281" s="257" t="s">
        <v>16141</v>
      </c>
      <c r="G4281" s="9"/>
      <c r="H4281" s="257" t="s">
        <v>22339</v>
      </c>
      <c r="I4281" s="9">
        <v>3</v>
      </c>
    </row>
    <row r="4282" spans="1:9">
      <c r="A4282" s="257" t="s">
        <v>5380</v>
      </c>
      <c r="B4282" s="9">
        <v>4</v>
      </c>
      <c r="C4282" s="257" t="s">
        <v>11808</v>
      </c>
      <c r="D4282" s="9">
        <v>0</v>
      </c>
      <c r="E4282" s="9">
        <v>1728561.5107574463</v>
      </c>
      <c r="F4282" s="257" t="s">
        <v>16142</v>
      </c>
      <c r="G4282" s="9"/>
      <c r="H4282" s="257" t="s">
        <v>22340</v>
      </c>
      <c r="I4282" s="9">
        <v>3</v>
      </c>
    </row>
    <row r="4283" spans="1:9">
      <c r="A4283" s="257" t="s">
        <v>5381</v>
      </c>
      <c r="B4283" s="9">
        <v>4</v>
      </c>
      <c r="C4283" s="257" t="s">
        <v>11809</v>
      </c>
      <c r="D4283" s="9">
        <v>0</v>
      </c>
      <c r="E4283" s="9">
        <v>1728561.5107574463</v>
      </c>
      <c r="F4283" s="257" t="s">
        <v>16142</v>
      </c>
      <c r="G4283" s="9"/>
      <c r="H4283" s="257" t="s">
        <v>22341</v>
      </c>
      <c r="I4283" s="9">
        <v>3</v>
      </c>
    </row>
    <row r="4284" spans="1:9">
      <c r="A4284" s="257" t="s">
        <v>5382</v>
      </c>
      <c r="B4284" s="9">
        <v>4</v>
      </c>
      <c r="C4284" s="257" t="s">
        <v>11810</v>
      </c>
      <c r="D4284" s="9">
        <v>0</v>
      </c>
      <c r="E4284" s="9">
        <v>1728561.5107574463</v>
      </c>
      <c r="F4284" s="257" t="s">
        <v>16142</v>
      </c>
      <c r="G4284" s="9"/>
      <c r="H4284" s="257" t="s">
        <v>22342</v>
      </c>
      <c r="I4284" s="9">
        <v>3</v>
      </c>
    </row>
    <row r="4285" spans="1:9">
      <c r="A4285" s="257" t="s">
        <v>5383</v>
      </c>
      <c r="B4285" s="9">
        <v>4</v>
      </c>
      <c r="C4285" s="257" t="s">
        <v>11811</v>
      </c>
      <c r="D4285" s="9">
        <v>0</v>
      </c>
      <c r="E4285" s="9">
        <v>1728561.5107574463</v>
      </c>
      <c r="F4285" s="257" t="s">
        <v>16142</v>
      </c>
      <c r="G4285" s="9"/>
      <c r="H4285" s="257" t="s">
        <v>22343</v>
      </c>
      <c r="I4285" s="9">
        <v>3</v>
      </c>
    </row>
    <row r="4286" spans="1:9">
      <c r="A4286" s="257" t="s">
        <v>5384</v>
      </c>
      <c r="B4286" s="9">
        <v>4</v>
      </c>
      <c r="C4286" s="257" t="s">
        <v>11812</v>
      </c>
      <c r="D4286" s="9">
        <v>0</v>
      </c>
      <c r="E4286" s="9">
        <v>1728561.5107574463</v>
      </c>
      <c r="F4286" s="257" t="s">
        <v>16143</v>
      </c>
      <c r="G4286" s="9"/>
      <c r="H4286" s="257" t="s">
        <v>22344</v>
      </c>
      <c r="I4286" s="9">
        <v>3</v>
      </c>
    </row>
    <row r="4287" spans="1:9">
      <c r="A4287" s="257" t="s">
        <v>5385</v>
      </c>
      <c r="B4287" s="9">
        <v>4</v>
      </c>
      <c r="C4287" s="257" t="s">
        <v>11813</v>
      </c>
      <c r="D4287" s="9">
        <v>0</v>
      </c>
      <c r="E4287" s="9">
        <v>1728561.5107574463</v>
      </c>
      <c r="F4287" s="257" t="s">
        <v>16143</v>
      </c>
      <c r="G4287" s="9"/>
      <c r="H4287" s="257" t="s">
        <v>22345</v>
      </c>
      <c r="I4287" s="9">
        <v>3</v>
      </c>
    </row>
    <row r="4288" spans="1:9">
      <c r="A4288" s="257" t="s">
        <v>5386</v>
      </c>
      <c r="B4288" s="9">
        <v>4</v>
      </c>
      <c r="C4288" s="257" t="s">
        <v>11814</v>
      </c>
      <c r="D4288" s="9">
        <v>0</v>
      </c>
      <c r="E4288" s="9">
        <v>1728561.5107574463</v>
      </c>
      <c r="F4288" s="257" t="s">
        <v>16143</v>
      </c>
      <c r="G4288" s="9"/>
      <c r="H4288" s="257" t="s">
        <v>22346</v>
      </c>
      <c r="I4288" s="9">
        <v>3</v>
      </c>
    </row>
    <row r="4289" spans="1:9">
      <c r="A4289" s="257" t="s">
        <v>5387</v>
      </c>
      <c r="B4289" s="9">
        <v>4</v>
      </c>
      <c r="C4289" s="257" t="s">
        <v>11815</v>
      </c>
      <c r="D4289" s="9">
        <v>0</v>
      </c>
      <c r="E4289" s="9">
        <v>1728561.5107574463</v>
      </c>
      <c r="F4289" s="257" t="s">
        <v>16143</v>
      </c>
      <c r="G4289" s="9"/>
      <c r="H4289" s="257" t="s">
        <v>22347</v>
      </c>
      <c r="I4289" s="9">
        <v>3</v>
      </c>
    </row>
    <row r="4290" spans="1:9">
      <c r="A4290" s="257" t="s">
        <v>5388</v>
      </c>
      <c r="B4290" s="9">
        <v>4</v>
      </c>
      <c r="C4290" s="257" t="s">
        <v>11816</v>
      </c>
      <c r="D4290" s="9">
        <v>0</v>
      </c>
      <c r="E4290" s="9">
        <v>1728561.5107574463</v>
      </c>
      <c r="F4290" s="257" t="s">
        <v>16144</v>
      </c>
      <c r="G4290" s="9"/>
      <c r="H4290" s="257" t="s">
        <v>22348</v>
      </c>
      <c r="I4290" s="9">
        <v>3</v>
      </c>
    </row>
    <row r="4291" spans="1:9">
      <c r="A4291" s="257" t="s">
        <v>5389</v>
      </c>
      <c r="B4291" s="9">
        <v>4</v>
      </c>
      <c r="C4291" s="257" t="s">
        <v>11817</v>
      </c>
      <c r="D4291" s="9">
        <v>0</v>
      </c>
      <c r="E4291" s="9">
        <v>1728561.5107574463</v>
      </c>
      <c r="F4291" s="257" t="s">
        <v>16144</v>
      </c>
      <c r="G4291" s="9"/>
      <c r="H4291" s="257" t="s">
        <v>22349</v>
      </c>
      <c r="I4291" s="9">
        <v>3</v>
      </c>
    </row>
    <row r="4292" spans="1:9">
      <c r="A4292" s="257" t="s">
        <v>5390</v>
      </c>
      <c r="B4292" s="9">
        <v>4</v>
      </c>
      <c r="C4292" s="257" t="s">
        <v>11818</v>
      </c>
      <c r="D4292" s="9">
        <v>0</v>
      </c>
      <c r="E4292" s="9">
        <v>1728561.5107574463</v>
      </c>
      <c r="F4292" s="257" t="s">
        <v>16144</v>
      </c>
      <c r="G4292" s="9"/>
      <c r="H4292" s="257" t="s">
        <v>22350</v>
      </c>
      <c r="I4292" s="9">
        <v>3</v>
      </c>
    </row>
    <row r="4293" spans="1:9">
      <c r="A4293" s="257" t="s">
        <v>5391</v>
      </c>
      <c r="B4293" s="9">
        <v>4</v>
      </c>
      <c r="C4293" s="257" t="s">
        <v>11819</v>
      </c>
      <c r="D4293" s="9">
        <v>0</v>
      </c>
      <c r="E4293" s="9">
        <v>1728561.5107574463</v>
      </c>
      <c r="F4293" s="257" t="s">
        <v>16144</v>
      </c>
      <c r="G4293" s="9"/>
      <c r="H4293" s="257" t="s">
        <v>22351</v>
      </c>
      <c r="I4293" s="9">
        <v>3</v>
      </c>
    </row>
    <row r="4294" spans="1:9">
      <c r="A4294" s="257" t="s">
        <v>5392</v>
      </c>
      <c r="B4294" s="9">
        <v>4</v>
      </c>
      <c r="C4294" s="257" t="s">
        <v>11820</v>
      </c>
      <c r="D4294" s="9">
        <v>1728561.5107574463</v>
      </c>
      <c r="E4294" s="9">
        <v>1728561.5107574463</v>
      </c>
      <c r="F4294" s="257" t="s">
        <v>16145</v>
      </c>
      <c r="G4294" s="9"/>
      <c r="H4294" s="257" t="s">
        <v>22352</v>
      </c>
      <c r="I4294" s="9">
        <v>3</v>
      </c>
    </row>
    <row r="4295" spans="1:9">
      <c r="A4295" s="257" t="s">
        <v>5393</v>
      </c>
      <c r="B4295" s="9">
        <v>4</v>
      </c>
      <c r="C4295" s="257" t="s">
        <v>11821</v>
      </c>
      <c r="D4295" s="9">
        <v>4503375085.8021078</v>
      </c>
      <c r="E4295" s="9">
        <v>1728561.5107574463</v>
      </c>
      <c r="F4295" s="257" t="s">
        <v>16145</v>
      </c>
      <c r="G4295" s="9"/>
      <c r="H4295" s="257" t="s">
        <v>22353</v>
      </c>
      <c r="I4295" s="9">
        <v>3</v>
      </c>
    </row>
    <row r="4296" spans="1:9">
      <c r="A4296" s="257" t="s">
        <v>5394</v>
      </c>
      <c r="B4296" s="9">
        <v>4</v>
      </c>
      <c r="C4296" s="257" t="s">
        <v>11822</v>
      </c>
      <c r="D4296" s="9">
        <v>1</v>
      </c>
      <c r="E4296" s="9">
        <v>1728561.5107574463</v>
      </c>
      <c r="F4296" s="257" t="s">
        <v>16145</v>
      </c>
      <c r="G4296" s="9"/>
      <c r="H4296" s="257" t="s">
        <v>22354</v>
      </c>
      <c r="I4296" s="9">
        <v>3</v>
      </c>
    </row>
    <row r="4297" spans="1:9">
      <c r="A4297" s="257" t="s">
        <v>5395</v>
      </c>
      <c r="B4297" s="9">
        <v>4</v>
      </c>
      <c r="C4297" s="257" t="s">
        <v>11823</v>
      </c>
      <c r="D4297" s="9">
        <v>2605.2732620598231</v>
      </c>
      <c r="E4297" s="9">
        <v>1728561.5107574463</v>
      </c>
      <c r="F4297" s="257" t="s">
        <v>16145</v>
      </c>
      <c r="G4297" s="9"/>
      <c r="H4297" s="257" t="s">
        <v>22355</v>
      </c>
      <c r="I4297" s="9">
        <v>3</v>
      </c>
    </row>
    <row r="4298" spans="1:9">
      <c r="A4298" s="257" t="s">
        <v>5396</v>
      </c>
      <c r="B4298" s="9">
        <v>4</v>
      </c>
      <c r="C4298" s="257" t="s">
        <v>11824</v>
      </c>
      <c r="D4298" s="9">
        <v>1728561.5107574463</v>
      </c>
      <c r="E4298" s="9">
        <v>1728561.5107574463</v>
      </c>
      <c r="F4298" s="257" t="s">
        <v>16146</v>
      </c>
      <c r="G4298" s="9"/>
      <c r="H4298" s="257" t="s">
        <v>22356</v>
      </c>
      <c r="I4298" s="9">
        <v>3</v>
      </c>
    </row>
    <row r="4299" spans="1:9">
      <c r="A4299" s="257" t="s">
        <v>5397</v>
      </c>
      <c r="B4299" s="9">
        <v>4</v>
      </c>
      <c r="C4299" s="257" t="s">
        <v>11825</v>
      </c>
      <c r="D4299" s="9">
        <v>4503375085.8021078</v>
      </c>
      <c r="E4299" s="9">
        <v>1728561.5107574463</v>
      </c>
      <c r="F4299" s="257" t="s">
        <v>16146</v>
      </c>
      <c r="G4299" s="9"/>
      <c r="H4299" s="257" t="s">
        <v>22357</v>
      </c>
      <c r="I4299" s="9">
        <v>3</v>
      </c>
    </row>
    <row r="4300" spans="1:9">
      <c r="A4300" s="257" t="s">
        <v>5398</v>
      </c>
      <c r="B4300" s="9">
        <v>4</v>
      </c>
      <c r="C4300" s="257" t="s">
        <v>11826</v>
      </c>
      <c r="D4300" s="9">
        <v>1</v>
      </c>
      <c r="E4300" s="9">
        <v>1728561.5107574463</v>
      </c>
      <c r="F4300" s="257" t="s">
        <v>16146</v>
      </c>
      <c r="G4300" s="9"/>
      <c r="H4300" s="257" t="s">
        <v>22358</v>
      </c>
      <c r="I4300" s="9">
        <v>3</v>
      </c>
    </row>
    <row r="4301" spans="1:9">
      <c r="A4301" s="257" t="s">
        <v>5399</v>
      </c>
      <c r="B4301" s="9">
        <v>4</v>
      </c>
      <c r="C4301" s="257" t="s">
        <v>11827</v>
      </c>
      <c r="D4301" s="9">
        <v>2605.2732620598231</v>
      </c>
      <c r="E4301" s="9">
        <v>1728561.5107574463</v>
      </c>
      <c r="F4301" s="257" t="s">
        <v>16146</v>
      </c>
      <c r="G4301" s="9"/>
      <c r="H4301" s="257" t="s">
        <v>22359</v>
      </c>
      <c r="I4301" s="9">
        <v>3</v>
      </c>
    </row>
    <row r="4302" spans="1:9">
      <c r="A4302" s="257" t="s">
        <v>5400</v>
      </c>
      <c r="B4302" s="9">
        <v>4</v>
      </c>
      <c r="C4302" s="257" t="s">
        <v>11828</v>
      </c>
      <c r="D4302" s="9">
        <v>1728561.5107574463</v>
      </c>
      <c r="E4302" s="9">
        <v>1728561.5107574463</v>
      </c>
      <c r="F4302" s="257" t="s">
        <v>16147</v>
      </c>
      <c r="G4302" s="9"/>
      <c r="H4302" s="257" t="s">
        <v>22360</v>
      </c>
      <c r="I4302" s="9">
        <v>3</v>
      </c>
    </row>
    <row r="4303" spans="1:9">
      <c r="A4303" s="257" t="s">
        <v>5401</v>
      </c>
      <c r="B4303" s="9">
        <v>4</v>
      </c>
      <c r="C4303" s="257" t="s">
        <v>11829</v>
      </c>
      <c r="D4303" s="9">
        <v>4503375085.8021078</v>
      </c>
      <c r="E4303" s="9">
        <v>1728561.5107574463</v>
      </c>
      <c r="F4303" s="257" t="s">
        <v>16147</v>
      </c>
      <c r="G4303" s="9"/>
      <c r="H4303" s="257" t="s">
        <v>22361</v>
      </c>
      <c r="I4303" s="9">
        <v>3</v>
      </c>
    </row>
    <row r="4304" spans="1:9">
      <c r="A4304" s="257" t="s">
        <v>5402</v>
      </c>
      <c r="B4304" s="9">
        <v>4</v>
      </c>
      <c r="C4304" s="257" t="s">
        <v>11830</v>
      </c>
      <c r="D4304" s="9">
        <v>1</v>
      </c>
      <c r="E4304" s="9">
        <v>1728561.5107574463</v>
      </c>
      <c r="F4304" s="257" t="s">
        <v>16147</v>
      </c>
      <c r="G4304" s="9"/>
      <c r="H4304" s="257" t="s">
        <v>22362</v>
      </c>
      <c r="I4304" s="9">
        <v>3</v>
      </c>
    </row>
    <row r="4305" spans="1:9">
      <c r="A4305" s="257" t="s">
        <v>5403</v>
      </c>
      <c r="B4305" s="9">
        <v>4</v>
      </c>
      <c r="C4305" s="257" t="s">
        <v>11831</v>
      </c>
      <c r="D4305" s="9">
        <v>2605.2732620598231</v>
      </c>
      <c r="E4305" s="9">
        <v>1728561.5107574463</v>
      </c>
      <c r="F4305" s="257" t="s">
        <v>16147</v>
      </c>
      <c r="G4305" s="9"/>
      <c r="H4305" s="257" t="s">
        <v>22363</v>
      </c>
      <c r="I4305" s="9">
        <v>3</v>
      </c>
    </row>
    <row r="4306" spans="1:9">
      <c r="A4306" s="257" t="s">
        <v>5404</v>
      </c>
      <c r="B4306" s="9">
        <v>4</v>
      </c>
      <c r="C4306" s="257" t="s">
        <v>11832</v>
      </c>
      <c r="D4306" s="9">
        <v>1728561.5107574463</v>
      </c>
      <c r="E4306" s="9">
        <v>1728561.5107574463</v>
      </c>
      <c r="F4306" s="257" t="s">
        <v>16148</v>
      </c>
      <c r="G4306" s="9"/>
      <c r="H4306" s="257" t="s">
        <v>22364</v>
      </c>
      <c r="I4306" s="9">
        <v>3</v>
      </c>
    </row>
    <row r="4307" spans="1:9">
      <c r="A4307" s="257" t="s">
        <v>5405</v>
      </c>
      <c r="B4307" s="9">
        <v>4</v>
      </c>
      <c r="C4307" s="257" t="s">
        <v>11833</v>
      </c>
      <c r="D4307" s="9">
        <v>1384526490.3834622</v>
      </c>
      <c r="E4307" s="9">
        <v>1728561.5107574463</v>
      </c>
      <c r="F4307" s="257" t="s">
        <v>16148</v>
      </c>
      <c r="G4307" s="9"/>
      <c r="H4307" s="257" t="s">
        <v>22365</v>
      </c>
      <c r="I4307" s="9">
        <v>3</v>
      </c>
    </row>
    <row r="4308" spans="1:9">
      <c r="A4308" s="257" t="s">
        <v>5406</v>
      </c>
      <c r="B4308" s="9">
        <v>4</v>
      </c>
      <c r="C4308" s="257" t="s">
        <v>11834</v>
      </c>
      <c r="D4308" s="9">
        <v>1</v>
      </c>
      <c r="E4308" s="9">
        <v>1728561.5107574463</v>
      </c>
      <c r="F4308" s="257" t="s">
        <v>16148</v>
      </c>
      <c r="G4308" s="9"/>
      <c r="H4308" s="257" t="s">
        <v>22366</v>
      </c>
      <c r="I4308" s="9">
        <v>3</v>
      </c>
    </row>
    <row r="4309" spans="1:9">
      <c r="A4309" s="257" t="s">
        <v>5407</v>
      </c>
      <c r="B4309" s="9">
        <v>4</v>
      </c>
      <c r="C4309" s="257" t="s">
        <v>11835</v>
      </c>
      <c r="D4309" s="9">
        <v>800.97033386840258</v>
      </c>
      <c r="E4309" s="9">
        <v>1728561.5107574463</v>
      </c>
      <c r="F4309" s="257" t="s">
        <v>16148</v>
      </c>
      <c r="G4309" s="9"/>
      <c r="H4309" s="257" t="s">
        <v>22367</v>
      </c>
      <c r="I4309" s="9">
        <v>3</v>
      </c>
    </row>
    <row r="4310" spans="1:9">
      <c r="A4310" s="257" t="s">
        <v>5408</v>
      </c>
      <c r="B4310" s="9">
        <v>4</v>
      </c>
      <c r="C4310" s="257" t="s">
        <v>11836</v>
      </c>
      <c r="D4310" s="9">
        <v>663158.64059448242</v>
      </c>
      <c r="E4310" s="9">
        <v>1728561.5107574463</v>
      </c>
      <c r="F4310" s="257" t="s">
        <v>16149</v>
      </c>
      <c r="G4310" s="9"/>
      <c r="H4310" s="257" t="s">
        <v>22368</v>
      </c>
      <c r="I4310" s="9">
        <v>3</v>
      </c>
    </row>
    <row r="4311" spans="1:9">
      <c r="A4311" s="257" t="s">
        <v>5409</v>
      </c>
      <c r="B4311" s="9">
        <v>4</v>
      </c>
      <c r="C4311" s="257" t="s">
        <v>11837</v>
      </c>
      <c r="D4311" s="9">
        <v>1241488552.7958894</v>
      </c>
      <c r="E4311" s="9">
        <v>1728561.5107574463</v>
      </c>
      <c r="F4311" s="257" t="s">
        <v>16149</v>
      </c>
      <c r="G4311" s="9"/>
      <c r="H4311" s="257" t="s">
        <v>22369</v>
      </c>
      <c r="I4311" s="9">
        <v>3</v>
      </c>
    </row>
    <row r="4312" spans="1:9">
      <c r="A4312" s="257" t="s">
        <v>5410</v>
      </c>
      <c r="B4312" s="9">
        <v>4</v>
      </c>
      <c r="C4312" s="257" t="s">
        <v>11838</v>
      </c>
      <c r="D4312" s="9">
        <v>0.38364769576749969</v>
      </c>
      <c r="E4312" s="9">
        <v>1728561.5107574463</v>
      </c>
      <c r="F4312" s="257" t="s">
        <v>16149</v>
      </c>
      <c r="G4312" s="9"/>
      <c r="H4312" s="257" t="s">
        <v>22370</v>
      </c>
      <c r="I4312" s="9">
        <v>3</v>
      </c>
    </row>
    <row r="4313" spans="1:9">
      <c r="A4313" s="257" t="s">
        <v>5411</v>
      </c>
      <c r="B4313" s="9">
        <v>4</v>
      </c>
      <c r="C4313" s="257" t="s">
        <v>11839</v>
      </c>
      <c r="D4313" s="9">
        <v>718.22063899356169</v>
      </c>
      <c r="E4313" s="9">
        <v>1728561.5107574463</v>
      </c>
      <c r="F4313" s="257" t="s">
        <v>16149</v>
      </c>
      <c r="G4313" s="9"/>
      <c r="H4313" s="257" t="s">
        <v>22371</v>
      </c>
      <c r="I4313" s="9">
        <v>3</v>
      </c>
    </row>
    <row r="4314" spans="1:9">
      <c r="A4314" s="257" t="s">
        <v>5412</v>
      </c>
      <c r="B4314" s="9">
        <v>4</v>
      </c>
      <c r="C4314" s="257" t="s">
        <v>11840</v>
      </c>
      <c r="D4314" s="9">
        <v>1728561.5107574463</v>
      </c>
      <c r="E4314" s="9">
        <v>1728561.5107574463</v>
      </c>
      <c r="F4314" s="257" t="s">
        <v>16150</v>
      </c>
      <c r="G4314" s="9"/>
      <c r="H4314" s="257" t="s">
        <v>22372</v>
      </c>
      <c r="I4314" s="9">
        <v>3</v>
      </c>
    </row>
    <row r="4315" spans="1:9">
      <c r="A4315" s="257" t="s">
        <v>5413</v>
      </c>
      <c r="B4315" s="9">
        <v>4</v>
      </c>
      <c r="C4315" s="257" t="s">
        <v>11841</v>
      </c>
      <c r="D4315" s="9">
        <v>5744863638.5979977</v>
      </c>
      <c r="E4315" s="9">
        <v>1728561.5107574463</v>
      </c>
      <c r="F4315" s="257" t="s">
        <v>16150</v>
      </c>
      <c r="G4315" s="9"/>
      <c r="H4315" s="257" t="s">
        <v>22373</v>
      </c>
      <c r="I4315" s="9">
        <v>3</v>
      </c>
    </row>
    <row r="4316" spans="1:9">
      <c r="A4316" s="257" t="s">
        <v>5414</v>
      </c>
      <c r="B4316" s="9">
        <v>4</v>
      </c>
      <c r="C4316" s="257" t="s">
        <v>11842</v>
      </c>
      <c r="D4316" s="9">
        <v>1</v>
      </c>
      <c r="E4316" s="9">
        <v>1728561.5107574463</v>
      </c>
      <c r="F4316" s="257" t="s">
        <v>16150</v>
      </c>
      <c r="G4316" s="9"/>
      <c r="H4316" s="257" t="s">
        <v>22374</v>
      </c>
      <c r="I4316" s="9">
        <v>3</v>
      </c>
    </row>
    <row r="4317" spans="1:9">
      <c r="A4317" s="257" t="s">
        <v>5415</v>
      </c>
      <c r="B4317" s="9">
        <v>4</v>
      </c>
      <c r="C4317" s="257" t="s">
        <v>11843</v>
      </c>
      <c r="D4317" s="9">
        <v>3323.4939010533849</v>
      </c>
      <c r="E4317" s="9">
        <v>1728561.5107574463</v>
      </c>
      <c r="F4317" s="257" t="s">
        <v>16150</v>
      </c>
      <c r="G4317" s="9"/>
      <c r="H4317" s="257" t="s">
        <v>22375</v>
      </c>
      <c r="I4317" s="9">
        <v>3</v>
      </c>
    </row>
    <row r="4318" spans="1:9">
      <c r="A4318" s="257" t="s">
        <v>5416</v>
      </c>
      <c r="B4318" s="9">
        <v>4</v>
      </c>
      <c r="C4318" s="257" t="s">
        <v>11844</v>
      </c>
      <c r="D4318" s="9">
        <v>1728561.5107574463</v>
      </c>
      <c r="E4318" s="9">
        <v>1728561.5107574463</v>
      </c>
      <c r="F4318" s="257" t="s">
        <v>16151</v>
      </c>
      <c r="G4318" s="9"/>
      <c r="H4318" s="257" t="s">
        <v>22376</v>
      </c>
      <c r="I4318" s="9">
        <v>3</v>
      </c>
    </row>
    <row r="4319" spans="1:9">
      <c r="A4319" s="257" t="s">
        <v>5417</v>
      </c>
      <c r="B4319" s="9">
        <v>4</v>
      </c>
      <c r="C4319" s="257" t="s">
        <v>11845</v>
      </c>
      <c r="D4319" s="9">
        <v>5744863638.5979977</v>
      </c>
      <c r="E4319" s="9">
        <v>1728561.5107574463</v>
      </c>
      <c r="F4319" s="257" t="s">
        <v>16151</v>
      </c>
      <c r="G4319" s="9"/>
      <c r="H4319" s="257" t="s">
        <v>22377</v>
      </c>
      <c r="I4319" s="9">
        <v>3</v>
      </c>
    </row>
    <row r="4320" spans="1:9">
      <c r="A4320" s="257" t="s">
        <v>5418</v>
      </c>
      <c r="B4320" s="9">
        <v>4</v>
      </c>
      <c r="C4320" s="257" t="s">
        <v>11846</v>
      </c>
      <c r="D4320" s="9">
        <v>1</v>
      </c>
      <c r="E4320" s="9">
        <v>1728561.5107574463</v>
      </c>
      <c r="F4320" s="257" t="s">
        <v>16151</v>
      </c>
      <c r="G4320" s="9"/>
      <c r="H4320" s="257" t="s">
        <v>22378</v>
      </c>
      <c r="I4320" s="9">
        <v>3</v>
      </c>
    </row>
    <row r="4321" spans="1:9">
      <c r="A4321" s="257" t="s">
        <v>5419</v>
      </c>
      <c r="B4321" s="9">
        <v>4</v>
      </c>
      <c r="C4321" s="257" t="s">
        <v>11847</v>
      </c>
      <c r="D4321" s="9">
        <v>3323.4939010533849</v>
      </c>
      <c r="E4321" s="9">
        <v>1728561.5107574463</v>
      </c>
      <c r="F4321" s="257" t="s">
        <v>16151</v>
      </c>
      <c r="G4321" s="9"/>
      <c r="H4321" s="257" t="s">
        <v>22379</v>
      </c>
      <c r="I4321" s="9">
        <v>3</v>
      </c>
    </row>
    <row r="4322" spans="1:9">
      <c r="A4322" s="257" t="s">
        <v>5420</v>
      </c>
      <c r="B4322" s="9">
        <v>4</v>
      </c>
      <c r="C4322" s="257" t="s">
        <v>11848</v>
      </c>
      <c r="D4322" s="9">
        <v>829027.22212219238</v>
      </c>
      <c r="E4322" s="9">
        <v>1728561.5107574463</v>
      </c>
      <c r="F4322" s="257" t="s">
        <v>16152</v>
      </c>
      <c r="G4322" s="9"/>
      <c r="H4322" s="257" t="s">
        <v>22380</v>
      </c>
      <c r="I4322" s="9">
        <v>3</v>
      </c>
    </row>
    <row r="4323" spans="1:9">
      <c r="A4323" s="257" t="s">
        <v>5421</v>
      </c>
      <c r="B4323" s="9">
        <v>4</v>
      </c>
      <c r="C4323" s="257" t="s">
        <v>11849</v>
      </c>
      <c r="D4323" s="9">
        <v>2452057689.66151</v>
      </c>
      <c r="E4323" s="9">
        <v>1728561.5107574463</v>
      </c>
      <c r="F4323" s="257" t="s">
        <v>16152</v>
      </c>
      <c r="G4323" s="9"/>
      <c r="H4323" s="257" t="s">
        <v>22381</v>
      </c>
      <c r="I4323" s="9">
        <v>3</v>
      </c>
    </row>
    <row r="4324" spans="1:9">
      <c r="A4324" s="257" t="s">
        <v>5422</v>
      </c>
      <c r="B4324" s="9">
        <v>4</v>
      </c>
      <c r="C4324" s="257" t="s">
        <v>11850</v>
      </c>
      <c r="D4324" s="9">
        <v>0.4796052769675041</v>
      </c>
      <c r="E4324" s="9">
        <v>1728561.5107574463</v>
      </c>
      <c r="F4324" s="257" t="s">
        <v>16152</v>
      </c>
      <c r="G4324" s="9"/>
      <c r="H4324" s="257" t="s">
        <v>22382</v>
      </c>
      <c r="I4324" s="9">
        <v>3</v>
      </c>
    </row>
    <row r="4325" spans="1:9">
      <c r="A4325" s="257" t="s">
        <v>5423</v>
      </c>
      <c r="B4325" s="9">
        <v>4</v>
      </c>
      <c r="C4325" s="257" t="s">
        <v>11851</v>
      </c>
      <c r="D4325" s="9">
        <v>1418.5539099427428</v>
      </c>
      <c r="E4325" s="9">
        <v>1728561.5107574463</v>
      </c>
      <c r="F4325" s="257" t="s">
        <v>16152</v>
      </c>
      <c r="G4325" s="9"/>
      <c r="H4325" s="257" t="s">
        <v>22383</v>
      </c>
      <c r="I4325" s="9">
        <v>3</v>
      </c>
    </row>
    <row r="4326" spans="1:9">
      <c r="A4326" s="257" t="s">
        <v>5424</v>
      </c>
      <c r="B4326" s="9">
        <v>4</v>
      </c>
      <c r="C4326" s="257" t="s">
        <v>11852</v>
      </c>
      <c r="D4326" s="9">
        <v>829027.22212219238</v>
      </c>
      <c r="E4326" s="9">
        <v>1728561.5107574463</v>
      </c>
      <c r="F4326" s="257" t="s">
        <v>16153</v>
      </c>
      <c r="G4326" s="9"/>
      <c r="H4326" s="257" t="s">
        <v>22384</v>
      </c>
      <c r="I4326" s="9">
        <v>3</v>
      </c>
    </row>
    <row r="4327" spans="1:9">
      <c r="A4327" s="257" t="s">
        <v>5425</v>
      </c>
      <c r="B4327" s="9">
        <v>4</v>
      </c>
      <c r="C4327" s="257" t="s">
        <v>11853</v>
      </c>
      <c r="D4327" s="9">
        <v>2452057689.66151</v>
      </c>
      <c r="E4327" s="9">
        <v>1728561.5107574463</v>
      </c>
      <c r="F4327" s="257" t="s">
        <v>16153</v>
      </c>
      <c r="G4327" s="9"/>
      <c r="H4327" s="257" t="s">
        <v>22385</v>
      </c>
      <c r="I4327" s="9">
        <v>3</v>
      </c>
    </row>
    <row r="4328" spans="1:9">
      <c r="A4328" s="257" t="s">
        <v>5426</v>
      </c>
      <c r="B4328" s="9">
        <v>4</v>
      </c>
      <c r="C4328" s="257" t="s">
        <v>11854</v>
      </c>
      <c r="D4328" s="9">
        <v>0.4796052769675041</v>
      </c>
      <c r="E4328" s="9">
        <v>1728561.5107574463</v>
      </c>
      <c r="F4328" s="257" t="s">
        <v>16153</v>
      </c>
      <c r="G4328" s="9"/>
      <c r="H4328" s="257" t="s">
        <v>22386</v>
      </c>
      <c r="I4328" s="9">
        <v>3</v>
      </c>
    </row>
    <row r="4329" spans="1:9">
      <c r="A4329" s="257" t="s">
        <v>5427</v>
      </c>
      <c r="B4329" s="9">
        <v>4</v>
      </c>
      <c r="C4329" s="257" t="s">
        <v>11855</v>
      </c>
      <c r="D4329" s="9">
        <v>1418.5539099427428</v>
      </c>
      <c r="E4329" s="9">
        <v>1728561.5107574463</v>
      </c>
      <c r="F4329" s="257" t="s">
        <v>16153</v>
      </c>
      <c r="G4329" s="9"/>
      <c r="H4329" s="257" t="s">
        <v>22387</v>
      </c>
      <c r="I4329" s="9">
        <v>3</v>
      </c>
    </row>
    <row r="4330" spans="1:9">
      <c r="A4330" s="257" t="s">
        <v>5428</v>
      </c>
      <c r="B4330" s="9">
        <v>4</v>
      </c>
      <c r="C4330" s="257" t="s">
        <v>11856</v>
      </c>
      <c r="D4330" s="9">
        <v>1728561.5107574463</v>
      </c>
      <c r="E4330" s="9">
        <v>1728561.5107574463</v>
      </c>
      <c r="F4330" s="257" t="s">
        <v>16154</v>
      </c>
      <c r="G4330" s="9"/>
      <c r="H4330" s="257" t="s">
        <v>22388</v>
      </c>
      <c r="I4330" s="9">
        <v>3</v>
      </c>
    </row>
    <row r="4331" spans="1:9">
      <c r="A4331" s="257" t="s">
        <v>5429</v>
      </c>
      <c r="B4331" s="9">
        <v>4</v>
      </c>
      <c r="C4331" s="257" t="s">
        <v>11857</v>
      </c>
      <c r="D4331" s="9">
        <v>2051317396.1405978</v>
      </c>
      <c r="E4331" s="9">
        <v>1728561.5107574463</v>
      </c>
      <c r="F4331" s="257" t="s">
        <v>16154</v>
      </c>
      <c r="G4331" s="9"/>
      <c r="H4331" s="257" t="s">
        <v>22389</v>
      </c>
      <c r="I4331" s="9">
        <v>3</v>
      </c>
    </row>
    <row r="4332" spans="1:9">
      <c r="A4332" s="257" t="s">
        <v>5430</v>
      </c>
      <c r="B4332" s="9">
        <v>4</v>
      </c>
      <c r="C4332" s="257" t="s">
        <v>11858</v>
      </c>
      <c r="D4332" s="9">
        <v>1</v>
      </c>
      <c r="E4332" s="9">
        <v>1728561.5107574463</v>
      </c>
      <c r="F4332" s="257" t="s">
        <v>16154</v>
      </c>
      <c r="G4332" s="9"/>
      <c r="H4332" s="257" t="s">
        <v>22390</v>
      </c>
      <c r="I4332" s="9">
        <v>3</v>
      </c>
    </row>
    <row r="4333" spans="1:9">
      <c r="A4333" s="257" t="s">
        <v>5431</v>
      </c>
      <c r="B4333" s="9">
        <v>4</v>
      </c>
      <c r="C4333" s="257" t="s">
        <v>11859</v>
      </c>
      <c r="D4333" s="9">
        <v>1186.71935211708</v>
      </c>
      <c r="E4333" s="9">
        <v>1728561.5107574463</v>
      </c>
      <c r="F4333" s="257" t="s">
        <v>16154</v>
      </c>
      <c r="G4333" s="9"/>
      <c r="H4333" s="257" t="s">
        <v>22391</v>
      </c>
      <c r="I4333" s="9">
        <v>3</v>
      </c>
    </row>
    <row r="4334" spans="1:9">
      <c r="A4334" s="257" t="s">
        <v>5432</v>
      </c>
      <c r="B4334" s="9">
        <v>4</v>
      </c>
      <c r="C4334" s="257" t="s">
        <v>11860</v>
      </c>
      <c r="D4334" s="9">
        <v>1728561.5107574463</v>
      </c>
      <c r="E4334" s="9">
        <v>1728561.5107574463</v>
      </c>
      <c r="F4334" s="257" t="s">
        <v>16155</v>
      </c>
      <c r="G4334" s="9"/>
      <c r="H4334" s="257" t="s">
        <v>22392</v>
      </c>
      <c r="I4334" s="9">
        <v>3</v>
      </c>
    </row>
    <row r="4335" spans="1:9">
      <c r="A4335" s="257" t="s">
        <v>5433</v>
      </c>
      <c r="B4335" s="9">
        <v>4</v>
      </c>
      <c r="C4335" s="257" t="s">
        <v>11861</v>
      </c>
      <c r="D4335" s="9">
        <v>3201090501.0409331</v>
      </c>
      <c r="E4335" s="9">
        <v>1728561.5107574463</v>
      </c>
      <c r="F4335" s="257" t="s">
        <v>16155</v>
      </c>
      <c r="G4335" s="9"/>
      <c r="H4335" s="257" t="s">
        <v>22393</v>
      </c>
      <c r="I4335" s="9">
        <v>3</v>
      </c>
    </row>
    <row r="4336" spans="1:9">
      <c r="A4336" s="257" t="s">
        <v>5434</v>
      </c>
      <c r="B4336" s="9">
        <v>4</v>
      </c>
      <c r="C4336" s="257" t="s">
        <v>11862</v>
      </c>
      <c r="D4336" s="9">
        <v>1</v>
      </c>
      <c r="E4336" s="9">
        <v>1728561.5107574463</v>
      </c>
      <c r="F4336" s="257" t="s">
        <v>16155</v>
      </c>
      <c r="G4336" s="9"/>
      <c r="H4336" s="257" t="s">
        <v>22394</v>
      </c>
      <c r="I4336" s="9">
        <v>3</v>
      </c>
    </row>
    <row r="4337" spans="1:9">
      <c r="A4337" s="257" t="s">
        <v>5435</v>
      </c>
      <c r="B4337" s="9">
        <v>4</v>
      </c>
      <c r="C4337" s="257" t="s">
        <v>11863</v>
      </c>
      <c r="D4337" s="9">
        <v>1851.8811631055191</v>
      </c>
      <c r="E4337" s="9">
        <v>1728561.5107574463</v>
      </c>
      <c r="F4337" s="257" t="s">
        <v>16155</v>
      </c>
      <c r="G4337" s="9"/>
      <c r="H4337" s="257" t="s">
        <v>22395</v>
      </c>
      <c r="I4337" s="9">
        <v>3</v>
      </c>
    </row>
    <row r="4338" spans="1:9">
      <c r="A4338" s="257" t="s">
        <v>5436</v>
      </c>
      <c r="B4338" s="9">
        <v>4</v>
      </c>
      <c r="C4338" s="257" t="s">
        <v>11864</v>
      </c>
      <c r="D4338" s="9">
        <v>829027.22212219238</v>
      </c>
      <c r="E4338" s="9">
        <v>1728561.5107574463</v>
      </c>
      <c r="F4338" s="257" t="s">
        <v>16156</v>
      </c>
      <c r="G4338" s="9"/>
      <c r="H4338" s="257" t="s">
        <v>22396</v>
      </c>
      <c r="I4338" s="9">
        <v>3</v>
      </c>
    </row>
    <row r="4339" spans="1:9">
      <c r="A4339" s="257" t="s">
        <v>5437</v>
      </c>
      <c r="B4339" s="9">
        <v>4</v>
      </c>
      <c r="C4339" s="257" t="s">
        <v>11865</v>
      </c>
      <c r="D4339" s="9">
        <v>3114000447.4742074</v>
      </c>
      <c r="E4339" s="9">
        <v>1728561.5107574463</v>
      </c>
      <c r="F4339" s="257" t="s">
        <v>16156</v>
      </c>
      <c r="G4339" s="9"/>
      <c r="H4339" s="257" t="s">
        <v>22397</v>
      </c>
      <c r="I4339" s="9">
        <v>3</v>
      </c>
    </row>
    <row r="4340" spans="1:9">
      <c r="A4340" s="257" t="s">
        <v>5438</v>
      </c>
      <c r="B4340" s="9">
        <v>4</v>
      </c>
      <c r="C4340" s="257" t="s">
        <v>11866</v>
      </c>
      <c r="D4340" s="9">
        <v>0.4796052769675041</v>
      </c>
      <c r="E4340" s="9">
        <v>1728561.5107574463</v>
      </c>
      <c r="F4340" s="257" t="s">
        <v>16156</v>
      </c>
      <c r="G4340" s="9"/>
      <c r="H4340" s="257" t="s">
        <v>22398</v>
      </c>
      <c r="I4340" s="9">
        <v>3</v>
      </c>
    </row>
    <row r="4341" spans="1:9">
      <c r="A4341" s="257" t="s">
        <v>5439</v>
      </c>
      <c r="B4341" s="9">
        <v>4</v>
      </c>
      <c r="C4341" s="257" t="s">
        <v>11867</v>
      </c>
      <c r="D4341" s="9">
        <v>1801.4981984121985</v>
      </c>
      <c r="E4341" s="9">
        <v>1728561.5107574463</v>
      </c>
      <c r="F4341" s="257" t="s">
        <v>16156</v>
      </c>
      <c r="G4341" s="9"/>
      <c r="H4341" s="257" t="s">
        <v>22399</v>
      </c>
      <c r="I4341" s="9">
        <v>3</v>
      </c>
    </row>
    <row r="4342" spans="1:9">
      <c r="A4342" s="257" t="s">
        <v>5440</v>
      </c>
      <c r="B4342" s="9">
        <v>4</v>
      </c>
      <c r="C4342" s="257" t="s">
        <v>11868</v>
      </c>
      <c r="D4342" s="9">
        <v>0</v>
      </c>
      <c r="E4342" s="9">
        <v>1728561.5107574463</v>
      </c>
      <c r="F4342" s="257" t="s">
        <v>16157</v>
      </c>
      <c r="G4342" s="9"/>
      <c r="H4342" s="257" t="s">
        <v>22400</v>
      </c>
      <c r="I4342" s="9">
        <v>3</v>
      </c>
    </row>
    <row r="4343" spans="1:9">
      <c r="A4343" s="257" t="s">
        <v>5441</v>
      </c>
      <c r="B4343" s="9">
        <v>4</v>
      </c>
      <c r="C4343" s="257" t="s">
        <v>11869</v>
      </c>
      <c r="D4343" s="9">
        <v>-570227309.91714287</v>
      </c>
      <c r="E4343" s="9">
        <v>1728561.5107574463</v>
      </c>
      <c r="F4343" s="257" t="s">
        <v>16157</v>
      </c>
      <c r="G4343" s="9"/>
      <c r="H4343" s="257" t="s">
        <v>22401</v>
      </c>
      <c r="I4343" s="9">
        <v>3</v>
      </c>
    </row>
    <row r="4344" spans="1:9">
      <c r="A4344" s="257" t="s">
        <v>5442</v>
      </c>
      <c r="B4344" s="9">
        <v>4</v>
      </c>
      <c r="C4344" s="257" t="s">
        <v>11870</v>
      </c>
      <c r="D4344" s="9">
        <v>0</v>
      </c>
      <c r="E4344" s="9">
        <v>1728561.5107574463</v>
      </c>
      <c r="F4344" s="257" t="s">
        <v>16157</v>
      </c>
      <c r="G4344" s="9"/>
      <c r="H4344" s="257" t="s">
        <v>22402</v>
      </c>
      <c r="I4344" s="9">
        <v>3</v>
      </c>
    </row>
    <row r="4345" spans="1:9">
      <c r="A4345" s="257" t="s">
        <v>5443</v>
      </c>
      <c r="B4345" s="9">
        <v>4</v>
      </c>
      <c r="C4345" s="257" t="s">
        <v>11871</v>
      </c>
      <c r="D4345" s="9">
        <v>-329.88546046433277</v>
      </c>
      <c r="E4345" s="9">
        <v>1728561.5107574463</v>
      </c>
      <c r="F4345" s="257" t="s">
        <v>16157</v>
      </c>
      <c r="G4345" s="9"/>
      <c r="H4345" s="257" t="s">
        <v>22403</v>
      </c>
      <c r="I4345" s="9">
        <v>3</v>
      </c>
    </row>
    <row r="4346" spans="1:9">
      <c r="A4346" s="257" t="s">
        <v>5444</v>
      </c>
      <c r="B4346" s="9">
        <v>4</v>
      </c>
      <c r="C4346" s="257" t="s">
        <v>11872</v>
      </c>
      <c r="D4346" s="9">
        <v>829027.22212219238</v>
      </c>
      <c r="E4346" s="9">
        <v>1728561.5107574463</v>
      </c>
      <c r="F4346" s="257" t="s">
        <v>16158</v>
      </c>
      <c r="G4346" s="9"/>
      <c r="H4346" s="257" t="s">
        <v>22404</v>
      </c>
      <c r="I4346" s="9">
        <v>3</v>
      </c>
    </row>
    <row r="4347" spans="1:9">
      <c r="A4347" s="257" t="s">
        <v>5445</v>
      </c>
      <c r="B4347" s="9">
        <v>4</v>
      </c>
      <c r="C4347" s="257" t="s">
        <v>11873</v>
      </c>
      <c r="D4347" s="9">
        <v>2543773137.5570645</v>
      </c>
      <c r="E4347" s="9">
        <v>1728561.5107574463</v>
      </c>
      <c r="F4347" s="257" t="s">
        <v>16158</v>
      </c>
      <c r="G4347" s="9"/>
      <c r="H4347" s="257" t="s">
        <v>22405</v>
      </c>
      <c r="I4347" s="9">
        <v>3</v>
      </c>
    </row>
    <row r="4348" spans="1:9">
      <c r="A4348" s="257" t="s">
        <v>5446</v>
      </c>
      <c r="B4348" s="9">
        <v>4</v>
      </c>
      <c r="C4348" s="257" t="s">
        <v>11874</v>
      </c>
      <c r="D4348" s="9">
        <v>0.4796052769675041</v>
      </c>
      <c r="E4348" s="9">
        <v>1728561.5107574463</v>
      </c>
      <c r="F4348" s="257" t="s">
        <v>16158</v>
      </c>
      <c r="G4348" s="9"/>
      <c r="H4348" s="257" t="s">
        <v>22406</v>
      </c>
      <c r="I4348" s="9">
        <v>3</v>
      </c>
    </row>
    <row r="4349" spans="1:9">
      <c r="A4349" s="257" t="s">
        <v>5447</v>
      </c>
      <c r="B4349" s="9">
        <v>4</v>
      </c>
      <c r="C4349" s="257" t="s">
        <v>11875</v>
      </c>
      <c r="D4349" s="9">
        <v>1471.6127379478655</v>
      </c>
      <c r="E4349" s="9">
        <v>1728561.5107574463</v>
      </c>
      <c r="F4349" s="257" t="s">
        <v>16158</v>
      </c>
      <c r="G4349" s="9"/>
      <c r="H4349" s="257" t="s">
        <v>22407</v>
      </c>
      <c r="I4349" s="9">
        <v>3</v>
      </c>
    </row>
    <row r="4350" spans="1:9">
      <c r="A4350" s="257" t="s">
        <v>5448</v>
      </c>
      <c r="B4350" s="9">
        <v>4</v>
      </c>
      <c r="C4350" s="257" t="s">
        <v>11876</v>
      </c>
      <c r="D4350" s="9">
        <v>127410.67199707031</v>
      </c>
      <c r="E4350" s="9">
        <v>1728561.5107574463</v>
      </c>
      <c r="F4350" s="257" t="s">
        <v>16159</v>
      </c>
      <c r="G4350" s="9"/>
      <c r="H4350" s="257" t="s">
        <v>22408</v>
      </c>
      <c r="I4350" s="9">
        <v>3</v>
      </c>
    </row>
    <row r="4351" spans="1:9">
      <c r="A4351" s="257" t="s">
        <v>5449</v>
      </c>
      <c r="B4351" s="9">
        <v>4</v>
      </c>
      <c r="C4351" s="257" t="s">
        <v>11877</v>
      </c>
      <c r="D4351" s="9">
        <v>91715447.895554394</v>
      </c>
      <c r="E4351" s="9">
        <v>1728561.5107574463</v>
      </c>
      <c r="F4351" s="257" t="s">
        <v>16159</v>
      </c>
      <c r="G4351" s="9"/>
      <c r="H4351" s="257" t="s">
        <v>22409</v>
      </c>
      <c r="I4351" s="9">
        <v>3</v>
      </c>
    </row>
    <row r="4352" spans="1:9">
      <c r="A4352" s="257" t="s">
        <v>5450</v>
      </c>
      <c r="B4352" s="9">
        <v>4</v>
      </c>
      <c r="C4352" s="257" t="s">
        <v>11878</v>
      </c>
      <c r="D4352" s="9">
        <v>7.3709076133044088E-2</v>
      </c>
      <c r="E4352" s="9">
        <v>1728561.5107574463</v>
      </c>
      <c r="F4352" s="257" t="s">
        <v>16159</v>
      </c>
      <c r="G4352" s="9"/>
      <c r="H4352" s="257" t="s">
        <v>22410</v>
      </c>
      <c r="I4352" s="9">
        <v>3</v>
      </c>
    </row>
    <row r="4353" spans="1:9">
      <c r="A4353" s="257" t="s">
        <v>5451</v>
      </c>
      <c r="B4353" s="9">
        <v>4</v>
      </c>
      <c r="C4353" s="257" t="s">
        <v>11879</v>
      </c>
      <c r="D4353" s="9">
        <v>53.058828005122699</v>
      </c>
      <c r="E4353" s="9">
        <v>1728561.5107574463</v>
      </c>
      <c r="F4353" s="257" t="s">
        <v>16159</v>
      </c>
      <c r="G4353" s="9"/>
      <c r="H4353" s="257" t="s">
        <v>22411</v>
      </c>
      <c r="I4353" s="9">
        <v>3</v>
      </c>
    </row>
    <row r="4354" spans="1:9">
      <c r="A4354" s="257" t="s">
        <v>5452</v>
      </c>
      <c r="B4354" s="9">
        <v>4</v>
      </c>
      <c r="C4354" s="257" t="s">
        <v>11880</v>
      </c>
      <c r="D4354" s="9">
        <v>620191.47164916992</v>
      </c>
      <c r="E4354" s="9">
        <v>1728561.5107574463</v>
      </c>
      <c r="F4354" s="257" t="s">
        <v>16160</v>
      </c>
      <c r="G4354" s="9"/>
      <c r="H4354" s="257" t="s">
        <v>22412</v>
      </c>
      <c r="I4354" s="9">
        <v>3</v>
      </c>
    </row>
    <row r="4355" spans="1:9">
      <c r="A4355" s="257" t="s">
        <v>5453</v>
      </c>
      <c r="B4355" s="9">
        <v>4</v>
      </c>
      <c r="C4355" s="257" t="s">
        <v>11881</v>
      </c>
      <c r="D4355" s="9">
        <v>1149773104.9003351</v>
      </c>
      <c r="E4355" s="9">
        <v>1728561.5107574463</v>
      </c>
      <c r="F4355" s="257" t="s">
        <v>16160</v>
      </c>
      <c r="G4355" s="9"/>
      <c r="H4355" s="257" t="s">
        <v>22413</v>
      </c>
      <c r="I4355" s="9">
        <v>3</v>
      </c>
    </row>
    <row r="4356" spans="1:9">
      <c r="A4356" s="257" t="s">
        <v>5454</v>
      </c>
      <c r="B4356" s="9">
        <v>4</v>
      </c>
      <c r="C4356" s="257" t="s">
        <v>11882</v>
      </c>
      <c r="D4356" s="9">
        <v>0.35879051326174988</v>
      </c>
      <c r="E4356" s="9">
        <v>1728561.5107574463</v>
      </c>
      <c r="F4356" s="257" t="s">
        <v>16160</v>
      </c>
      <c r="G4356" s="9"/>
      <c r="H4356" s="257" t="s">
        <v>22414</v>
      </c>
      <c r="I4356" s="9">
        <v>3</v>
      </c>
    </row>
    <row r="4357" spans="1:9">
      <c r="A4357" s="257" t="s">
        <v>5455</v>
      </c>
      <c r="B4357" s="9">
        <v>4</v>
      </c>
      <c r="C4357" s="257" t="s">
        <v>11883</v>
      </c>
      <c r="D4357" s="9">
        <v>665.16181098843902</v>
      </c>
      <c r="E4357" s="9">
        <v>1728561.5107574463</v>
      </c>
      <c r="F4357" s="257" t="s">
        <v>16160</v>
      </c>
      <c r="G4357" s="9"/>
      <c r="H4357" s="257" t="s">
        <v>22415</v>
      </c>
      <c r="I4357" s="9">
        <v>3</v>
      </c>
    </row>
    <row r="4358" spans="1:9">
      <c r="A4358" s="257" t="s">
        <v>5456</v>
      </c>
      <c r="B4358" s="9">
        <v>4</v>
      </c>
      <c r="C4358" s="257" t="s">
        <v>11884</v>
      </c>
      <c r="D4358" s="9">
        <v>0</v>
      </c>
      <c r="E4358" s="9">
        <v>1728561.5107574463</v>
      </c>
      <c r="F4358" s="257" t="s">
        <v>16161</v>
      </c>
      <c r="G4358" s="9"/>
      <c r="H4358" s="257" t="s">
        <v>22416</v>
      </c>
      <c r="I4358" s="9">
        <v>3</v>
      </c>
    </row>
    <row r="4359" spans="1:9">
      <c r="A4359" s="257" t="s">
        <v>5457</v>
      </c>
      <c r="B4359" s="9">
        <v>4</v>
      </c>
      <c r="C4359" s="257" t="s">
        <v>11885</v>
      </c>
      <c r="D4359" s="9">
        <v>0</v>
      </c>
      <c r="E4359" s="9">
        <v>1728561.5107574463</v>
      </c>
      <c r="F4359" s="257" t="s">
        <v>16161</v>
      </c>
      <c r="G4359" s="9"/>
      <c r="H4359" s="257" t="s">
        <v>22417</v>
      </c>
      <c r="I4359" s="9">
        <v>3</v>
      </c>
    </row>
    <row r="4360" spans="1:9">
      <c r="A4360" s="257" t="s">
        <v>5458</v>
      </c>
      <c r="B4360" s="9">
        <v>4</v>
      </c>
      <c r="C4360" s="257" t="s">
        <v>11886</v>
      </c>
      <c r="D4360" s="9">
        <v>0</v>
      </c>
      <c r="E4360" s="9">
        <v>1728561.5107574463</v>
      </c>
      <c r="F4360" s="257" t="s">
        <v>16161</v>
      </c>
      <c r="G4360" s="9"/>
      <c r="H4360" s="257" t="s">
        <v>22418</v>
      </c>
      <c r="I4360" s="9">
        <v>3</v>
      </c>
    </row>
    <row r="4361" spans="1:9">
      <c r="A4361" s="257" t="s">
        <v>5459</v>
      </c>
      <c r="B4361" s="9">
        <v>4</v>
      </c>
      <c r="C4361" s="257" t="s">
        <v>11887</v>
      </c>
      <c r="D4361" s="9">
        <v>0</v>
      </c>
      <c r="E4361" s="9">
        <v>1728561.5107574463</v>
      </c>
      <c r="F4361" s="257" t="s">
        <v>16161</v>
      </c>
      <c r="G4361" s="9"/>
      <c r="H4361" s="257" t="s">
        <v>22419</v>
      </c>
      <c r="I4361" s="9">
        <v>3</v>
      </c>
    </row>
    <row r="4362" spans="1:9">
      <c r="A4362" s="257" t="s">
        <v>5460</v>
      </c>
      <c r="B4362" s="9">
        <v>5</v>
      </c>
      <c r="C4362" s="257" t="s">
        <v>11888</v>
      </c>
      <c r="D4362" s="9">
        <v>860979.083984375</v>
      </c>
      <c r="E4362" s="9">
        <v>1724465.2324523926</v>
      </c>
      <c r="F4362" s="257" t="s">
        <v>16162</v>
      </c>
      <c r="G4362" s="9"/>
      <c r="H4362" s="257" t="s">
        <v>22420</v>
      </c>
      <c r="I4362" s="9">
        <v>3</v>
      </c>
    </row>
    <row r="4363" spans="1:9">
      <c r="A4363" s="257" t="s">
        <v>5461</v>
      </c>
      <c r="B4363" s="9">
        <v>5</v>
      </c>
      <c r="C4363" s="257" t="s">
        <v>11889</v>
      </c>
      <c r="D4363" s="9">
        <v>2637713088.4167142</v>
      </c>
      <c r="E4363" s="9">
        <v>1724465.2324523926</v>
      </c>
      <c r="F4363" s="257" t="s">
        <v>16162</v>
      </c>
      <c r="G4363" s="9"/>
      <c r="H4363" s="257" t="s">
        <v>22421</v>
      </c>
      <c r="I4363" s="9">
        <v>3</v>
      </c>
    </row>
    <row r="4364" spans="1:9">
      <c r="A4364" s="257" t="s">
        <v>5462</v>
      </c>
      <c r="B4364" s="9">
        <v>5</v>
      </c>
      <c r="C4364" s="257" t="s">
        <v>11890</v>
      </c>
      <c r="D4364" s="9">
        <v>0.49927308929270864</v>
      </c>
      <c r="E4364" s="9">
        <v>1724465.2324523926</v>
      </c>
      <c r="F4364" s="257" t="s">
        <v>16162</v>
      </c>
      <c r="G4364" s="9"/>
      <c r="H4364" s="257" t="s">
        <v>22422</v>
      </c>
      <c r="I4364" s="9">
        <v>3</v>
      </c>
    </row>
    <row r="4365" spans="1:9">
      <c r="A4365" s="257" t="s">
        <v>5463</v>
      </c>
      <c r="B4365" s="9">
        <v>5</v>
      </c>
      <c r="C4365" s="257" t="s">
        <v>11891</v>
      </c>
      <c r="D4365" s="9">
        <v>1529.5832231222057</v>
      </c>
      <c r="E4365" s="9">
        <v>1724465.2324523926</v>
      </c>
      <c r="F4365" s="257" t="s">
        <v>16162</v>
      </c>
      <c r="G4365" s="9"/>
      <c r="H4365" s="257" t="s">
        <v>22423</v>
      </c>
      <c r="I4365" s="9">
        <v>3</v>
      </c>
    </row>
    <row r="4366" spans="1:9">
      <c r="A4366" s="257" t="s">
        <v>5464</v>
      </c>
      <c r="B4366" s="9">
        <v>5</v>
      </c>
      <c r="C4366" s="257" t="s">
        <v>11892</v>
      </c>
      <c r="D4366" s="9">
        <v>0</v>
      </c>
      <c r="E4366" s="9">
        <v>1724465.2324523926</v>
      </c>
      <c r="F4366" s="257" t="s">
        <v>16163</v>
      </c>
      <c r="G4366" s="9"/>
      <c r="H4366" s="257" t="s">
        <v>22424</v>
      </c>
      <c r="I4366" s="9">
        <v>3</v>
      </c>
    </row>
    <row r="4367" spans="1:9">
      <c r="A4367" s="257" t="s">
        <v>5465</v>
      </c>
      <c r="B4367" s="9">
        <v>5</v>
      </c>
      <c r="C4367" s="257" t="s">
        <v>11893</v>
      </c>
      <c r="D4367" s="9">
        <v>0</v>
      </c>
      <c r="E4367" s="9">
        <v>1724465.2324523926</v>
      </c>
      <c r="F4367" s="257" t="s">
        <v>16163</v>
      </c>
      <c r="G4367" s="9"/>
      <c r="H4367" s="257" t="s">
        <v>22425</v>
      </c>
      <c r="I4367" s="9">
        <v>3</v>
      </c>
    </row>
    <row r="4368" spans="1:9">
      <c r="A4368" s="257" t="s">
        <v>5466</v>
      </c>
      <c r="B4368" s="9">
        <v>5</v>
      </c>
      <c r="C4368" s="257" t="s">
        <v>11894</v>
      </c>
      <c r="D4368" s="9">
        <v>0</v>
      </c>
      <c r="E4368" s="9">
        <v>1724465.2324523926</v>
      </c>
      <c r="F4368" s="257" t="s">
        <v>16163</v>
      </c>
      <c r="G4368" s="9"/>
      <c r="H4368" s="257" t="s">
        <v>22426</v>
      </c>
      <c r="I4368" s="9">
        <v>3</v>
      </c>
    </row>
    <row r="4369" spans="1:9">
      <c r="A4369" s="257" t="s">
        <v>5467</v>
      </c>
      <c r="B4369" s="9">
        <v>5</v>
      </c>
      <c r="C4369" s="257" t="s">
        <v>11895</v>
      </c>
      <c r="D4369" s="9">
        <v>0</v>
      </c>
      <c r="E4369" s="9">
        <v>1724465.2324523926</v>
      </c>
      <c r="F4369" s="257" t="s">
        <v>16163</v>
      </c>
      <c r="G4369" s="9"/>
      <c r="H4369" s="257" t="s">
        <v>22427</v>
      </c>
      <c r="I4369" s="9">
        <v>3</v>
      </c>
    </row>
    <row r="4370" spans="1:9">
      <c r="A4370" s="257" t="s">
        <v>5468</v>
      </c>
      <c r="B4370" s="9">
        <v>5</v>
      </c>
      <c r="C4370" s="257" t="s">
        <v>11896</v>
      </c>
      <c r="D4370" s="9">
        <v>0</v>
      </c>
      <c r="E4370" s="9">
        <v>1724465.2324523926</v>
      </c>
      <c r="F4370" s="257" t="s">
        <v>16164</v>
      </c>
      <c r="G4370" s="9"/>
      <c r="H4370" s="257" t="s">
        <v>22428</v>
      </c>
      <c r="I4370" s="9">
        <v>3</v>
      </c>
    </row>
    <row r="4371" spans="1:9">
      <c r="A4371" s="257" t="s">
        <v>5469</v>
      </c>
      <c r="B4371" s="9">
        <v>5</v>
      </c>
      <c r="C4371" s="257" t="s">
        <v>11897</v>
      </c>
      <c r="D4371" s="9">
        <v>0</v>
      </c>
      <c r="E4371" s="9">
        <v>1724465.2324523926</v>
      </c>
      <c r="F4371" s="257" t="s">
        <v>16164</v>
      </c>
      <c r="G4371" s="9"/>
      <c r="H4371" s="257" t="s">
        <v>22429</v>
      </c>
      <c r="I4371" s="9">
        <v>3</v>
      </c>
    </row>
    <row r="4372" spans="1:9">
      <c r="A4372" s="257" t="s">
        <v>5470</v>
      </c>
      <c r="B4372" s="9">
        <v>5</v>
      </c>
      <c r="C4372" s="257" t="s">
        <v>11898</v>
      </c>
      <c r="D4372" s="9">
        <v>0</v>
      </c>
      <c r="E4372" s="9">
        <v>1724465.2324523926</v>
      </c>
      <c r="F4372" s="257" t="s">
        <v>16164</v>
      </c>
      <c r="G4372" s="9"/>
      <c r="H4372" s="257" t="s">
        <v>22430</v>
      </c>
      <c r="I4372" s="9">
        <v>3</v>
      </c>
    </row>
    <row r="4373" spans="1:9">
      <c r="A4373" s="257" t="s">
        <v>5471</v>
      </c>
      <c r="B4373" s="9">
        <v>5</v>
      </c>
      <c r="C4373" s="257" t="s">
        <v>11899</v>
      </c>
      <c r="D4373" s="9">
        <v>0</v>
      </c>
      <c r="E4373" s="9">
        <v>1724465.2324523926</v>
      </c>
      <c r="F4373" s="257" t="s">
        <v>16164</v>
      </c>
      <c r="G4373" s="9"/>
      <c r="H4373" s="257" t="s">
        <v>22431</v>
      </c>
      <c r="I4373" s="9">
        <v>3</v>
      </c>
    </row>
    <row r="4374" spans="1:9">
      <c r="A4374" s="257" t="s">
        <v>5472</v>
      </c>
      <c r="B4374" s="9">
        <v>5</v>
      </c>
      <c r="C4374" s="257" t="s">
        <v>11900</v>
      </c>
      <c r="D4374" s="9">
        <v>0</v>
      </c>
      <c r="E4374" s="9">
        <v>1724465.2324523926</v>
      </c>
      <c r="F4374" s="257" t="s">
        <v>16165</v>
      </c>
      <c r="G4374" s="9"/>
      <c r="H4374" s="257" t="s">
        <v>22432</v>
      </c>
      <c r="I4374" s="9">
        <v>3</v>
      </c>
    </row>
    <row r="4375" spans="1:9">
      <c r="A4375" s="257" t="s">
        <v>5473</v>
      </c>
      <c r="B4375" s="9">
        <v>5</v>
      </c>
      <c r="C4375" s="257" t="s">
        <v>11901</v>
      </c>
      <c r="D4375" s="9">
        <v>0</v>
      </c>
      <c r="E4375" s="9">
        <v>1724465.2324523926</v>
      </c>
      <c r="F4375" s="257" t="s">
        <v>16165</v>
      </c>
      <c r="G4375" s="9"/>
      <c r="H4375" s="257" t="s">
        <v>22433</v>
      </c>
      <c r="I4375" s="9">
        <v>3</v>
      </c>
    </row>
    <row r="4376" spans="1:9">
      <c r="A4376" s="257" t="s">
        <v>5474</v>
      </c>
      <c r="B4376" s="9">
        <v>5</v>
      </c>
      <c r="C4376" s="257" t="s">
        <v>11902</v>
      </c>
      <c r="D4376" s="9">
        <v>0</v>
      </c>
      <c r="E4376" s="9">
        <v>1724465.2324523926</v>
      </c>
      <c r="F4376" s="257" t="s">
        <v>16165</v>
      </c>
      <c r="G4376" s="9"/>
      <c r="H4376" s="257" t="s">
        <v>22434</v>
      </c>
      <c r="I4376" s="9">
        <v>3</v>
      </c>
    </row>
    <row r="4377" spans="1:9">
      <c r="A4377" s="257" t="s">
        <v>5475</v>
      </c>
      <c r="B4377" s="9">
        <v>5</v>
      </c>
      <c r="C4377" s="257" t="s">
        <v>11903</v>
      </c>
      <c r="D4377" s="9">
        <v>0</v>
      </c>
      <c r="E4377" s="9">
        <v>1724465.2324523926</v>
      </c>
      <c r="F4377" s="257" t="s">
        <v>16165</v>
      </c>
      <c r="G4377" s="9"/>
      <c r="H4377" s="257" t="s">
        <v>22435</v>
      </c>
      <c r="I4377" s="9">
        <v>3</v>
      </c>
    </row>
    <row r="4378" spans="1:9">
      <c r="A4378" s="257" t="s">
        <v>5476</v>
      </c>
      <c r="B4378" s="9">
        <v>5</v>
      </c>
      <c r="C4378" s="257" t="s">
        <v>11904</v>
      </c>
      <c r="D4378" s="9">
        <v>0</v>
      </c>
      <c r="E4378" s="9">
        <v>1724465.2324523926</v>
      </c>
      <c r="F4378" s="257" t="s">
        <v>16166</v>
      </c>
      <c r="G4378" s="9"/>
      <c r="H4378" s="257" t="s">
        <v>22436</v>
      </c>
      <c r="I4378" s="9">
        <v>3</v>
      </c>
    </row>
    <row r="4379" spans="1:9">
      <c r="A4379" s="257" t="s">
        <v>5477</v>
      </c>
      <c r="B4379" s="9">
        <v>5</v>
      </c>
      <c r="C4379" s="257" t="s">
        <v>11905</v>
      </c>
      <c r="D4379" s="9">
        <v>0</v>
      </c>
      <c r="E4379" s="9">
        <v>1724465.2324523926</v>
      </c>
      <c r="F4379" s="257" t="s">
        <v>16166</v>
      </c>
      <c r="G4379" s="9"/>
      <c r="H4379" s="257" t="s">
        <v>22437</v>
      </c>
      <c r="I4379" s="9">
        <v>3</v>
      </c>
    </row>
    <row r="4380" spans="1:9">
      <c r="A4380" s="257" t="s">
        <v>5478</v>
      </c>
      <c r="B4380" s="9">
        <v>5</v>
      </c>
      <c r="C4380" s="257" t="s">
        <v>11906</v>
      </c>
      <c r="D4380" s="9">
        <v>0</v>
      </c>
      <c r="E4380" s="9">
        <v>1724465.2324523926</v>
      </c>
      <c r="F4380" s="257" t="s">
        <v>16166</v>
      </c>
      <c r="G4380" s="9"/>
      <c r="H4380" s="257" t="s">
        <v>22438</v>
      </c>
      <c r="I4380" s="9">
        <v>3</v>
      </c>
    </row>
    <row r="4381" spans="1:9">
      <c r="A4381" s="257" t="s">
        <v>5479</v>
      </c>
      <c r="B4381" s="9">
        <v>5</v>
      </c>
      <c r="C4381" s="257" t="s">
        <v>11907</v>
      </c>
      <c r="D4381" s="9">
        <v>0</v>
      </c>
      <c r="E4381" s="9">
        <v>1724465.2324523926</v>
      </c>
      <c r="F4381" s="257" t="s">
        <v>16166</v>
      </c>
      <c r="G4381" s="9"/>
      <c r="H4381" s="257" t="s">
        <v>22439</v>
      </c>
      <c r="I4381" s="9">
        <v>3</v>
      </c>
    </row>
    <row r="4382" spans="1:9">
      <c r="A4382" s="257" t="s">
        <v>5480</v>
      </c>
      <c r="B4382" s="9">
        <v>5</v>
      </c>
      <c r="C4382" s="257" t="s">
        <v>11908</v>
      </c>
      <c r="D4382" s="9">
        <v>0</v>
      </c>
      <c r="E4382" s="9">
        <v>1724465.2324523926</v>
      </c>
      <c r="F4382" s="257" t="s">
        <v>16167</v>
      </c>
      <c r="G4382" s="9"/>
      <c r="H4382" s="257" t="s">
        <v>22440</v>
      </c>
      <c r="I4382" s="9">
        <v>3</v>
      </c>
    </row>
    <row r="4383" spans="1:9">
      <c r="A4383" s="257" t="s">
        <v>5481</v>
      </c>
      <c r="B4383" s="9">
        <v>5</v>
      </c>
      <c r="C4383" s="257" t="s">
        <v>11909</v>
      </c>
      <c r="D4383" s="9">
        <v>0</v>
      </c>
      <c r="E4383" s="9">
        <v>1724465.2324523926</v>
      </c>
      <c r="F4383" s="257" t="s">
        <v>16167</v>
      </c>
      <c r="G4383" s="9"/>
      <c r="H4383" s="257" t="s">
        <v>22441</v>
      </c>
      <c r="I4383" s="9">
        <v>3</v>
      </c>
    </row>
    <row r="4384" spans="1:9">
      <c r="A4384" s="257" t="s">
        <v>5482</v>
      </c>
      <c r="B4384" s="9">
        <v>5</v>
      </c>
      <c r="C4384" s="257" t="s">
        <v>11910</v>
      </c>
      <c r="D4384" s="9">
        <v>0</v>
      </c>
      <c r="E4384" s="9">
        <v>1724465.2324523926</v>
      </c>
      <c r="F4384" s="257" t="s">
        <v>16167</v>
      </c>
      <c r="G4384" s="9"/>
      <c r="H4384" s="257" t="s">
        <v>22442</v>
      </c>
      <c r="I4384" s="9">
        <v>3</v>
      </c>
    </row>
    <row r="4385" spans="1:9">
      <c r="A4385" s="257" t="s">
        <v>5483</v>
      </c>
      <c r="B4385" s="9">
        <v>5</v>
      </c>
      <c r="C4385" s="257" t="s">
        <v>11911</v>
      </c>
      <c r="D4385" s="9">
        <v>0</v>
      </c>
      <c r="E4385" s="9">
        <v>1724465.2324523926</v>
      </c>
      <c r="F4385" s="257" t="s">
        <v>16167</v>
      </c>
      <c r="G4385" s="9"/>
      <c r="H4385" s="257" t="s">
        <v>22443</v>
      </c>
      <c r="I4385" s="9">
        <v>3</v>
      </c>
    </row>
    <row r="4386" spans="1:9">
      <c r="A4386" s="257" t="s">
        <v>5484</v>
      </c>
      <c r="B4386" s="9">
        <v>5</v>
      </c>
      <c r="C4386" s="257" t="s">
        <v>11912</v>
      </c>
      <c r="D4386" s="9">
        <v>0</v>
      </c>
      <c r="E4386" s="9">
        <v>1724465.2324523926</v>
      </c>
      <c r="F4386" s="257" t="s">
        <v>16168</v>
      </c>
      <c r="G4386" s="9"/>
      <c r="H4386" s="257" t="s">
        <v>22444</v>
      </c>
      <c r="I4386" s="9">
        <v>3</v>
      </c>
    </row>
    <row r="4387" spans="1:9">
      <c r="A4387" s="257" t="s">
        <v>5485</v>
      </c>
      <c r="B4387" s="9">
        <v>5</v>
      </c>
      <c r="C4387" s="257" t="s">
        <v>11913</v>
      </c>
      <c r="D4387" s="9">
        <v>0</v>
      </c>
      <c r="E4387" s="9">
        <v>1724465.2324523926</v>
      </c>
      <c r="F4387" s="257" t="s">
        <v>16168</v>
      </c>
      <c r="G4387" s="9"/>
      <c r="H4387" s="257" t="s">
        <v>22445</v>
      </c>
      <c r="I4387" s="9">
        <v>3</v>
      </c>
    </row>
    <row r="4388" spans="1:9">
      <c r="A4388" s="257" t="s">
        <v>5486</v>
      </c>
      <c r="B4388" s="9">
        <v>5</v>
      </c>
      <c r="C4388" s="257" t="s">
        <v>11914</v>
      </c>
      <c r="D4388" s="9">
        <v>0</v>
      </c>
      <c r="E4388" s="9">
        <v>1724465.2324523926</v>
      </c>
      <c r="F4388" s="257" t="s">
        <v>16168</v>
      </c>
      <c r="G4388" s="9"/>
      <c r="H4388" s="257" t="s">
        <v>22446</v>
      </c>
      <c r="I4388" s="9">
        <v>3</v>
      </c>
    </row>
    <row r="4389" spans="1:9">
      <c r="A4389" s="257" t="s">
        <v>5487</v>
      </c>
      <c r="B4389" s="9">
        <v>5</v>
      </c>
      <c r="C4389" s="257" t="s">
        <v>11915</v>
      </c>
      <c r="D4389" s="9">
        <v>0</v>
      </c>
      <c r="E4389" s="9">
        <v>1724465.2324523926</v>
      </c>
      <c r="F4389" s="257" t="s">
        <v>16168</v>
      </c>
      <c r="G4389" s="9"/>
      <c r="H4389" s="257" t="s">
        <v>22447</v>
      </c>
      <c r="I4389" s="9">
        <v>3</v>
      </c>
    </row>
    <row r="4390" spans="1:9">
      <c r="A4390" s="257" t="s">
        <v>5488</v>
      </c>
      <c r="B4390" s="9">
        <v>5</v>
      </c>
      <c r="C4390" s="257" t="s">
        <v>11916</v>
      </c>
      <c r="D4390" s="9">
        <v>0</v>
      </c>
      <c r="E4390" s="9">
        <v>1724465.2324523926</v>
      </c>
      <c r="F4390" s="257" t="s">
        <v>16169</v>
      </c>
      <c r="G4390" s="9"/>
      <c r="H4390" s="257" t="s">
        <v>22448</v>
      </c>
      <c r="I4390" s="9">
        <v>3</v>
      </c>
    </row>
    <row r="4391" spans="1:9">
      <c r="A4391" s="257" t="s">
        <v>5489</v>
      </c>
      <c r="B4391" s="9">
        <v>5</v>
      </c>
      <c r="C4391" s="257" t="s">
        <v>11917</v>
      </c>
      <c r="D4391" s="9">
        <v>0</v>
      </c>
      <c r="E4391" s="9">
        <v>1724465.2324523926</v>
      </c>
      <c r="F4391" s="257" t="s">
        <v>16169</v>
      </c>
      <c r="G4391" s="9"/>
      <c r="H4391" s="257" t="s">
        <v>22449</v>
      </c>
      <c r="I4391" s="9">
        <v>3</v>
      </c>
    </row>
    <row r="4392" spans="1:9">
      <c r="A4392" s="257" t="s">
        <v>5490</v>
      </c>
      <c r="B4392" s="9">
        <v>5</v>
      </c>
      <c r="C4392" s="257" t="s">
        <v>11918</v>
      </c>
      <c r="D4392" s="9">
        <v>0</v>
      </c>
      <c r="E4392" s="9">
        <v>1724465.2324523926</v>
      </c>
      <c r="F4392" s="257" t="s">
        <v>16169</v>
      </c>
      <c r="G4392" s="9"/>
      <c r="H4392" s="257" t="s">
        <v>22450</v>
      </c>
      <c r="I4392" s="9">
        <v>3</v>
      </c>
    </row>
    <row r="4393" spans="1:9">
      <c r="A4393" s="257" t="s">
        <v>5491</v>
      </c>
      <c r="B4393" s="9">
        <v>5</v>
      </c>
      <c r="C4393" s="257" t="s">
        <v>11919</v>
      </c>
      <c r="D4393" s="9">
        <v>0</v>
      </c>
      <c r="E4393" s="9">
        <v>1724465.2324523926</v>
      </c>
      <c r="F4393" s="257" t="s">
        <v>16169</v>
      </c>
      <c r="G4393" s="9"/>
      <c r="H4393" s="257" t="s">
        <v>22451</v>
      </c>
      <c r="I4393" s="9">
        <v>3</v>
      </c>
    </row>
    <row r="4394" spans="1:9">
      <c r="A4394" s="257" t="s">
        <v>5492</v>
      </c>
      <c r="B4394" s="9">
        <v>5</v>
      </c>
      <c r="C4394" s="257" t="s">
        <v>11920</v>
      </c>
      <c r="D4394" s="9">
        <v>1724465.2324523926</v>
      </c>
      <c r="E4394" s="9">
        <v>1724465.2324523926</v>
      </c>
      <c r="F4394" s="257" t="s">
        <v>16170</v>
      </c>
      <c r="G4394" s="9"/>
      <c r="H4394" s="257" t="s">
        <v>22452</v>
      </c>
      <c r="I4394" s="9">
        <v>3</v>
      </c>
    </row>
    <row r="4395" spans="1:9">
      <c r="A4395" s="257" t="s">
        <v>5493</v>
      </c>
      <c r="B4395" s="9">
        <v>5</v>
      </c>
      <c r="C4395" s="257" t="s">
        <v>11921</v>
      </c>
      <c r="D4395" s="9">
        <v>5738584434.4316788</v>
      </c>
      <c r="E4395" s="9">
        <v>1724465.2324523926</v>
      </c>
      <c r="F4395" s="257" t="s">
        <v>16170</v>
      </c>
      <c r="G4395" s="9"/>
      <c r="H4395" s="257" t="s">
        <v>22453</v>
      </c>
      <c r="I4395" s="9">
        <v>3</v>
      </c>
    </row>
    <row r="4396" spans="1:9">
      <c r="A4396" s="257" t="s">
        <v>5494</v>
      </c>
      <c r="B4396" s="9">
        <v>5</v>
      </c>
      <c r="C4396" s="257" t="s">
        <v>11922</v>
      </c>
      <c r="D4396" s="9">
        <v>1</v>
      </c>
      <c r="E4396" s="9">
        <v>1724465.2324523926</v>
      </c>
      <c r="F4396" s="257" t="s">
        <v>16170</v>
      </c>
      <c r="G4396" s="9"/>
      <c r="H4396" s="257" t="s">
        <v>22454</v>
      </c>
      <c r="I4396" s="9">
        <v>3</v>
      </c>
    </row>
    <row r="4397" spans="1:9">
      <c r="A4397" s="257" t="s">
        <v>5495</v>
      </c>
      <c r="B4397" s="9">
        <v>5</v>
      </c>
      <c r="C4397" s="257" t="s">
        <v>11923</v>
      </c>
      <c r="D4397" s="9">
        <v>3327.7472496622827</v>
      </c>
      <c r="E4397" s="9">
        <v>1724465.2324523926</v>
      </c>
      <c r="F4397" s="257" t="s">
        <v>16170</v>
      </c>
      <c r="G4397" s="9"/>
      <c r="H4397" s="257" t="s">
        <v>22455</v>
      </c>
      <c r="I4397" s="9">
        <v>3</v>
      </c>
    </row>
    <row r="4398" spans="1:9">
      <c r="A4398" s="257" t="s">
        <v>5496</v>
      </c>
      <c r="B4398" s="9">
        <v>5</v>
      </c>
      <c r="C4398" s="257" t="s">
        <v>11924</v>
      </c>
      <c r="D4398" s="9">
        <v>1724465.2324523926</v>
      </c>
      <c r="E4398" s="9">
        <v>1724465.2324523926</v>
      </c>
      <c r="F4398" s="257" t="s">
        <v>16171</v>
      </c>
      <c r="G4398" s="9"/>
      <c r="H4398" s="257" t="s">
        <v>22456</v>
      </c>
      <c r="I4398" s="9">
        <v>3</v>
      </c>
    </row>
    <row r="4399" spans="1:9">
      <c r="A4399" s="257" t="s">
        <v>5497</v>
      </c>
      <c r="B4399" s="9">
        <v>5</v>
      </c>
      <c r="C4399" s="257" t="s">
        <v>11925</v>
      </c>
      <c r="D4399" s="9">
        <v>5738584434.4316788</v>
      </c>
      <c r="E4399" s="9">
        <v>1724465.2324523926</v>
      </c>
      <c r="F4399" s="257" t="s">
        <v>16171</v>
      </c>
      <c r="G4399" s="9"/>
      <c r="H4399" s="257" t="s">
        <v>22457</v>
      </c>
      <c r="I4399" s="9">
        <v>3</v>
      </c>
    </row>
    <row r="4400" spans="1:9">
      <c r="A4400" s="257" t="s">
        <v>5498</v>
      </c>
      <c r="B4400" s="9">
        <v>5</v>
      </c>
      <c r="C4400" s="257" t="s">
        <v>11926</v>
      </c>
      <c r="D4400" s="9">
        <v>1</v>
      </c>
      <c r="E4400" s="9">
        <v>1724465.2324523926</v>
      </c>
      <c r="F4400" s="257" t="s">
        <v>16171</v>
      </c>
      <c r="G4400" s="9"/>
      <c r="H4400" s="257" t="s">
        <v>22458</v>
      </c>
      <c r="I4400" s="9">
        <v>3</v>
      </c>
    </row>
    <row r="4401" spans="1:9">
      <c r="A4401" s="257" t="s">
        <v>5499</v>
      </c>
      <c r="B4401" s="9">
        <v>5</v>
      </c>
      <c r="C4401" s="257" t="s">
        <v>11927</v>
      </c>
      <c r="D4401" s="9">
        <v>3327.7472496622827</v>
      </c>
      <c r="E4401" s="9">
        <v>1724465.2324523926</v>
      </c>
      <c r="F4401" s="257" t="s">
        <v>16171</v>
      </c>
      <c r="G4401" s="9"/>
      <c r="H4401" s="257" t="s">
        <v>22459</v>
      </c>
      <c r="I4401" s="9">
        <v>3</v>
      </c>
    </row>
    <row r="4402" spans="1:9">
      <c r="A4402" s="257" t="s">
        <v>5500</v>
      </c>
      <c r="B4402" s="9">
        <v>5</v>
      </c>
      <c r="C4402" s="257" t="s">
        <v>11928</v>
      </c>
      <c r="D4402" s="9">
        <v>1724465.2324523926</v>
      </c>
      <c r="E4402" s="9">
        <v>1724465.2324523926</v>
      </c>
      <c r="F4402" s="257" t="s">
        <v>16172</v>
      </c>
      <c r="G4402" s="9"/>
      <c r="H4402" s="257" t="s">
        <v>22460</v>
      </c>
      <c r="I4402" s="9">
        <v>3</v>
      </c>
    </row>
    <row r="4403" spans="1:9">
      <c r="A4403" s="257" t="s">
        <v>5501</v>
      </c>
      <c r="B4403" s="9">
        <v>5</v>
      </c>
      <c r="C4403" s="257" t="s">
        <v>11929</v>
      </c>
      <c r="D4403" s="9">
        <v>5738584434.4316788</v>
      </c>
      <c r="E4403" s="9">
        <v>1724465.2324523926</v>
      </c>
      <c r="F4403" s="257" t="s">
        <v>16172</v>
      </c>
      <c r="G4403" s="9"/>
      <c r="H4403" s="257" t="s">
        <v>22461</v>
      </c>
      <c r="I4403" s="9">
        <v>3</v>
      </c>
    </row>
    <row r="4404" spans="1:9">
      <c r="A4404" s="257" t="s">
        <v>5502</v>
      </c>
      <c r="B4404" s="9">
        <v>5</v>
      </c>
      <c r="C4404" s="257" t="s">
        <v>11930</v>
      </c>
      <c r="D4404" s="9">
        <v>1</v>
      </c>
      <c r="E4404" s="9">
        <v>1724465.2324523926</v>
      </c>
      <c r="F4404" s="257" t="s">
        <v>16172</v>
      </c>
      <c r="G4404" s="9"/>
      <c r="H4404" s="257" t="s">
        <v>22462</v>
      </c>
      <c r="I4404" s="9">
        <v>3</v>
      </c>
    </row>
    <row r="4405" spans="1:9">
      <c r="A4405" s="257" t="s">
        <v>5503</v>
      </c>
      <c r="B4405" s="9">
        <v>5</v>
      </c>
      <c r="C4405" s="257" t="s">
        <v>11931</v>
      </c>
      <c r="D4405" s="9">
        <v>3327.7472496622827</v>
      </c>
      <c r="E4405" s="9">
        <v>1724465.2324523926</v>
      </c>
      <c r="F4405" s="257" t="s">
        <v>16172</v>
      </c>
      <c r="G4405" s="9"/>
      <c r="H4405" s="257" t="s">
        <v>22463</v>
      </c>
      <c r="I4405" s="9">
        <v>3</v>
      </c>
    </row>
    <row r="4406" spans="1:9">
      <c r="A4406" s="257" t="s">
        <v>5504</v>
      </c>
      <c r="B4406" s="9">
        <v>5</v>
      </c>
      <c r="C4406" s="257" t="s">
        <v>11932</v>
      </c>
      <c r="D4406" s="9">
        <v>1724465.2324523926</v>
      </c>
      <c r="E4406" s="9">
        <v>1724465.2324523926</v>
      </c>
      <c r="F4406" s="257" t="s">
        <v>16173</v>
      </c>
      <c r="G4406" s="9"/>
      <c r="H4406" s="257" t="s">
        <v>22464</v>
      </c>
      <c r="I4406" s="9">
        <v>3</v>
      </c>
    </row>
    <row r="4407" spans="1:9">
      <c r="A4407" s="257" t="s">
        <v>5505</v>
      </c>
      <c r="B4407" s="9">
        <v>5</v>
      </c>
      <c r="C4407" s="257" t="s">
        <v>11933</v>
      </c>
      <c r="D4407" s="9">
        <v>1643337268.2246625</v>
      </c>
      <c r="E4407" s="9">
        <v>1724465.2324523926</v>
      </c>
      <c r="F4407" s="257" t="s">
        <v>16173</v>
      </c>
      <c r="G4407" s="9"/>
      <c r="H4407" s="257" t="s">
        <v>22465</v>
      </c>
      <c r="I4407" s="9">
        <v>3</v>
      </c>
    </row>
    <row r="4408" spans="1:9">
      <c r="A4408" s="257" t="s">
        <v>5506</v>
      </c>
      <c r="B4408" s="9">
        <v>5</v>
      </c>
      <c r="C4408" s="257" t="s">
        <v>11934</v>
      </c>
      <c r="D4408" s="9">
        <v>1</v>
      </c>
      <c r="E4408" s="9">
        <v>1724465.2324523926</v>
      </c>
      <c r="F4408" s="257" t="s">
        <v>16173</v>
      </c>
      <c r="G4408" s="9"/>
      <c r="H4408" s="257" t="s">
        <v>22466</v>
      </c>
      <c r="I4408" s="9">
        <v>3</v>
      </c>
    </row>
    <row r="4409" spans="1:9">
      <c r="A4409" s="257" t="s">
        <v>5507</v>
      </c>
      <c r="B4409" s="9">
        <v>5</v>
      </c>
      <c r="C4409" s="257" t="s">
        <v>11935</v>
      </c>
      <c r="D4409" s="9">
        <v>952.95471158188764</v>
      </c>
      <c r="E4409" s="9">
        <v>1724465.2324523926</v>
      </c>
      <c r="F4409" s="257" t="s">
        <v>16173</v>
      </c>
      <c r="G4409" s="9"/>
      <c r="H4409" s="257" t="s">
        <v>22467</v>
      </c>
      <c r="I4409" s="9">
        <v>3</v>
      </c>
    </row>
    <row r="4410" spans="1:9">
      <c r="A4410" s="257" t="s">
        <v>5508</v>
      </c>
      <c r="B4410" s="9">
        <v>5</v>
      </c>
      <c r="C4410" s="257" t="s">
        <v>11936</v>
      </c>
      <c r="D4410" s="9">
        <v>901129.99133300781</v>
      </c>
      <c r="E4410" s="9">
        <v>1724465.2324523926</v>
      </c>
      <c r="F4410" s="257" t="s">
        <v>16174</v>
      </c>
      <c r="G4410" s="9"/>
      <c r="H4410" s="257" t="s">
        <v>22468</v>
      </c>
      <c r="I4410" s="9">
        <v>3</v>
      </c>
    </row>
    <row r="4411" spans="1:9">
      <c r="A4411" s="257" t="s">
        <v>5509</v>
      </c>
      <c r="B4411" s="9">
        <v>5</v>
      </c>
      <c r="C4411" s="257" t="s">
        <v>11937</v>
      </c>
      <c r="D4411" s="9">
        <v>1733862407.9105406</v>
      </c>
      <c r="E4411" s="9">
        <v>1724465.2324523926</v>
      </c>
      <c r="F4411" s="257" t="s">
        <v>16174</v>
      </c>
      <c r="G4411" s="9"/>
      <c r="H4411" s="257" t="s">
        <v>22469</v>
      </c>
      <c r="I4411" s="9">
        <v>3</v>
      </c>
    </row>
    <row r="4412" spans="1:9">
      <c r="A4412" s="257" t="s">
        <v>5510</v>
      </c>
      <c r="B4412" s="9">
        <v>5</v>
      </c>
      <c r="C4412" s="257" t="s">
        <v>11938</v>
      </c>
      <c r="D4412" s="9">
        <v>0.52255619561056321</v>
      </c>
      <c r="E4412" s="9">
        <v>1724465.2324523926</v>
      </c>
      <c r="F4412" s="257" t="s">
        <v>16174</v>
      </c>
      <c r="G4412" s="9"/>
      <c r="H4412" s="257" t="s">
        <v>22470</v>
      </c>
      <c r="I4412" s="9">
        <v>3</v>
      </c>
    </row>
    <row r="4413" spans="1:9">
      <c r="A4413" s="257" t="s">
        <v>5511</v>
      </c>
      <c r="B4413" s="9">
        <v>5</v>
      </c>
      <c r="C4413" s="257" t="s">
        <v>11939</v>
      </c>
      <c r="D4413" s="9">
        <v>1005.4493272936469</v>
      </c>
      <c r="E4413" s="9">
        <v>1724465.2324523926</v>
      </c>
      <c r="F4413" s="257" t="s">
        <v>16174</v>
      </c>
      <c r="G4413" s="9"/>
      <c r="H4413" s="257" t="s">
        <v>22471</v>
      </c>
      <c r="I4413" s="9">
        <v>3</v>
      </c>
    </row>
    <row r="4414" spans="1:9">
      <c r="A4414" s="257" t="s">
        <v>5512</v>
      </c>
      <c r="B4414" s="9">
        <v>5</v>
      </c>
      <c r="C4414" s="257" t="s">
        <v>11940</v>
      </c>
      <c r="D4414" s="9">
        <v>1724465.2324523926</v>
      </c>
      <c r="E4414" s="9">
        <v>1724465.2324523926</v>
      </c>
      <c r="F4414" s="257" t="s">
        <v>16175</v>
      </c>
      <c r="G4414" s="9"/>
      <c r="H4414" s="257" t="s">
        <v>22472</v>
      </c>
      <c r="I4414" s="9">
        <v>3</v>
      </c>
    </row>
    <row r="4415" spans="1:9">
      <c r="A4415" s="257" t="s">
        <v>5513</v>
      </c>
      <c r="B4415" s="9">
        <v>5</v>
      </c>
      <c r="C4415" s="257" t="s">
        <v>11941</v>
      </c>
      <c r="D4415" s="9">
        <v>7472446842.3422194</v>
      </c>
      <c r="E4415" s="9">
        <v>1724465.2324523926</v>
      </c>
      <c r="F4415" s="257" t="s">
        <v>16175</v>
      </c>
      <c r="G4415" s="9"/>
      <c r="H4415" s="257" t="s">
        <v>22473</v>
      </c>
      <c r="I4415" s="9">
        <v>3</v>
      </c>
    </row>
    <row r="4416" spans="1:9">
      <c r="A4416" s="257" t="s">
        <v>5514</v>
      </c>
      <c r="B4416" s="9">
        <v>5</v>
      </c>
      <c r="C4416" s="257" t="s">
        <v>11942</v>
      </c>
      <c r="D4416" s="9">
        <v>1</v>
      </c>
      <c r="E4416" s="9">
        <v>1724465.2324523926</v>
      </c>
      <c r="F4416" s="257" t="s">
        <v>16175</v>
      </c>
      <c r="G4416" s="9"/>
      <c r="H4416" s="257" t="s">
        <v>22474</v>
      </c>
      <c r="I4416" s="9">
        <v>3</v>
      </c>
    </row>
    <row r="4417" spans="1:9">
      <c r="A4417" s="257" t="s">
        <v>5515</v>
      </c>
      <c r="B4417" s="9">
        <v>5</v>
      </c>
      <c r="C4417" s="257" t="s">
        <v>11943</v>
      </c>
      <c r="D4417" s="9">
        <v>4333.1965769559301</v>
      </c>
      <c r="E4417" s="9">
        <v>1724465.2324523926</v>
      </c>
      <c r="F4417" s="257" t="s">
        <v>16175</v>
      </c>
      <c r="G4417" s="9"/>
      <c r="H4417" s="257" t="s">
        <v>22475</v>
      </c>
      <c r="I4417" s="9">
        <v>3</v>
      </c>
    </row>
    <row r="4418" spans="1:9">
      <c r="A4418" s="257" t="s">
        <v>5516</v>
      </c>
      <c r="B4418" s="9">
        <v>5</v>
      </c>
      <c r="C4418" s="257" t="s">
        <v>11944</v>
      </c>
      <c r="D4418" s="9">
        <v>1724465.2324523926</v>
      </c>
      <c r="E4418" s="9">
        <v>1724465.2324523926</v>
      </c>
      <c r="F4418" s="257" t="s">
        <v>16176</v>
      </c>
      <c r="G4418" s="9"/>
      <c r="H4418" s="257" t="s">
        <v>22476</v>
      </c>
      <c r="I4418" s="9">
        <v>3</v>
      </c>
    </row>
    <row r="4419" spans="1:9">
      <c r="A4419" s="257" t="s">
        <v>5517</v>
      </c>
      <c r="B4419" s="9">
        <v>5</v>
      </c>
      <c r="C4419" s="257" t="s">
        <v>11945</v>
      </c>
      <c r="D4419" s="9">
        <v>7472446842.3422194</v>
      </c>
      <c r="E4419" s="9">
        <v>1724465.2324523926</v>
      </c>
      <c r="F4419" s="257" t="s">
        <v>16176</v>
      </c>
      <c r="G4419" s="9"/>
      <c r="H4419" s="257" t="s">
        <v>22477</v>
      </c>
      <c r="I4419" s="9">
        <v>3</v>
      </c>
    </row>
    <row r="4420" spans="1:9">
      <c r="A4420" s="257" t="s">
        <v>5518</v>
      </c>
      <c r="B4420" s="9">
        <v>5</v>
      </c>
      <c r="C4420" s="257" t="s">
        <v>11946</v>
      </c>
      <c r="D4420" s="9">
        <v>1</v>
      </c>
      <c r="E4420" s="9">
        <v>1724465.2324523926</v>
      </c>
      <c r="F4420" s="257" t="s">
        <v>16176</v>
      </c>
      <c r="G4420" s="9"/>
      <c r="H4420" s="257" t="s">
        <v>22478</v>
      </c>
      <c r="I4420" s="9">
        <v>3</v>
      </c>
    </row>
    <row r="4421" spans="1:9">
      <c r="A4421" s="257" t="s">
        <v>5519</v>
      </c>
      <c r="B4421" s="9">
        <v>5</v>
      </c>
      <c r="C4421" s="257" t="s">
        <v>11947</v>
      </c>
      <c r="D4421" s="9">
        <v>4333.1965769559301</v>
      </c>
      <c r="E4421" s="9">
        <v>1724465.2324523926</v>
      </c>
      <c r="F4421" s="257" t="s">
        <v>16176</v>
      </c>
      <c r="G4421" s="9"/>
      <c r="H4421" s="257" t="s">
        <v>22479</v>
      </c>
      <c r="I4421" s="9">
        <v>3</v>
      </c>
    </row>
    <row r="4422" spans="1:9">
      <c r="A4422" s="257" t="s">
        <v>5520</v>
      </c>
      <c r="B4422" s="9">
        <v>5</v>
      </c>
      <c r="C4422" s="257" t="s">
        <v>11948</v>
      </c>
      <c r="D4422" s="9">
        <v>937311.10572814941</v>
      </c>
      <c r="E4422" s="9">
        <v>1724465.2324523926</v>
      </c>
      <c r="F4422" s="257" t="s">
        <v>16177</v>
      </c>
      <c r="G4422" s="9"/>
      <c r="H4422" s="257" t="s">
        <v>22480</v>
      </c>
      <c r="I4422" s="9">
        <v>3</v>
      </c>
    </row>
    <row r="4423" spans="1:9">
      <c r="A4423" s="257" t="s">
        <v>5521</v>
      </c>
      <c r="B4423" s="9">
        <v>5</v>
      </c>
      <c r="C4423" s="257" t="s">
        <v>11949</v>
      </c>
      <c r="D4423" s="9">
        <v>3114343250.371356</v>
      </c>
      <c r="E4423" s="9">
        <v>1724465.2324523926</v>
      </c>
      <c r="F4423" s="257" t="s">
        <v>16177</v>
      </c>
      <c r="G4423" s="9"/>
      <c r="H4423" s="257" t="s">
        <v>22481</v>
      </c>
      <c r="I4423" s="9">
        <v>3</v>
      </c>
    </row>
    <row r="4424" spans="1:9">
      <c r="A4424" s="257" t="s">
        <v>5522</v>
      </c>
      <c r="B4424" s="9">
        <v>5</v>
      </c>
      <c r="C4424" s="257" t="s">
        <v>11950</v>
      </c>
      <c r="D4424" s="9">
        <v>0.54353725902329886</v>
      </c>
      <c r="E4424" s="9">
        <v>1724465.2324523926</v>
      </c>
      <c r="F4424" s="257" t="s">
        <v>16177</v>
      </c>
      <c r="G4424" s="9"/>
      <c r="H4424" s="257" t="s">
        <v>22482</v>
      </c>
      <c r="I4424" s="9">
        <v>3</v>
      </c>
    </row>
    <row r="4425" spans="1:9">
      <c r="A4425" s="257" t="s">
        <v>5523</v>
      </c>
      <c r="B4425" s="9">
        <v>5</v>
      </c>
      <c r="C4425" s="257" t="s">
        <v>11951</v>
      </c>
      <c r="D4425" s="9">
        <v>1805.9762480351044</v>
      </c>
      <c r="E4425" s="9">
        <v>1724465.2324523926</v>
      </c>
      <c r="F4425" s="257" t="s">
        <v>16177</v>
      </c>
      <c r="G4425" s="9"/>
      <c r="H4425" s="257" t="s">
        <v>22483</v>
      </c>
      <c r="I4425" s="9">
        <v>3</v>
      </c>
    </row>
    <row r="4426" spans="1:9">
      <c r="A4426" s="257" t="s">
        <v>5524</v>
      </c>
      <c r="B4426" s="9">
        <v>5</v>
      </c>
      <c r="C4426" s="257" t="s">
        <v>11952</v>
      </c>
      <c r="D4426" s="9">
        <v>937311.10572814941</v>
      </c>
      <c r="E4426" s="9">
        <v>1724465.2324523926</v>
      </c>
      <c r="F4426" s="257" t="s">
        <v>16178</v>
      </c>
      <c r="G4426" s="9"/>
      <c r="H4426" s="257" t="s">
        <v>22484</v>
      </c>
      <c r="I4426" s="9">
        <v>3</v>
      </c>
    </row>
    <row r="4427" spans="1:9">
      <c r="A4427" s="257" t="s">
        <v>5525</v>
      </c>
      <c r="B4427" s="9">
        <v>5</v>
      </c>
      <c r="C4427" s="257" t="s">
        <v>11953</v>
      </c>
      <c r="D4427" s="9">
        <v>3114343250.371356</v>
      </c>
      <c r="E4427" s="9">
        <v>1724465.2324523926</v>
      </c>
      <c r="F4427" s="257" t="s">
        <v>16178</v>
      </c>
      <c r="G4427" s="9"/>
      <c r="H4427" s="257" t="s">
        <v>22485</v>
      </c>
      <c r="I4427" s="9">
        <v>3</v>
      </c>
    </row>
    <row r="4428" spans="1:9">
      <c r="A4428" s="257" t="s">
        <v>5526</v>
      </c>
      <c r="B4428" s="9">
        <v>5</v>
      </c>
      <c r="C4428" s="257" t="s">
        <v>11954</v>
      </c>
      <c r="D4428" s="9">
        <v>0.54353725902329886</v>
      </c>
      <c r="E4428" s="9">
        <v>1724465.2324523926</v>
      </c>
      <c r="F4428" s="257" t="s">
        <v>16178</v>
      </c>
      <c r="G4428" s="9"/>
      <c r="H4428" s="257" t="s">
        <v>22486</v>
      </c>
      <c r="I4428" s="9">
        <v>3</v>
      </c>
    </row>
    <row r="4429" spans="1:9">
      <c r="A4429" s="257" t="s">
        <v>5527</v>
      </c>
      <c r="B4429" s="9">
        <v>5</v>
      </c>
      <c r="C4429" s="257" t="s">
        <v>11955</v>
      </c>
      <c r="D4429" s="9">
        <v>1805.9762480351044</v>
      </c>
      <c r="E4429" s="9">
        <v>1724465.2324523926</v>
      </c>
      <c r="F4429" s="257" t="s">
        <v>16178</v>
      </c>
      <c r="G4429" s="9"/>
      <c r="H4429" s="257" t="s">
        <v>22487</v>
      </c>
      <c r="I4429" s="9">
        <v>3</v>
      </c>
    </row>
    <row r="4430" spans="1:9">
      <c r="A4430" s="257" t="s">
        <v>5528</v>
      </c>
      <c r="B4430" s="9">
        <v>5</v>
      </c>
      <c r="C4430" s="257" t="s">
        <v>11956</v>
      </c>
      <c r="D4430" s="9">
        <v>1724465.2324523926</v>
      </c>
      <c r="E4430" s="9">
        <v>1724465.2324523926</v>
      </c>
      <c r="F4430" s="257" t="s">
        <v>16179</v>
      </c>
      <c r="G4430" s="9"/>
      <c r="H4430" s="257" t="s">
        <v>22488</v>
      </c>
      <c r="I4430" s="9">
        <v>3</v>
      </c>
    </row>
    <row r="4431" spans="1:9">
      <c r="A4431" s="257" t="s">
        <v>5529</v>
      </c>
      <c r="B4431" s="9">
        <v>5</v>
      </c>
      <c r="C4431" s="257" t="s">
        <v>11957</v>
      </c>
      <c r="D4431" s="9">
        <v>2624241184.0603232</v>
      </c>
      <c r="E4431" s="9">
        <v>1724465.2324523926</v>
      </c>
      <c r="F4431" s="257" t="s">
        <v>16179</v>
      </c>
      <c r="G4431" s="9"/>
      <c r="H4431" s="257" t="s">
        <v>22489</v>
      </c>
      <c r="I4431" s="9">
        <v>3</v>
      </c>
    </row>
    <row r="4432" spans="1:9">
      <c r="A4432" s="257" t="s">
        <v>5530</v>
      </c>
      <c r="B4432" s="9">
        <v>5</v>
      </c>
      <c r="C4432" s="257" t="s">
        <v>11958</v>
      </c>
      <c r="D4432" s="9">
        <v>1</v>
      </c>
      <c r="E4432" s="9">
        <v>1724465.2324523926</v>
      </c>
      <c r="F4432" s="257" t="s">
        <v>16179</v>
      </c>
      <c r="G4432" s="9"/>
      <c r="H4432" s="257" t="s">
        <v>22490</v>
      </c>
      <c r="I4432" s="9">
        <v>3</v>
      </c>
    </row>
    <row r="4433" spans="1:9">
      <c r="A4433" s="257" t="s">
        <v>5531</v>
      </c>
      <c r="B4433" s="9">
        <v>5</v>
      </c>
      <c r="C4433" s="257" t="s">
        <v>11959</v>
      </c>
      <c r="D4433" s="9">
        <v>1521.7710016271787</v>
      </c>
      <c r="E4433" s="9">
        <v>1724465.2324523926</v>
      </c>
      <c r="F4433" s="257" t="s">
        <v>16179</v>
      </c>
      <c r="G4433" s="9"/>
      <c r="H4433" s="257" t="s">
        <v>22491</v>
      </c>
      <c r="I4433" s="9">
        <v>3</v>
      </c>
    </row>
    <row r="4434" spans="1:9">
      <c r="A4434" s="257" t="s">
        <v>5532</v>
      </c>
      <c r="B4434" s="9">
        <v>5</v>
      </c>
      <c r="C4434" s="257" t="s">
        <v>11960</v>
      </c>
      <c r="D4434" s="9">
        <v>1724465.2324523926</v>
      </c>
      <c r="E4434" s="9">
        <v>1724465.2324523926</v>
      </c>
      <c r="F4434" s="257" t="s">
        <v>16180</v>
      </c>
      <c r="G4434" s="9"/>
      <c r="H4434" s="257" t="s">
        <v>22492</v>
      </c>
      <c r="I4434" s="9">
        <v>3</v>
      </c>
    </row>
    <row r="4435" spans="1:9">
      <c r="A4435" s="257" t="s">
        <v>5533</v>
      </c>
      <c r="B4435" s="9">
        <v>5</v>
      </c>
      <c r="C4435" s="257" t="s">
        <v>11961</v>
      </c>
      <c r="D4435" s="9">
        <v>4281050356.6413765</v>
      </c>
      <c r="E4435" s="9">
        <v>1724465.2324523926</v>
      </c>
      <c r="F4435" s="257" t="s">
        <v>16180</v>
      </c>
      <c r="G4435" s="9"/>
      <c r="H4435" s="257" t="s">
        <v>22493</v>
      </c>
      <c r="I4435" s="9">
        <v>3</v>
      </c>
    </row>
    <row r="4436" spans="1:9">
      <c r="A4436" s="257" t="s">
        <v>5534</v>
      </c>
      <c r="B4436" s="9">
        <v>5</v>
      </c>
      <c r="C4436" s="257" t="s">
        <v>11962</v>
      </c>
      <c r="D4436" s="9">
        <v>1</v>
      </c>
      <c r="E4436" s="9">
        <v>1724465.2324523926</v>
      </c>
      <c r="F4436" s="257" t="s">
        <v>16180</v>
      </c>
      <c r="G4436" s="9"/>
      <c r="H4436" s="257" t="s">
        <v>22494</v>
      </c>
      <c r="I4436" s="9">
        <v>3</v>
      </c>
    </row>
    <row r="4437" spans="1:9">
      <c r="A4437" s="257" t="s">
        <v>5535</v>
      </c>
      <c r="B4437" s="9">
        <v>5</v>
      </c>
      <c r="C4437" s="257" t="s">
        <v>11963</v>
      </c>
      <c r="D4437" s="9">
        <v>2482.537934704093</v>
      </c>
      <c r="E4437" s="9">
        <v>1724465.2324523926</v>
      </c>
      <c r="F4437" s="257" t="s">
        <v>16180</v>
      </c>
      <c r="G4437" s="9"/>
      <c r="H4437" s="257" t="s">
        <v>22495</v>
      </c>
      <c r="I4437" s="9">
        <v>3</v>
      </c>
    </row>
    <row r="4438" spans="1:9">
      <c r="A4438" s="257" t="s">
        <v>5536</v>
      </c>
      <c r="B4438" s="9">
        <v>5</v>
      </c>
      <c r="C4438" s="257" t="s">
        <v>11964</v>
      </c>
      <c r="D4438" s="9">
        <v>943306.87666320801</v>
      </c>
      <c r="E4438" s="9">
        <v>1724465.2324523926</v>
      </c>
      <c r="F4438" s="257" t="s">
        <v>16181</v>
      </c>
      <c r="G4438" s="9"/>
      <c r="H4438" s="257" t="s">
        <v>22496</v>
      </c>
      <c r="I4438" s="9">
        <v>3</v>
      </c>
    </row>
    <row r="4439" spans="1:9">
      <c r="A4439" s="257" t="s">
        <v>5537</v>
      </c>
      <c r="B4439" s="9">
        <v>5</v>
      </c>
      <c r="C4439" s="257" t="s">
        <v>11965</v>
      </c>
      <c r="D4439" s="9">
        <v>3887301815.1471052</v>
      </c>
      <c r="E4439" s="9">
        <v>1724465.2324523926</v>
      </c>
      <c r="F4439" s="257" t="s">
        <v>16181</v>
      </c>
      <c r="G4439" s="9"/>
      <c r="H4439" s="257" t="s">
        <v>22497</v>
      </c>
      <c r="I4439" s="9">
        <v>3</v>
      </c>
    </row>
    <row r="4440" spans="1:9">
      <c r="A4440" s="257" t="s">
        <v>5538</v>
      </c>
      <c r="B4440" s="9">
        <v>5</v>
      </c>
      <c r="C4440" s="257" t="s">
        <v>11966</v>
      </c>
      <c r="D4440" s="9">
        <v>0.54701414613138621</v>
      </c>
      <c r="E4440" s="9">
        <v>1724465.2324523926</v>
      </c>
      <c r="F4440" s="257" t="s">
        <v>16181</v>
      </c>
      <c r="G4440" s="9"/>
      <c r="H4440" s="257" t="s">
        <v>22498</v>
      </c>
      <c r="I4440" s="9">
        <v>3</v>
      </c>
    </row>
    <row r="4441" spans="1:9">
      <c r="A4441" s="257" t="s">
        <v>5539</v>
      </c>
      <c r="B4441" s="9">
        <v>5</v>
      </c>
      <c r="C4441" s="257" t="s">
        <v>11967</v>
      </c>
      <c r="D4441" s="9">
        <v>2254.2071257759744</v>
      </c>
      <c r="E4441" s="9">
        <v>1724465.2324523926</v>
      </c>
      <c r="F4441" s="257" t="s">
        <v>16181</v>
      </c>
      <c r="G4441" s="9"/>
      <c r="H4441" s="257" t="s">
        <v>22499</v>
      </c>
      <c r="I4441" s="9">
        <v>3</v>
      </c>
    </row>
    <row r="4442" spans="1:9">
      <c r="A4442" s="257" t="s">
        <v>5540</v>
      </c>
      <c r="B4442" s="9">
        <v>5</v>
      </c>
      <c r="C4442" s="257" t="s">
        <v>11968</v>
      </c>
      <c r="D4442" s="9">
        <v>0</v>
      </c>
      <c r="E4442" s="9">
        <v>1724465.2324523926</v>
      </c>
      <c r="F4442" s="257" t="s">
        <v>16182</v>
      </c>
      <c r="G4442" s="9"/>
      <c r="H4442" s="257" t="s">
        <v>22500</v>
      </c>
      <c r="I4442" s="9">
        <v>3</v>
      </c>
    </row>
    <row r="4443" spans="1:9">
      <c r="A4443" s="257" t="s">
        <v>5541</v>
      </c>
      <c r="B4443" s="9">
        <v>5</v>
      </c>
      <c r="C4443" s="257" t="s">
        <v>11969</v>
      </c>
      <c r="D4443" s="9">
        <v>-695905329.44626164</v>
      </c>
      <c r="E4443" s="9">
        <v>1724465.2324523926</v>
      </c>
      <c r="F4443" s="257" t="s">
        <v>16182</v>
      </c>
      <c r="G4443" s="9"/>
      <c r="H4443" s="257" t="s">
        <v>22501</v>
      </c>
      <c r="I4443" s="9">
        <v>3</v>
      </c>
    </row>
    <row r="4444" spans="1:9">
      <c r="A4444" s="257" t="s">
        <v>5542</v>
      </c>
      <c r="B4444" s="9">
        <v>5</v>
      </c>
      <c r="C4444" s="257" t="s">
        <v>11970</v>
      </c>
      <c r="D4444" s="9">
        <v>0</v>
      </c>
      <c r="E4444" s="9">
        <v>1724465.2324523926</v>
      </c>
      <c r="F4444" s="257" t="s">
        <v>16182</v>
      </c>
      <c r="G4444" s="9"/>
      <c r="H4444" s="257" t="s">
        <v>22502</v>
      </c>
      <c r="I4444" s="9">
        <v>3</v>
      </c>
    </row>
    <row r="4445" spans="1:9">
      <c r="A4445" s="257" t="s">
        <v>5543</v>
      </c>
      <c r="B4445" s="9">
        <v>5</v>
      </c>
      <c r="C4445" s="257" t="s">
        <v>11971</v>
      </c>
      <c r="D4445" s="9">
        <v>-403.54848352413711</v>
      </c>
      <c r="E4445" s="9">
        <v>1724465.2324523926</v>
      </c>
      <c r="F4445" s="257" t="s">
        <v>16182</v>
      </c>
      <c r="G4445" s="9"/>
      <c r="H4445" s="257" t="s">
        <v>22503</v>
      </c>
      <c r="I4445" s="9">
        <v>3</v>
      </c>
    </row>
    <row r="4446" spans="1:9">
      <c r="A4446" s="257" t="s">
        <v>5544</v>
      </c>
      <c r="B4446" s="9">
        <v>5</v>
      </c>
      <c r="C4446" s="257" t="s">
        <v>11972</v>
      </c>
      <c r="D4446" s="9">
        <v>937311.10572814941</v>
      </c>
      <c r="E4446" s="9">
        <v>1724465.2324523926</v>
      </c>
      <c r="F4446" s="257" t="s">
        <v>16183</v>
      </c>
      <c r="G4446" s="9"/>
      <c r="H4446" s="257" t="s">
        <v>22504</v>
      </c>
      <c r="I4446" s="9">
        <v>3</v>
      </c>
    </row>
    <row r="4447" spans="1:9">
      <c r="A4447" s="257" t="s">
        <v>5545</v>
      </c>
      <c r="B4447" s="9">
        <v>5</v>
      </c>
      <c r="C4447" s="257" t="s">
        <v>11973</v>
      </c>
      <c r="D4447" s="9">
        <v>3191396485.7008433</v>
      </c>
      <c r="E4447" s="9">
        <v>1724465.2324523926</v>
      </c>
      <c r="F4447" s="257" t="s">
        <v>16183</v>
      </c>
      <c r="G4447" s="9"/>
      <c r="H4447" s="257" t="s">
        <v>22505</v>
      </c>
      <c r="I4447" s="9">
        <v>3</v>
      </c>
    </row>
    <row r="4448" spans="1:9">
      <c r="A4448" s="257" t="s">
        <v>5546</v>
      </c>
      <c r="B4448" s="9">
        <v>5</v>
      </c>
      <c r="C4448" s="257" t="s">
        <v>11974</v>
      </c>
      <c r="D4448" s="9">
        <v>0.54353725902329886</v>
      </c>
      <c r="E4448" s="9">
        <v>1724465.2324523926</v>
      </c>
      <c r="F4448" s="257" t="s">
        <v>16183</v>
      </c>
      <c r="G4448" s="9"/>
      <c r="H4448" s="257" t="s">
        <v>22506</v>
      </c>
      <c r="I4448" s="9">
        <v>3</v>
      </c>
    </row>
    <row r="4449" spans="1:9">
      <c r="A4449" s="257" t="s">
        <v>5547</v>
      </c>
      <c r="B4449" s="9">
        <v>5</v>
      </c>
      <c r="C4449" s="257" t="s">
        <v>11975</v>
      </c>
      <c r="D4449" s="9">
        <v>1850.6586422518369</v>
      </c>
      <c r="E4449" s="9">
        <v>1724465.2324523926</v>
      </c>
      <c r="F4449" s="257" t="s">
        <v>16183</v>
      </c>
      <c r="G4449" s="9"/>
      <c r="H4449" s="257" t="s">
        <v>22507</v>
      </c>
      <c r="I4449" s="9">
        <v>3</v>
      </c>
    </row>
    <row r="4450" spans="1:9">
      <c r="A4450" s="257" t="s">
        <v>5548</v>
      </c>
      <c r="B4450" s="9">
        <v>5</v>
      </c>
      <c r="C4450" s="257" t="s">
        <v>11976</v>
      </c>
      <c r="D4450" s="9">
        <v>103478.39990234375</v>
      </c>
      <c r="E4450" s="9">
        <v>1724465.2324523926</v>
      </c>
      <c r="F4450" s="257" t="s">
        <v>16184</v>
      </c>
      <c r="G4450" s="9"/>
      <c r="H4450" s="257" t="s">
        <v>22508</v>
      </c>
      <c r="I4450" s="9">
        <v>3</v>
      </c>
    </row>
    <row r="4451" spans="1:9">
      <c r="A4451" s="257" t="s">
        <v>5549</v>
      </c>
      <c r="B4451" s="9">
        <v>5</v>
      </c>
      <c r="C4451" s="257" t="s">
        <v>11977</v>
      </c>
      <c r="D4451" s="9">
        <v>77053235.32948719</v>
      </c>
      <c r="E4451" s="9">
        <v>1724465.2324523926</v>
      </c>
      <c r="F4451" s="257" t="s">
        <v>16184</v>
      </c>
      <c r="G4451" s="9"/>
      <c r="H4451" s="257" t="s">
        <v>22509</v>
      </c>
      <c r="I4451" s="9">
        <v>3</v>
      </c>
    </row>
    <row r="4452" spans="1:9">
      <c r="A4452" s="257" t="s">
        <v>5550</v>
      </c>
      <c r="B4452" s="9">
        <v>5</v>
      </c>
      <c r="C4452" s="257" t="s">
        <v>11978</v>
      </c>
      <c r="D4452" s="9">
        <v>6.0006080699687568E-2</v>
      </c>
      <c r="E4452" s="9">
        <v>1724465.2324523926</v>
      </c>
      <c r="F4452" s="257" t="s">
        <v>16184</v>
      </c>
      <c r="G4452" s="9"/>
      <c r="H4452" s="257" t="s">
        <v>22510</v>
      </c>
      <c r="I4452" s="9">
        <v>3</v>
      </c>
    </row>
    <row r="4453" spans="1:9">
      <c r="A4453" s="257" t="s">
        <v>5551</v>
      </c>
      <c r="B4453" s="9">
        <v>5</v>
      </c>
      <c r="C4453" s="257" t="s">
        <v>11979</v>
      </c>
      <c r="D4453" s="9">
        <v>44.682394216732582</v>
      </c>
      <c r="E4453" s="9">
        <v>1724465.2324523926</v>
      </c>
      <c r="F4453" s="257" t="s">
        <v>16184</v>
      </c>
      <c r="G4453" s="9"/>
      <c r="H4453" s="257" t="s">
        <v>22511</v>
      </c>
      <c r="I4453" s="9">
        <v>3</v>
      </c>
    </row>
    <row r="4454" spans="1:9">
      <c r="A4454" s="257" t="s">
        <v>5552</v>
      </c>
      <c r="B4454" s="9">
        <v>5</v>
      </c>
      <c r="C4454" s="257" t="s">
        <v>11980</v>
      </c>
      <c r="D4454" s="9">
        <v>860979.083984375</v>
      </c>
      <c r="E4454" s="9">
        <v>1724465.2324523926</v>
      </c>
      <c r="F4454" s="257" t="s">
        <v>16185</v>
      </c>
      <c r="G4454" s="9"/>
      <c r="H4454" s="257" t="s">
        <v>22512</v>
      </c>
      <c r="I4454" s="9">
        <v>3</v>
      </c>
    </row>
    <row r="4455" spans="1:9">
      <c r="A4455" s="257" t="s">
        <v>5553</v>
      </c>
      <c r="B4455" s="9">
        <v>5</v>
      </c>
      <c r="C4455" s="257" t="s">
        <v>11981</v>
      </c>
      <c r="D4455" s="9">
        <v>1656809172.5810533</v>
      </c>
      <c r="E4455" s="9">
        <v>1724465.2324523926</v>
      </c>
      <c r="F4455" s="257" t="s">
        <v>16185</v>
      </c>
      <c r="G4455" s="9"/>
      <c r="H4455" s="257" t="s">
        <v>22513</v>
      </c>
      <c r="I4455" s="9">
        <v>3</v>
      </c>
    </row>
    <row r="4456" spans="1:9">
      <c r="A4456" s="257" t="s">
        <v>5554</v>
      </c>
      <c r="B4456" s="9">
        <v>5</v>
      </c>
      <c r="C4456" s="257" t="s">
        <v>11982</v>
      </c>
      <c r="D4456" s="9">
        <v>0.49927308929270864</v>
      </c>
      <c r="E4456" s="9">
        <v>1724465.2324523926</v>
      </c>
      <c r="F4456" s="257" t="s">
        <v>16185</v>
      </c>
      <c r="G4456" s="9"/>
      <c r="H4456" s="257" t="s">
        <v>22514</v>
      </c>
      <c r="I4456" s="9">
        <v>3</v>
      </c>
    </row>
    <row r="4457" spans="1:9">
      <c r="A4457" s="257" t="s">
        <v>5555</v>
      </c>
      <c r="B4457" s="9">
        <v>5</v>
      </c>
      <c r="C4457" s="257" t="s">
        <v>11983</v>
      </c>
      <c r="D4457" s="9">
        <v>960.76693307691426</v>
      </c>
      <c r="E4457" s="9">
        <v>1724465.2324523926</v>
      </c>
      <c r="F4457" s="257" t="s">
        <v>16185</v>
      </c>
      <c r="G4457" s="9"/>
      <c r="H4457" s="257" t="s">
        <v>22515</v>
      </c>
      <c r="I4457" s="9">
        <v>3</v>
      </c>
    </row>
    <row r="4458" spans="1:9">
      <c r="A4458" s="257" t="s">
        <v>5556</v>
      </c>
      <c r="B4458" s="9">
        <v>5</v>
      </c>
      <c r="C4458" s="257" t="s">
        <v>11984</v>
      </c>
      <c r="D4458" s="9">
        <v>0</v>
      </c>
      <c r="E4458" s="9">
        <v>1724465.2324523926</v>
      </c>
      <c r="F4458" s="257" t="s">
        <v>16186</v>
      </c>
      <c r="G4458" s="9"/>
      <c r="H4458" s="257" t="s">
        <v>22516</v>
      </c>
      <c r="I4458" s="9">
        <v>3</v>
      </c>
    </row>
    <row r="4459" spans="1:9">
      <c r="A4459" s="257" t="s">
        <v>5557</v>
      </c>
      <c r="B4459" s="9">
        <v>5</v>
      </c>
      <c r="C4459" s="257" t="s">
        <v>11985</v>
      </c>
      <c r="D4459" s="9">
        <v>0</v>
      </c>
      <c r="E4459" s="9">
        <v>1724465.2324523926</v>
      </c>
      <c r="F4459" s="257" t="s">
        <v>16186</v>
      </c>
      <c r="G4459" s="9"/>
      <c r="H4459" s="257" t="s">
        <v>22517</v>
      </c>
      <c r="I4459" s="9">
        <v>3</v>
      </c>
    </row>
    <row r="4460" spans="1:9">
      <c r="A4460" s="257" t="s">
        <v>5558</v>
      </c>
      <c r="B4460" s="9">
        <v>5</v>
      </c>
      <c r="C4460" s="257" t="s">
        <v>11986</v>
      </c>
      <c r="D4460" s="9">
        <v>0</v>
      </c>
      <c r="E4460" s="9">
        <v>1724465.2324523926</v>
      </c>
      <c r="F4460" s="257" t="s">
        <v>16186</v>
      </c>
      <c r="G4460" s="9"/>
      <c r="H4460" s="257" t="s">
        <v>22518</v>
      </c>
      <c r="I4460" s="9">
        <v>3</v>
      </c>
    </row>
    <row r="4461" spans="1:9">
      <c r="A4461" s="257" t="s">
        <v>5559</v>
      </c>
      <c r="B4461" s="9">
        <v>5</v>
      </c>
      <c r="C4461" s="257" t="s">
        <v>11987</v>
      </c>
      <c r="D4461" s="9">
        <v>0</v>
      </c>
      <c r="E4461" s="9">
        <v>1724465.2324523926</v>
      </c>
      <c r="F4461" s="257" t="s">
        <v>16186</v>
      </c>
      <c r="G4461" s="9"/>
      <c r="H4461" s="257" t="s">
        <v>22519</v>
      </c>
      <c r="I4461" s="9">
        <v>3</v>
      </c>
    </row>
    <row r="4462" spans="1:9">
      <c r="A4462" s="257" t="s">
        <v>5560</v>
      </c>
      <c r="B4462" s="9">
        <v>6</v>
      </c>
      <c r="C4462" s="257" t="s">
        <v>11988</v>
      </c>
      <c r="D4462" s="9">
        <v>1075620.3254089355</v>
      </c>
      <c r="E4462" s="9">
        <v>1727309.5965805054</v>
      </c>
      <c r="F4462" s="257" t="s">
        <v>16187</v>
      </c>
      <c r="G4462" s="9"/>
      <c r="H4462" s="257" t="s">
        <v>22520</v>
      </c>
      <c r="I4462" s="9">
        <v>3</v>
      </c>
    </row>
    <row r="4463" spans="1:9">
      <c r="A4463" s="257" t="s">
        <v>5561</v>
      </c>
      <c r="B4463" s="9">
        <v>6</v>
      </c>
      <c r="C4463" s="257" t="s">
        <v>11989</v>
      </c>
      <c r="D4463" s="9">
        <v>3656699744.6330066</v>
      </c>
      <c r="E4463" s="9">
        <v>1727309.5965805054</v>
      </c>
      <c r="F4463" s="257" t="s">
        <v>16187</v>
      </c>
      <c r="G4463" s="9"/>
      <c r="H4463" s="257" t="s">
        <v>22521</v>
      </c>
      <c r="I4463" s="9">
        <v>3</v>
      </c>
    </row>
    <row r="4464" spans="1:9">
      <c r="A4464" s="257" t="s">
        <v>5562</v>
      </c>
      <c r="B4464" s="9">
        <v>6</v>
      </c>
      <c r="C4464" s="257" t="s">
        <v>11990</v>
      </c>
      <c r="D4464" s="9">
        <v>0.62271426473766123</v>
      </c>
      <c r="E4464" s="9">
        <v>1727309.5965805054</v>
      </c>
      <c r="F4464" s="257" t="s">
        <v>16187</v>
      </c>
      <c r="G4464" s="9"/>
      <c r="H4464" s="257" t="s">
        <v>22522</v>
      </c>
      <c r="I4464" s="9">
        <v>3</v>
      </c>
    </row>
    <row r="4465" spans="1:9">
      <c r="A4465" s="257" t="s">
        <v>5563</v>
      </c>
      <c r="B4465" s="9">
        <v>6</v>
      </c>
      <c r="C4465" s="257" t="s">
        <v>11991</v>
      </c>
      <c r="D4465" s="9">
        <v>2116.9915062546097</v>
      </c>
      <c r="E4465" s="9">
        <v>1727309.5965805054</v>
      </c>
      <c r="F4465" s="257" t="s">
        <v>16187</v>
      </c>
      <c r="G4465" s="9"/>
      <c r="H4465" s="257" t="s">
        <v>22523</v>
      </c>
      <c r="I4465" s="9">
        <v>3</v>
      </c>
    </row>
    <row r="4466" spans="1:9">
      <c r="A4466" s="257" t="s">
        <v>5564</v>
      </c>
      <c r="B4466" s="9">
        <v>6</v>
      </c>
      <c r="C4466" s="257" t="s">
        <v>11992</v>
      </c>
      <c r="D4466" s="9">
        <v>0</v>
      </c>
      <c r="E4466" s="9">
        <v>1727309.5965805054</v>
      </c>
      <c r="F4466" s="257" t="s">
        <v>16188</v>
      </c>
      <c r="G4466" s="9"/>
      <c r="H4466" s="257" t="s">
        <v>22524</v>
      </c>
      <c r="I4466" s="9">
        <v>3</v>
      </c>
    </row>
    <row r="4467" spans="1:9">
      <c r="A4467" s="257" t="s">
        <v>5565</v>
      </c>
      <c r="B4467" s="9">
        <v>6</v>
      </c>
      <c r="C4467" s="257" t="s">
        <v>11993</v>
      </c>
      <c r="D4467" s="9">
        <v>0</v>
      </c>
      <c r="E4467" s="9">
        <v>1727309.5965805054</v>
      </c>
      <c r="F4467" s="257" t="s">
        <v>16188</v>
      </c>
      <c r="G4467" s="9"/>
      <c r="H4467" s="257" t="s">
        <v>22525</v>
      </c>
      <c r="I4467" s="9">
        <v>3</v>
      </c>
    </row>
    <row r="4468" spans="1:9">
      <c r="A4468" s="257" t="s">
        <v>5566</v>
      </c>
      <c r="B4468" s="9">
        <v>6</v>
      </c>
      <c r="C4468" s="257" t="s">
        <v>11994</v>
      </c>
      <c r="D4468" s="9">
        <v>0</v>
      </c>
      <c r="E4468" s="9">
        <v>1727309.5965805054</v>
      </c>
      <c r="F4468" s="257" t="s">
        <v>16188</v>
      </c>
      <c r="G4468" s="9"/>
      <c r="H4468" s="257" t="s">
        <v>22526</v>
      </c>
      <c r="I4468" s="9">
        <v>3</v>
      </c>
    </row>
    <row r="4469" spans="1:9">
      <c r="A4469" s="257" t="s">
        <v>5567</v>
      </c>
      <c r="B4469" s="9">
        <v>6</v>
      </c>
      <c r="C4469" s="257" t="s">
        <v>11995</v>
      </c>
      <c r="D4469" s="9">
        <v>0</v>
      </c>
      <c r="E4469" s="9">
        <v>1727309.5965805054</v>
      </c>
      <c r="F4469" s="257" t="s">
        <v>16188</v>
      </c>
      <c r="G4469" s="9"/>
      <c r="H4469" s="257" t="s">
        <v>22527</v>
      </c>
      <c r="I4469" s="9">
        <v>3</v>
      </c>
    </row>
    <row r="4470" spans="1:9">
      <c r="A4470" s="257" t="s">
        <v>5568</v>
      </c>
      <c r="B4470" s="9">
        <v>6</v>
      </c>
      <c r="C4470" s="257" t="s">
        <v>11996</v>
      </c>
      <c r="D4470" s="9">
        <v>0</v>
      </c>
      <c r="E4470" s="9">
        <v>1727309.5965805054</v>
      </c>
      <c r="F4470" s="257" t="s">
        <v>16189</v>
      </c>
      <c r="G4470" s="9"/>
      <c r="H4470" s="257" t="s">
        <v>22528</v>
      </c>
      <c r="I4470" s="9">
        <v>3</v>
      </c>
    </row>
    <row r="4471" spans="1:9">
      <c r="A4471" s="257" t="s">
        <v>5569</v>
      </c>
      <c r="B4471" s="9">
        <v>6</v>
      </c>
      <c r="C4471" s="257" t="s">
        <v>11997</v>
      </c>
      <c r="D4471" s="9">
        <v>0</v>
      </c>
      <c r="E4471" s="9">
        <v>1727309.5965805054</v>
      </c>
      <c r="F4471" s="257" t="s">
        <v>16189</v>
      </c>
      <c r="G4471" s="9"/>
      <c r="H4471" s="257" t="s">
        <v>22529</v>
      </c>
      <c r="I4471" s="9">
        <v>3</v>
      </c>
    </row>
    <row r="4472" spans="1:9">
      <c r="A4472" s="257" t="s">
        <v>5570</v>
      </c>
      <c r="B4472" s="9">
        <v>6</v>
      </c>
      <c r="C4472" s="257" t="s">
        <v>11998</v>
      </c>
      <c r="D4472" s="9">
        <v>0</v>
      </c>
      <c r="E4472" s="9">
        <v>1727309.5965805054</v>
      </c>
      <c r="F4472" s="257" t="s">
        <v>16189</v>
      </c>
      <c r="G4472" s="9"/>
      <c r="H4472" s="257" t="s">
        <v>22530</v>
      </c>
      <c r="I4472" s="9">
        <v>3</v>
      </c>
    </row>
    <row r="4473" spans="1:9">
      <c r="A4473" s="257" t="s">
        <v>5571</v>
      </c>
      <c r="B4473" s="9">
        <v>6</v>
      </c>
      <c r="C4473" s="257" t="s">
        <v>11999</v>
      </c>
      <c r="D4473" s="9">
        <v>0</v>
      </c>
      <c r="E4473" s="9">
        <v>1727309.5965805054</v>
      </c>
      <c r="F4473" s="257" t="s">
        <v>16189</v>
      </c>
      <c r="G4473" s="9"/>
      <c r="H4473" s="257" t="s">
        <v>22531</v>
      </c>
      <c r="I4473" s="9">
        <v>3</v>
      </c>
    </row>
    <row r="4474" spans="1:9">
      <c r="A4474" s="257" t="s">
        <v>5572</v>
      </c>
      <c r="B4474" s="9">
        <v>6</v>
      </c>
      <c r="C4474" s="257" t="s">
        <v>12000</v>
      </c>
      <c r="D4474" s="9">
        <v>0</v>
      </c>
      <c r="E4474" s="9">
        <v>1727309.5965805054</v>
      </c>
      <c r="F4474" s="257" t="s">
        <v>16190</v>
      </c>
      <c r="G4474" s="9"/>
      <c r="H4474" s="257" t="s">
        <v>22532</v>
      </c>
      <c r="I4474" s="9">
        <v>3</v>
      </c>
    </row>
    <row r="4475" spans="1:9">
      <c r="A4475" s="257" t="s">
        <v>5573</v>
      </c>
      <c r="B4475" s="9">
        <v>6</v>
      </c>
      <c r="C4475" s="257" t="s">
        <v>12001</v>
      </c>
      <c r="D4475" s="9">
        <v>0</v>
      </c>
      <c r="E4475" s="9">
        <v>1727309.5965805054</v>
      </c>
      <c r="F4475" s="257" t="s">
        <v>16190</v>
      </c>
      <c r="G4475" s="9"/>
      <c r="H4475" s="257" t="s">
        <v>22533</v>
      </c>
      <c r="I4475" s="9">
        <v>3</v>
      </c>
    </row>
    <row r="4476" spans="1:9">
      <c r="A4476" s="257" t="s">
        <v>5574</v>
      </c>
      <c r="B4476" s="9">
        <v>6</v>
      </c>
      <c r="C4476" s="257" t="s">
        <v>12002</v>
      </c>
      <c r="D4476" s="9">
        <v>0</v>
      </c>
      <c r="E4476" s="9">
        <v>1727309.5965805054</v>
      </c>
      <c r="F4476" s="257" t="s">
        <v>16190</v>
      </c>
      <c r="G4476" s="9"/>
      <c r="H4476" s="257" t="s">
        <v>22534</v>
      </c>
      <c r="I4476" s="9">
        <v>3</v>
      </c>
    </row>
    <row r="4477" spans="1:9">
      <c r="A4477" s="257" t="s">
        <v>5575</v>
      </c>
      <c r="B4477" s="9">
        <v>6</v>
      </c>
      <c r="C4477" s="257" t="s">
        <v>12003</v>
      </c>
      <c r="D4477" s="9">
        <v>0</v>
      </c>
      <c r="E4477" s="9">
        <v>1727309.5965805054</v>
      </c>
      <c r="F4477" s="257" t="s">
        <v>16190</v>
      </c>
      <c r="G4477" s="9"/>
      <c r="H4477" s="257" t="s">
        <v>22535</v>
      </c>
      <c r="I4477" s="9">
        <v>3</v>
      </c>
    </row>
    <row r="4478" spans="1:9">
      <c r="A4478" s="257" t="s">
        <v>5576</v>
      </c>
      <c r="B4478" s="9">
        <v>6</v>
      </c>
      <c r="C4478" s="257" t="s">
        <v>12004</v>
      </c>
      <c r="D4478" s="9">
        <v>0</v>
      </c>
      <c r="E4478" s="9">
        <v>1727309.5965805054</v>
      </c>
      <c r="F4478" s="257" t="s">
        <v>16191</v>
      </c>
      <c r="G4478" s="9"/>
      <c r="H4478" s="257" t="s">
        <v>22536</v>
      </c>
      <c r="I4478" s="9">
        <v>3</v>
      </c>
    </row>
    <row r="4479" spans="1:9">
      <c r="A4479" s="257" t="s">
        <v>5577</v>
      </c>
      <c r="B4479" s="9">
        <v>6</v>
      </c>
      <c r="C4479" s="257" t="s">
        <v>12005</v>
      </c>
      <c r="D4479" s="9">
        <v>0</v>
      </c>
      <c r="E4479" s="9">
        <v>1727309.5965805054</v>
      </c>
      <c r="F4479" s="257" t="s">
        <v>16191</v>
      </c>
      <c r="G4479" s="9"/>
      <c r="H4479" s="257" t="s">
        <v>22537</v>
      </c>
      <c r="I4479" s="9">
        <v>3</v>
      </c>
    </row>
    <row r="4480" spans="1:9">
      <c r="A4480" s="257" t="s">
        <v>5578</v>
      </c>
      <c r="B4480" s="9">
        <v>6</v>
      </c>
      <c r="C4480" s="257" t="s">
        <v>12006</v>
      </c>
      <c r="D4480" s="9">
        <v>0</v>
      </c>
      <c r="E4480" s="9">
        <v>1727309.5965805054</v>
      </c>
      <c r="F4480" s="257" t="s">
        <v>16191</v>
      </c>
      <c r="G4480" s="9"/>
      <c r="H4480" s="257" t="s">
        <v>22538</v>
      </c>
      <c r="I4480" s="9">
        <v>3</v>
      </c>
    </row>
    <row r="4481" spans="1:9">
      <c r="A4481" s="257" t="s">
        <v>5579</v>
      </c>
      <c r="B4481" s="9">
        <v>6</v>
      </c>
      <c r="C4481" s="257" t="s">
        <v>12007</v>
      </c>
      <c r="D4481" s="9">
        <v>0</v>
      </c>
      <c r="E4481" s="9">
        <v>1727309.5965805054</v>
      </c>
      <c r="F4481" s="257" t="s">
        <v>16191</v>
      </c>
      <c r="G4481" s="9"/>
      <c r="H4481" s="257" t="s">
        <v>22539</v>
      </c>
      <c r="I4481" s="9">
        <v>3</v>
      </c>
    </row>
    <row r="4482" spans="1:9">
      <c r="A4482" s="257" t="s">
        <v>5580</v>
      </c>
      <c r="B4482" s="9">
        <v>6</v>
      </c>
      <c r="C4482" s="257" t="s">
        <v>12008</v>
      </c>
      <c r="D4482" s="9">
        <v>0</v>
      </c>
      <c r="E4482" s="9">
        <v>1727309.5965805054</v>
      </c>
      <c r="F4482" s="257" t="s">
        <v>16192</v>
      </c>
      <c r="G4482" s="9"/>
      <c r="H4482" s="257" t="s">
        <v>22540</v>
      </c>
      <c r="I4482" s="9">
        <v>3</v>
      </c>
    </row>
    <row r="4483" spans="1:9">
      <c r="A4483" s="257" t="s">
        <v>5581</v>
      </c>
      <c r="B4483" s="9">
        <v>6</v>
      </c>
      <c r="C4483" s="257" t="s">
        <v>12009</v>
      </c>
      <c r="D4483" s="9">
        <v>0</v>
      </c>
      <c r="E4483" s="9">
        <v>1727309.5965805054</v>
      </c>
      <c r="F4483" s="257" t="s">
        <v>16192</v>
      </c>
      <c r="G4483" s="9"/>
      <c r="H4483" s="257" t="s">
        <v>22541</v>
      </c>
      <c r="I4483" s="9">
        <v>3</v>
      </c>
    </row>
    <row r="4484" spans="1:9">
      <c r="A4484" s="257" t="s">
        <v>5582</v>
      </c>
      <c r="B4484" s="9">
        <v>6</v>
      </c>
      <c r="C4484" s="257" t="s">
        <v>12010</v>
      </c>
      <c r="D4484" s="9">
        <v>0</v>
      </c>
      <c r="E4484" s="9">
        <v>1727309.5965805054</v>
      </c>
      <c r="F4484" s="257" t="s">
        <v>16192</v>
      </c>
      <c r="G4484" s="9"/>
      <c r="H4484" s="257" t="s">
        <v>22542</v>
      </c>
      <c r="I4484" s="9">
        <v>3</v>
      </c>
    </row>
    <row r="4485" spans="1:9">
      <c r="A4485" s="257" t="s">
        <v>5583</v>
      </c>
      <c r="B4485" s="9">
        <v>6</v>
      </c>
      <c r="C4485" s="257" t="s">
        <v>12011</v>
      </c>
      <c r="D4485" s="9">
        <v>0</v>
      </c>
      <c r="E4485" s="9">
        <v>1727309.5965805054</v>
      </c>
      <c r="F4485" s="257" t="s">
        <v>16192</v>
      </c>
      <c r="G4485" s="9"/>
      <c r="H4485" s="257" t="s">
        <v>22543</v>
      </c>
      <c r="I4485" s="9">
        <v>3</v>
      </c>
    </row>
    <row r="4486" spans="1:9">
      <c r="A4486" s="257" t="s">
        <v>5584</v>
      </c>
      <c r="B4486" s="9">
        <v>6</v>
      </c>
      <c r="C4486" s="257" t="s">
        <v>12012</v>
      </c>
      <c r="D4486" s="9">
        <v>0</v>
      </c>
      <c r="E4486" s="9">
        <v>1727309.5965805054</v>
      </c>
      <c r="F4486" s="257" t="s">
        <v>16193</v>
      </c>
      <c r="G4486" s="9"/>
      <c r="H4486" s="257" t="s">
        <v>22544</v>
      </c>
      <c r="I4486" s="9">
        <v>3</v>
      </c>
    </row>
    <row r="4487" spans="1:9">
      <c r="A4487" s="257" t="s">
        <v>5585</v>
      </c>
      <c r="B4487" s="9">
        <v>6</v>
      </c>
      <c r="C4487" s="257" t="s">
        <v>12013</v>
      </c>
      <c r="D4487" s="9">
        <v>0</v>
      </c>
      <c r="E4487" s="9">
        <v>1727309.5965805054</v>
      </c>
      <c r="F4487" s="257" t="s">
        <v>16193</v>
      </c>
      <c r="G4487" s="9"/>
      <c r="H4487" s="257" t="s">
        <v>22545</v>
      </c>
      <c r="I4487" s="9">
        <v>3</v>
      </c>
    </row>
    <row r="4488" spans="1:9">
      <c r="A4488" s="257" t="s">
        <v>5586</v>
      </c>
      <c r="B4488" s="9">
        <v>6</v>
      </c>
      <c r="C4488" s="257" t="s">
        <v>12014</v>
      </c>
      <c r="D4488" s="9">
        <v>0</v>
      </c>
      <c r="E4488" s="9">
        <v>1727309.5965805054</v>
      </c>
      <c r="F4488" s="257" t="s">
        <v>16193</v>
      </c>
      <c r="G4488" s="9"/>
      <c r="H4488" s="257" t="s">
        <v>22546</v>
      </c>
      <c r="I4488" s="9">
        <v>3</v>
      </c>
    </row>
    <row r="4489" spans="1:9">
      <c r="A4489" s="257" t="s">
        <v>5587</v>
      </c>
      <c r="B4489" s="9">
        <v>6</v>
      </c>
      <c r="C4489" s="257" t="s">
        <v>12015</v>
      </c>
      <c r="D4489" s="9">
        <v>0</v>
      </c>
      <c r="E4489" s="9">
        <v>1727309.5965805054</v>
      </c>
      <c r="F4489" s="257" t="s">
        <v>16193</v>
      </c>
      <c r="G4489" s="9"/>
      <c r="H4489" s="257" t="s">
        <v>22547</v>
      </c>
      <c r="I4489" s="9">
        <v>3</v>
      </c>
    </row>
    <row r="4490" spans="1:9">
      <c r="A4490" s="257" t="s">
        <v>5588</v>
      </c>
      <c r="B4490" s="9">
        <v>6</v>
      </c>
      <c r="C4490" s="257" t="s">
        <v>12016</v>
      </c>
      <c r="D4490" s="9">
        <v>0</v>
      </c>
      <c r="E4490" s="9">
        <v>1727309.5965805054</v>
      </c>
      <c r="F4490" s="257" t="s">
        <v>16194</v>
      </c>
      <c r="G4490" s="9"/>
      <c r="H4490" s="257" t="s">
        <v>22548</v>
      </c>
      <c r="I4490" s="9">
        <v>3</v>
      </c>
    </row>
    <row r="4491" spans="1:9">
      <c r="A4491" s="257" t="s">
        <v>5589</v>
      </c>
      <c r="B4491" s="9">
        <v>6</v>
      </c>
      <c r="C4491" s="257" t="s">
        <v>12017</v>
      </c>
      <c r="D4491" s="9">
        <v>0</v>
      </c>
      <c r="E4491" s="9">
        <v>1727309.5965805054</v>
      </c>
      <c r="F4491" s="257" t="s">
        <v>16194</v>
      </c>
      <c r="G4491" s="9"/>
      <c r="H4491" s="257" t="s">
        <v>22549</v>
      </c>
      <c r="I4491" s="9">
        <v>3</v>
      </c>
    </row>
    <row r="4492" spans="1:9">
      <c r="A4492" s="257" t="s">
        <v>5590</v>
      </c>
      <c r="B4492" s="9">
        <v>6</v>
      </c>
      <c r="C4492" s="257" t="s">
        <v>12018</v>
      </c>
      <c r="D4492" s="9">
        <v>0</v>
      </c>
      <c r="E4492" s="9">
        <v>1727309.5965805054</v>
      </c>
      <c r="F4492" s="257" t="s">
        <v>16194</v>
      </c>
      <c r="G4492" s="9"/>
      <c r="H4492" s="257" t="s">
        <v>22550</v>
      </c>
      <c r="I4492" s="9">
        <v>3</v>
      </c>
    </row>
    <row r="4493" spans="1:9">
      <c r="A4493" s="257" t="s">
        <v>5591</v>
      </c>
      <c r="B4493" s="9">
        <v>6</v>
      </c>
      <c r="C4493" s="257" t="s">
        <v>12019</v>
      </c>
      <c r="D4493" s="9">
        <v>0</v>
      </c>
      <c r="E4493" s="9">
        <v>1727309.5965805054</v>
      </c>
      <c r="F4493" s="257" t="s">
        <v>16194</v>
      </c>
      <c r="G4493" s="9"/>
      <c r="H4493" s="257" t="s">
        <v>22551</v>
      </c>
      <c r="I4493" s="9">
        <v>3</v>
      </c>
    </row>
    <row r="4494" spans="1:9">
      <c r="A4494" s="257" t="s">
        <v>5592</v>
      </c>
      <c r="B4494" s="9">
        <v>6</v>
      </c>
      <c r="C4494" s="257" t="s">
        <v>12020</v>
      </c>
      <c r="D4494" s="9">
        <v>1727309.5965805054</v>
      </c>
      <c r="E4494" s="9">
        <v>1727309.5965805054</v>
      </c>
      <c r="F4494" s="257" t="s">
        <v>16195</v>
      </c>
      <c r="G4494" s="9"/>
      <c r="H4494" s="257" t="s">
        <v>22552</v>
      </c>
      <c r="I4494" s="9">
        <v>3</v>
      </c>
    </row>
    <row r="4495" spans="1:9">
      <c r="A4495" s="257" t="s">
        <v>5593</v>
      </c>
      <c r="B4495" s="9">
        <v>6</v>
      </c>
      <c r="C4495" s="257" t="s">
        <v>12021</v>
      </c>
      <c r="D4495" s="9">
        <v>7835137428.2636099</v>
      </c>
      <c r="E4495" s="9">
        <v>1727309.5965805054</v>
      </c>
      <c r="F4495" s="257" t="s">
        <v>16195</v>
      </c>
      <c r="G4495" s="9"/>
      <c r="H4495" s="257" t="s">
        <v>22553</v>
      </c>
      <c r="I4495" s="9">
        <v>3</v>
      </c>
    </row>
    <row r="4496" spans="1:9">
      <c r="A4496" s="257" t="s">
        <v>5594</v>
      </c>
      <c r="B4496" s="9">
        <v>6</v>
      </c>
      <c r="C4496" s="257" t="s">
        <v>12022</v>
      </c>
      <c r="D4496" s="9">
        <v>1</v>
      </c>
      <c r="E4496" s="9">
        <v>1727309.5965805054</v>
      </c>
      <c r="F4496" s="257" t="s">
        <v>16195</v>
      </c>
      <c r="G4496" s="9"/>
      <c r="H4496" s="257" t="s">
        <v>22554</v>
      </c>
      <c r="I4496" s="9">
        <v>3</v>
      </c>
    </row>
    <row r="4497" spans="1:9">
      <c r="A4497" s="257" t="s">
        <v>5595</v>
      </c>
      <c r="B4497" s="9">
        <v>6</v>
      </c>
      <c r="C4497" s="257" t="s">
        <v>12023</v>
      </c>
      <c r="D4497" s="9">
        <v>4536.0353718722799</v>
      </c>
      <c r="E4497" s="9">
        <v>1727309.5965805054</v>
      </c>
      <c r="F4497" s="257" t="s">
        <v>16195</v>
      </c>
      <c r="G4497" s="9"/>
      <c r="H4497" s="257" t="s">
        <v>22555</v>
      </c>
      <c r="I4497" s="9">
        <v>3</v>
      </c>
    </row>
    <row r="4498" spans="1:9">
      <c r="A4498" s="257" t="s">
        <v>5596</v>
      </c>
      <c r="B4498" s="9">
        <v>6</v>
      </c>
      <c r="C4498" s="257" t="s">
        <v>12024</v>
      </c>
      <c r="D4498" s="9">
        <v>1727309.5965805054</v>
      </c>
      <c r="E4498" s="9">
        <v>1727309.5965805054</v>
      </c>
      <c r="F4498" s="257" t="s">
        <v>16196</v>
      </c>
      <c r="G4498" s="9"/>
      <c r="H4498" s="257" t="s">
        <v>22556</v>
      </c>
      <c r="I4498" s="9">
        <v>3</v>
      </c>
    </row>
    <row r="4499" spans="1:9">
      <c r="A4499" s="257" t="s">
        <v>5597</v>
      </c>
      <c r="B4499" s="9">
        <v>6</v>
      </c>
      <c r="C4499" s="257" t="s">
        <v>12025</v>
      </c>
      <c r="D4499" s="9">
        <v>7835137428.2636099</v>
      </c>
      <c r="E4499" s="9">
        <v>1727309.5965805054</v>
      </c>
      <c r="F4499" s="257" t="s">
        <v>16196</v>
      </c>
      <c r="G4499" s="9"/>
      <c r="H4499" s="257" t="s">
        <v>22557</v>
      </c>
      <c r="I4499" s="9">
        <v>3</v>
      </c>
    </row>
    <row r="4500" spans="1:9">
      <c r="A4500" s="257" t="s">
        <v>5598</v>
      </c>
      <c r="B4500" s="9">
        <v>6</v>
      </c>
      <c r="C4500" s="257" t="s">
        <v>12026</v>
      </c>
      <c r="D4500" s="9">
        <v>1</v>
      </c>
      <c r="E4500" s="9">
        <v>1727309.5965805054</v>
      </c>
      <c r="F4500" s="257" t="s">
        <v>16196</v>
      </c>
      <c r="G4500" s="9"/>
      <c r="H4500" s="257" t="s">
        <v>22558</v>
      </c>
      <c r="I4500" s="9">
        <v>3</v>
      </c>
    </row>
    <row r="4501" spans="1:9">
      <c r="A4501" s="257" t="s">
        <v>5599</v>
      </c>
      <c r="B4501" s="9">
        <v>6</v>
      </c>
      <c r="C4501" s="257" t="s">
        <v>12027</v>
      </c>
      <c r="D4501" s="9">
        <v>4536.0353718722799</v>
      </c>
      <c r="E4501" s="9">
        <v>1727309.5965805054</v>
      </c>
      <c r="F4501" s="257" t="s">
        <v>16196</v>
      </c>
      <c r="G4501" s="9"/>
      <c r="H4501" s="257" t="s">
        <v>22559</v>
      </c>
      <c r="I4501" s="9">
        <v>3</v>
      </c>
    </row>
    <row r="4502" spans="1:9">
      <c r="A4502" s="257" t="s">
        <v>5600</v>
      </c>
      <c r="B4502" s="9">
        <v>6</v>
      </c>
      <c r="C4502" s="257" t="s">
        <v>12028</v>
      </c>
      <c r="D4502" s="9">
        <v>1727309.5965805054</v>
      </c>
      <c r="E4502" s="9">
        <v>1727309.5965805054</v>
      </c>
      <c r="F4502" s="257" t="s">
        <v>16197</v>
      </c>
      <c r="G4502" s="9"/>
      <c r="H4502" s="257" t="s">
        <v>22560</v>
      </c>
      <c r="I4502" s="9">
        <v>3</v>
      </c>
    </row>
    <row r="4503" spans="1:9">
      <c r="A4503" s="257" t="s">
        <v>5601</v>
      </c>
      <c r="B4503" s="9">
        <v>6</v>
      </c>
      <c r="C4503" s="257" t="s">
        <v>12029</v>
      </c>
      <c r="D4503" s="9">
        <v>7835137428.2636099</v>
      </c>
      <c r="E4503" s="9">
        <v>1727309.5965805054</v>
      </c>
      <c r="F4503" s="257" t="s">
        <v>16197</v>
      </c>
      <c r="G4503" s="9"/>
      <c r="H4503" s="257" t="s">
        <v>22561</v>
      </c>
      <c r="I4503" s="9">
        <v>3</v>
      </c>
    </row>
    <row r="4504" spans="1:9">
      <c r="A4504" s="257" t="s">
        <v>5602</v>
      </c>
      <c r="B4504" s="9">
        <v>6</v>
      </c>
      <c r="C4504" s="257" t="s">
        <v>12030</v>
      </c>
      <c r="D4504" s="9">
        <v>1</v>
      </c>
      <c r="E4504" s="9">
        <v>1727309.5965805054</v>
      </c>
      <c r="F4504" s="257" t="s">
        <v>16197</v>
      </c>
      <c r="G4504" s="9"/>
      <c r="H4504" s="257" t="s">
        <v>22562</v>
      </c>
      <c r="I4504" s="9">
        <v>3</v>
      </c>
    </row>
    <row r="4505" spans="1:9">
      <c r="A4505" s="257" t="s">
        <v>5603</v>
      </c>
      <c r="B4505" s="9">
        <v>6</v>
      </c>
      <c r="C4505" s="257" t="s">
        <v>12031</v>
      </c>
      <c r="D4505" s="9">
        <v>4536.0353718722799</v>
      </c>
      <c r="E4505" s="9">
        <v>1727309.5965805054</v>
      </c>
      <c r="F4505" s="257" t="s">
        <v>16197</v>
      </c>
      <c r="G4505" s="9"/>
      <c r="H4505" s="257" t="s">
        <v>22563</v>
      </c>
      <c r="I4505" s="9">
        <v>3</v>
      </c>
    </row>
    <row r="4506" spans="1:9">
      <c r="A4506" s="257" t="s">
        <v>5604</v>
      </c>
      <c r="B4506" s="9">
        <v>6</v>
      </c>
      <c r="C4506" s="257" t="s">
        <v>12032</v>
      </c>
      <c r="D4506" s="9">
        <v>1727309.5965805054</v>
      </c>
      <c r="E4506" s="9">
        <v>1727309.5965805054</v>
      </c>
      <c r="F4506" s="257" t="s">
        <v>16198</v>
      </c>
      <c r="G4506" s="9"/>
      <c r="H4506" s="257" t="s">
        <v>22564</v>
      </c>
      <c r="I4506" s="9">
        <v>3</v>
      </c>
    </row>
    <row r="4507" spans="1:9">
      <c r="A4507" s="257" t="s">
        <v>5605</v>
      </c>
      <c r="B4507" s="9">
        <v>6</v>
      </c>
      <c r="C4507" s="257" t="s">
        <v>12033</v>
      </c>
      <c r="D4507" s="9">
        <v>1930189043.9493206</v>
      </c>
      <c r="E4507" s="9">
        <v>1727309.5965805054</v>
      </c>
      <c r="F4507" s="257" t="s">
        <v>16198</v>
      </c>
      <c r="G4507" s="9"/>
      <c r="H4507" s="257" t="s">
        <v>22565</v>
      </c>
      <c r="I4507" s="9">
        <v>3</v>
      </c>
    </row>
    <row r="4508" spans="1:9">
      <c r="A4508" s="257" t="s">
        <v>5606</v>
      </c>
      <c r="B4508" s="9">
        <v>6</v>
      </c>
      <c r="C4508" s="257" t="s">
        <v>12034</v>
      </c>
      <c r="D4508" s="9">
        <v>1</v>
      </c>
      <c r="E4508" s="9">
        <v>1727309.5965805054</v>
      </c>
      <c r="F4508" s="257" t="s">
        <v>16198</v>
      </c>
      <c r="G4508" s="9"/>
      <c r="H4508" s="257" t="s">
        <v>22566</v>
      </c>
      <c r="I4508" s="9">
        <v>3</v>
      </c>
    </row>
    <row r="4509" spans="1:9">
      <c r="A4509" s="257" t="s">
        <v>5607</v>
      </c>
      <c r="B4509" s="9">
        <v>6</v>
      </c>
      <c r="C4509" s="257" t="s">
        <v>12035</v>
      </c>
      <c r="D4509" s="9">
        <v>1117.4540150592857</v>
      </c>
      <c r="E4509" s="9">
        <v>1727309.5965805054</v>
      </c>
      <c r="F4509" s="257" t="s">
        <v>16198</v>
      </c>
      <c r="G4509" s="9"/>
      <c r="H4509" s="257" t="s">
        <v>22567</v>
      </c>
      <c r="I4509" s="9">
        <v>3</v>
      </c>
    </row>
    <row r="4510" spans="1:9">
      <c r="A4510" s="257" t="s">
        <v>5608</v>
      </c>
      <c r="B4510" s="9">
        <v>6</v>
      </c>
      <c r="C4510" s="257" t="s">
        <v>12036</v>
      </c>
      <c r="D4510" s="9">
        <v>1105652.1534729004</v>
      </c>
      <c r="E4510" s="9">
        <v>1727309.5965805054</v>
      </c>
      <c r="F4510" s="257" t="s">
        <v>16199</v>
      </c>
      <c r="G4510" s="9"/>
      <c r="H4510" s="257" t="s">
        <v>22568</v>
      </c>
      <c r="I4510" s="9">
        <v>3</v>
      </c>
    </row>
    <row r="4511" spans="1:9">
      <c r="A4511" s="257" t="s">
        <v>5609</v>
      </c>
      <c r="B4511" s="9">
        <v>6</v>
      </c>
      <c r="C4511" s="257" t="s">
        <v>12037</v>
      </c>
      <c r="D4511" s="9">
        <v>2567458384.9194865</v>
      </c>
      <c r="E4511" s="9">
        <v>1727309.5965805054</v>
      </c>
      <c r="F4511" s="257" t="s">
        <v>16199</v>
      </c>
      <c r="G4511" s="9"/>
      <c r="H4511" s="257" t="s">
        <v>22569</v>
      </c>
      <c r="I4511" s="9">
        <v>3</v>
      </c>
    </row>
    <row r="4512" spans="1:9">
      <c r="A4512" s="257" t="s">
        <v>5610</v>
      </c>
      <c r="B4512" s="9">
        <v>6</v>
      </c>
      <c r="C4512" s="257" t="s">
        <v>12038</v>
      </c>
      <c r="D4512" s="9">
        <v>0.6401007414430635</v>
      </c>
      <c r="E4512" s="9">
        <v>1727309.5965805054</v>
      </c>
      <c r="F4512" s="257" t="s">
        <v>16199</v>
      </c>
      <c r="G4512" s="9"/>
      <c r="H4512" s="257" t="s">
        <v>22570</v>
      </c>
      <c r="I4512" s="9">
        <v>3</v>
      </c>
    </row>
    <row r="4513" spans="1:9">
      <c r="A4513" s="257" t="s">
        <v>5611</v>
      </c>
      <c r="B4513" s="9">
        <v>6</v>
      </c>
      <c r="C4513" s="257" t="s">
        <v>12039</v>
      </c>
      <c r="D4513" s="9">
        <v>1486.3915478743327</v>
      </c>
      <c r="E4513" s="9">
        <v>1727309.5965805054</v>
      </c>
      <c r="F4513" s="257" t="s">
        <v>16199</v>
      </c>
      <c r="G4513" s="9"/>
      <c r="H4513" s="257" t="s">
        <v>22571</v>
      </c>
      <c r="I4513" s="9">
        <v>3</v>
      </c>
    </row>
    <row r="4514" spans="1:9">
      <c r="A4514" s="257" t="s">
        <v>5612</v>
      </c>
      <c r="B4514" s="9">
        <v>6</v>
      </c>
      <c r="C4514" s="257" t="s">
        <v>12040</v>
      </c>
      <c r="D4514" s="9">
        <v>1727309.5965805054</v>
      </c>
      <c r="E4514" s="9">
        <v>1727309.5965805054</v>
      </c>
      <c r="F4514" s="257" t="s">
        <v>16200</v>
      </c>
      <c r="G4514" s="9"/>
      <c r="H4514" s="257" t="s">
        <v>22572</v>
      </c>
      <c r="I4514" s="9">
        <v>3</v>
      </c>
    </row>
    <row r="4515" spans="1:9">
      <c r="A4515" s="257" t="s">
        <v>5613</v>
      </c>
      <c r="B4515" s="9">
        <v>6</v>
      </c>
      <c r="C4515" s="257" t="s">
        <v>12041</v>
      </c>
      <c r="D4515" s="9">
        <v>10402595813.183096</v>
      </c>
      <c r="E4515" s="9">
        <v>1727309.5965805054</v>
      </c>
      <c r="F4515" s="257" t="s">
        <v>16200</v>
      </c>
      <c r="G4515" s="9"/>
      <c r="H4515" s="257" t="s">
        <v>22573</v>
      </c>
      <c r="I4515" s="9">
        <v>3</v>
      </c>
    </row>
    <row r="4516" spans="1:9">
      <c r="A4516" s="257" t="s">
        <v>5614</v>
      </c>
      <c r="B4516" s="9">
        <v>6</v>
      </c>
      <c r="C4516" s="257" t="s">
        <v>12042</v>
      </c>
      <c r="D4516" s="9">
        <v>1</v>
      </c>
      <c r="E4516" s="9">
        <v>1727309.5965805054</v>
      </c>
      <c r="F4516" s="257" t="s">
        <v>16200</v>
      </c>
      <c r="G4516" s="9"/>
      <c r="H4516" s="257" t="s">
        <v>22574</v>
      </c>
      <c r="I4516" s="9">
        <v>3</v>
      </c>
    </row>
    <row r="4517" spans="1:9">
      <c r="A4517" s="257" t="s">
        <v>5615</v>
      </c>
      <c r="B4517" s="9">
        <v>6</v>
      </c>
      <c r="C4517" s="257" t="s">
        <v>12043</v>
      </c>
      <c r="D4517" s="9">
        <v>6022.4269197466119</v>
      </c>
      <c r="E4517" s="9">
        <v>1727309.5965805054</v>
      </c>
      <c r="F4517" s="257" t="s">
        <v>16200</v>
      </c>
      <c r="G4517" s="9"/>
      <c r="H4517" s="257" t="s">
        <v>22575</v>
      </c>
      <c r="I4517" s="9">
        <v>3</v>
      </c>
    </row>
    <row r="4518" spans="1:9">
      <c r="A4518" s="257" t="s">
        <v>5616</v>
      </c>
      <c r="B4518" s="9">
        <v>6</v>
      </c>
      <c r="C4518" s="257" t="s">
        <v>12044</v>
      </c>
      <c r="D4518" s="9">
        <v>1727309.5965805054</v>
      </c>
      <c r="E4518" s="9">
        <v>1727309.5965805054</v>
      </c>
      <c r="F4518" s="257" t="s">
        <v>16201</v>
      </c>
      <c r="G4518" s="9"/>
      <c r="H4518" s="257" t="s">
        <v>22576</v>
      </c>
      <c r="I4518" s="9">
        <v>3</v>
      </c>
    </row>
    <row r="4519" spans="1:9">
      <c r="A4519" s="257" t="s">
        <v>5617</v>
      </c>
      <c r="B4519" s="9">
        <v>6</v>
      </c>
      <c r="C4519" s="257" t="s">
        <v>12045</v>
      </c>
      <c r="D4519" s="9">
        <v>10402595813.183096</v>
      </c>
      <c r="E4519" s="9">
        <v>1727309.5965805054</v>
      </c>
      <c r="F4519" s="257" t="s">
        <v>16201</v>
      </c>
      <c r="G4519" s="9"/>
      <c r="H4519" s="257" t="s">
        <v>22577</v>
      </c>
      <c r="I4519" s="9">
        <v>3</v>
      </c>
    </row>
    <row r="4520" spans="1:9">
      <c r="A4520" s="257" t="s">
        <v>5618</v>
      </c>
      <c r="B4520" s="9">
        <v>6</v>
      </c>
      <c r="C4520" s="257" t="s">
        <v>12046</v>
      </c>
      <c r="D4520" s="9">
        <v>1</v>
      </c>
      <c r="E4520" s="9">
        <v>1727309.5965805054</v>
      </c>
      <c r="F4520" s="257" t="s">
        <v>16201</v>
      </c>
      <c r="G4520" s="9"/>
      <c r="H4520" s="257" t="s">
        <v>22578</v>
      </c>
      <c r="I4520" s="9">
        <v>3</v>
      </c>
    </row>
    <row r="4521" spans="1:9">
      <c r="A4521" s="257" t="s">
        <v>5619</v>
      </c>
      <c r="B4521" s="9">
        <v>6</v>
      </c>
      <c r="C4521" s="257" t="s">
        <v>12047</v>
      </c>
      <c r="D4521" s="9">
        <v>6022.4269197466119</v>
      </c>
      <c r="E4521" s="9">
        <v>1727309.5965805054</v>
      </c>
      <c r="F4521" s="257" t="s">
        <v>16201</v>
      </c>
      <c r="G4521" s="9"/>
      <c r="H4521" s="257" t="s">
        <v>22579</v>
      </c>
      <c r="I4521" s="9">
        <v>3</v>
      </c>
    </row>
    <row r="4522" spans="1:9">
      <c r="A4522" s="257" t="s">
        <v>5620</v>
      </c>
      <c r="B4522" s="9">
        <v>6</v>
      </c>
      <c r="C4522" s="257" t="s">
        <v>12048</v>
      </c>
      <c r="D4522" s="9">
        <v>1114730.1374969482</v>
      </c>
      <c r="E4522" s="9">
        <v>1727309.5965805054</v>
      </c>
      <c r="F4522" s="257" t="s">
        <v>16202</v>
      </c>
      <c r="G4522" s="9"/>
      <c r="H4522" s="257" t="s">
        <v>22580</v>
      </c>
      <c r="I4522" s="9">
        <v>3</v>
      </c>
    </row>
    <row r="4523" spans="1:9">
      <c r="A4523" s="257" t="s">
        <v>5621</v>
      </c>
      <c r="B4523" s="9">
        <v>6</v>
      </c>
      <c r="C4523" s="257" t="s">
        <v>12049</v>
      </c>
      <c r="D4523" s="9">
        <v>4501024427.0000362</v>
      </c>
      <c r="E4523" s="9">
        <v>1727309.5965805054</v>
      </c>
      <c r="F4523" s="257" t="s">
        <v>16202</v>
      </c>
      <c r="G4523" s="9"/>
      <c r="H4523" s="257" t="s">
        <v>22581</v>
      </c>
      <c r="I4523" s="9">
        <v>3</v>
      </c>
    </row>
    <row r="4524" spans="1:9">
      <c r="A4524" s="257" t="s">
        <v>5622</v>
      </c>
      <c r="B4524" s="9">
        <v>6</v>
      </c>
      <c r="C4524" s="257" t="s">
        <v>12050</v>
      </c>
      <c r="D4524" s="9">
        <v>0.64535630422232393</v>
      </c>
      <c r="E4524" s="9">
        <v>1727309.5965805054</v>
      </c>
      <c r="F4524" s="257" t="s">
        <v>16202</v>
      </c>
      <c r="G4524" s="9"/>
      <c r="H4524" s="257" t="s">
        <v>22582</v>
      </c>
      <c r="I4524" s="9">
        <v>3</v>
      </c>
    </row>
    <row r="4525" spans="1:9">
      <c r="A4525" s="257" t="s">
        <v>5623</v>
      </c>
      <c r="B4525" s="9">
        <v>6</v>
      </c>
      <c r="C4525" s="257" t="s">
        <v>12051</v>
      </c>
      <c r="D4525" s="9">
        <v>2605.8006253832882</v>
      </c>
      <c r="E4525" s="9">
        <v>1727309.5965805054</v>
      </c>
      <c r="F4525" s="257" t="s">
        <v>16202</v>
      </c>
      <c r="G4525" s="9"/>
      <c r="H4525" s="257" t="s">
        <v>22583</v>
      </c>
      <c r="I4525" s="9">
        <v>3</v>
      </c>
    </row>
    <row r="4526" spans="1:9">
      <c r="A4526" s="257" t="s">
        <v>5624</v>
      </c>
      <c r="B4526" s="9">
        <v>6</v>
      </c>
      <c r="C4526" s="257" t="s">
        <v>12052</v>
      </c>
      <c r="D4526" s="9">
        <v>1114730.1374969482</v>
      </c>
      <c r="E4526" s="9">
        <v>1727309.5965805054</v>
      </c>
      <c r="F4526" s="257" t="s">
        <v>16203</v>
      </c>
      <c r="G4526" s="9"/>
      <c r="H4526" s="257" t="s">
        <v>22584</v>
      </c>
      <c r="I4526" s="9">
        <v>3</v>
      </c>
    </row>
    <row r="4527" spans="1:9">
      <c r="A4527" s="257" t="s">
        <v>5625</v>
      </c>
      <c r="B4527" s="9">
        <v>6</v>
      </c>
      <c r="C4527" s="257" t="s">
        <v>12053</v>
      </c>
      <c r="D4527" s="9">
        <v>4501024427.0000362</v>
      </c>
      <c r="E4527" s="9">
        <v>1727309.5965805054</v>
      </c>
      <c r="F4527" s="257" t="s">
        <v>16203</v>
      </c>
      <c r="G4527" s="9"/>
      <c r="H4527" s="257" t="s">
        <v>22585</v>
      </c>
      <c r="I4527" s="9">
        <v>3</v>
      </c>
    </row>
    <row r="4528" spans="1:9">
      <c r="A4528" s="257" t="s">
        <v>5626</v>
      </c>
      <c r="B4528" s="9">
        <v>6</v>
      </c>
      <c r="C4528" s="257" t="s">
        <v>12054</v>
      </c>
      <c r="D4528" s="9">
        <v>0.64535630422232393</v>
      </c>
      <c r="E4528" s="9">
        <v>1727309.5965805054</v>
      </c>
      <c r="F4528" s="257" t="s">
        <v>16203</v>
      </c>
      <c r="G4528" s="9"/>
      <c r="H4528" s="257" t="s">
        <v>22586</v>
      </c>
      <c r="I4528" s="9">
        <v>3</v>
      </c>
    </row>
    <row r="4529" spans="1:9">
      <c r="A4529" s="257" t="s">
        <v>5627</v>
      </c>
      <c r="B4529" s="9">
        <v>6</v>
      </c>
      <c r="C4529" s="257" t="s">
        <v>12055</v>
      </c>
      <c r="D4529" s="9">
        <v>2605.8006253832882</v>
      </c>
      <c r="E4529" s="9">
        <v>1727309.5965805054</v>
      </c>
      <c r="F4529" s="257" t="s">
        <v>16203</v>
      </c>
      <c r="G4529" s="9"/>
      <c r="H4529" s="257" t="s">
        <v>22587</v>
      </c>
      <c r="I4529" s="9">
        <v>3</v>
      </c>
    </row>
    <row r="4530" spans="1:9">
      <c r="A4530" s="257" t="s">
        <v>5628</v>
      </c>
      <c r="B4530" s="9">
        <v>6</v>
      </c>
      <c r="C4530" s="257" t="s">
        <v>12056</v>
      </c>
      <c r="D4530" s="9">
        <v>1727309.5965805054</v>
      </c>
      <c r="E4530" s="9">
        <v>1727309.5965805054</v>
      </c>
      <c r="F4530" s="257" t="s">
        <v>16204</v>
      </c>
      <c r="G4530" s="9"/>
      <c r="H4530" s="257" t="s">
        <v>22588</v>
      </c>
      <c r="I4530" s="9">
        <v>3</v>
      </c>
    </row>
    <row r="4531" spans="1:9">
      <c r="A4531" s="257" t="s">
        <v>5629</v>
      </c>
      <c r="B4531" s="9">
        <v>6</v>
      </c>
      <c r="C4531" s="257" t="s">
        <v>12057</v>
      </c>
      <c r="D4531" s="9">
        <v>3334113001.2635736</v>
      </c>
      <c r="E4531" s="9">
        <v>1727309.5965805054</v>
      </c>
      <c r="F4531" s="257" t="s">
        <v>16204</v>
      </c>
      <c r="G4531" s="9"/>
      <c r="H4531" s="257" t="s">
        <v>22589</v>
      </c>
      <c r="I4531" s="9">
        <v>3</v>
      </c>
    </row>
    <row r="4532" spans="1:9">
      <c r="A4532" s="257" t="s">
        <v>5630</v>
      </c>
      <c r="B4532" s="9">
        <v>6</v>
      </c>
      <c r="C4532" s="257" t="s">
        <v>12058</v>
      </c>
      <c r="D4532" s="9">
        <v>1</v>
      </c>
      <c r="E4532" s="9">
        <v>1727309.5965805054</v>
      </c>
      <c r="F4532" s="257" t="s">
        <v>16204</v>
      </c>
      <c r="G4532" s="9"/>
      <c r="H4532" s="257" t="s">
        <v>22590</v>
      </c>
      <c r="I4532" s="9">
        <v>3</v>
      </c>
    </row>
    <row r="4533" spans="1:9">
      <c r="A4533" s="257" t="s">
        <v>5631</v>
      </c>
      <c r="B4533" s="9">
        <v>6</v>
      </c>
      <c r="C4533" s="257" t="s">
        <v>12059</v>
      </c>
      <c r="D4533" s="9">
        <v>1930.2347464889913</v>
      </c>
      <c r="E4533" s="9">
        <v>1727309.5965805054</v>
      </c>
      <c r="F4533" s="257" t="s">
        <v>16204</v>
      </c>
      <c r="G4533" s="9"/>
      <c r="H4533" s="257" t="s">
        <v>22591</v>
      </c>
      <c r="I4533" s="9">
        <v>3</v>
      </c>
    </row>
    <row r="4534" spans="1:9">
      <c r="A4534" s="257" t="s">
        <v>5632</v>
      </c>
      <c r="B4534" s="9">
        <v>6</v>
      </c>
      <c r="C4534" s="257" t="s">
        <v>12060</v>
      </c>
      <c r="D4534" s="9">
        <v>1727309.5965805054</v>
      </c>
      <c r="E4534" s="9">
        <v>1727309.5965805054</v>
      </c>
      <c r="F4534" s="257" t="s">
        <v>16205</v>
      </c>
      <c r="G4534" s="9"/>
      <c r="H4534" s="257" t="s">
        <v>22592</v>
      </c>
      <c r="I4534" s="9">
        <v>3</v>
      </c>
    </row>
    <row r="4535" spans="1:9">
      <c r="A4535" s="257" t="s">
        <v>5633</v>
      </c>
      <c r="B4535" s="9">
        <v>6</v>
      </c>
      <c r="C4535" s="257" t="s">
        <v>12061</v>
      </c>
      <c r="D4535" s="9">
        <v>5586888788.5823269</v>
      </c>
      <c r="E4535" s="9">
        <v>1727309.5965805054</v>
      </c>
      <c r="F4535" s="257" t="s">
        <v>16205</v>
      </c>
      <c r="G4535" s="9"/>
      <c r="H4535" s="257" t="s">
        <v>22593</v>
      </c>
      <c r="I4535" s="9">
        <v>3</v>
      </c>
    </row>
    <row r="4536" spans="1:9">
      <c r="A4536" s="257" t="s">
        <v>5634</v>
      </c>
      <c r="B4536" s="9">
        <v>6</v>
      </c>
      <c r="C4536" s="257" t="s">
        <v>12062</v>
      </c>
      <c r="D4536" s="9">
        <v>1</v>
      </c>
      <c r="E4536" s="9">
        <v>1727309.5965805054</v>
      </c>
      <c r="F4536" s="257" t="s">
        <v>16205</v>
      </c>
      <c r="G4536" s="9"/>
      <c r="H4536" s="257" t="s">
        <v>22594</v>
      </c>
      <c r="I4536" s="9">
        <v>3</v>
      </c>
    </row>
    <row r="4537" spans="1:9">
      <c r="A4537" s="257" t="s">
        <v>5635</v>
      </c>
      <c r="B4537" s="9">
        <v>6</v>
      </c>
      <c r="C4537" s="257" t="s">
        <v>12063</v>
      </c>
      <c r="D4537" s="9">
        <v>3234.4455213138954</v>
      </c>
      <c r="E4537" s="9">
        <v>1727309.5965805054</v>
      </c>
      <c r="F4537" s="257" t="s">
        <v>16205</v>
      </c>
      <c r="G4537" s="9"/>
      <c r="H4537" s="257" t="s">
        <v>22595</v>
      </c>
      <c r="I4537" s="9">
        <v>3</v>
      </c>
    </row>
    <row r="4538" spans="1:9">
      <c r="A4538" s="257" t="s">
        <v>5636</v>
      </c>
      <c r="B4538" s="9">
        <v>6</v>
      </c>
      <c r="C4538" s="257" t="s">
        <v>12064</v>
      </c>
      <c r="D4538" s="9">
        <v>1131901.2208099365</v>
      </c>
      <c r="E4538" s="9">
        <v>1727309.5965805054</v>
      </c>
      <c r="F4538" s="257" t="s">
        <v>16206</v>
      </c>
      <c r="G4538" s="9"/>
      <c r="H4538" s="257" t="s">
        <v>22596</v>
      </c>
      <c r="I4538" s="9">
        <v>3</v>
      </c>
    </row>
    <row r="4539" spans="1:9">
      <c r="A4539" s="257" t="s">
        <v>5637</v>
      </c>
      <c r="B4539" s="9">
        <v>6</v>
      </c>
      <c r="C4539" s="257" t="s">
        <v>12065</v>
      </c>
      <c r="D4539" s="9">
        <v>5631478979.1349735</v>
      </c>
      <c r="E4539" s="9">
        <v>1727309.5965805054</v>
      </c>
      <c r="F4539" s="257" t="s">
        <v>16206</v>
      </c>
      <c r="G4539" s="9"/>
      <c r="H4539" s="257" t="s">
        <v>22597</v>
      </c>
      <c r="I4539" s="9">
        <v>3</v>
      </c>
    </row>
    <row r="4540" spans="1:9">
      <c r="A4540" s="257" t="s">
        <v>5638</v>
      </c>
      <c r="B4540" s="9">
        <v>6</v>
      </c>
      <c r="C4540" s="257" t="s">
        <v>12066</v>
      </c>
      <c r="D4540" s="9">
        <v>0.65529724552606083</v>
      </c>
      <c r="E4540" s="9">
        <v>1727309.5965805054</v>
      </c>
      <c r="F4540" s="257" t="s">
        <v>16206</v>
      </c>
      <c r="G4540" s="9"/>
      <c r="H4540" s="257" t="s">
        <v>22598</v>
      </c>
      <c r="I4540" s="9">
        <v>3</v>
      </c>
    </row>
    <row r="4541" spans="1:9">
      <c r="A4541" s="257" t="s">
        <v>5639</v>
      </c>
      <c r="B4541" s="9">
        <v>6</v>
      </c>
      <c r="C4541" s="257" t="s">
        <v>12067</v>
      </c>
      <c r="D4541" s="9">
        <v>3260.2603437643238</v>
      </c>
      <c r="E4541" s="9">
        <v>1727309.5965805054</v>
      </c>
      <c r="F4541" s="257" t="s">
        <v>16206</v>
      </c>
      <c r="G4541" s="9"/>
      <c r="H4541" s="257" t="s">
        <v>22599</v>
      </c>
      <c r="I4541" s="9">
        <v>3</v>
      </c>
    </row>
    <row r="4542" spans="1:9">
      <c r="A4542" s="257" t="s">
        <v>5640</v>
      </c>
      <c r="B4542" s="9">
        <v>6</v>
      </c>
      <c r="C4542" s="257" t="s">
        <v>12068</v>
      </c>
      <c r="D4542" s="9">
        <v>0</v>
      </c>
      <c r="E4542" s="9">
        <v>1727309.5965805054</v>
      </c>
      <c r="F4542" s="257" t="s">
        <v>16207</v>
      </c>
      <c r="G4542" s="9"/>
      <c r="H4542" s="257" t="s">
        <v>22600</v>
      </c>
      <c r="I4542" s="9">
        <v>3</v>
      </c>
    </row>
    <row r="4543" spans="1:9">
      <c r="A4543" s="257" t="s">
        <v>5641</v>
      </c>
      <c r="B4543" s="9">
        <v>6</v>
      </c>
      <c r="C4543" s="257" t="s">
        <v>12069</v>
      </c>
      <c r="D4543" s="9">
        <v>-815771954.53420365</v>
      </c>
      <c r="E4543" s="9">
        <v>1727309.5965805054</v>
      </c>
      <c r="F4543" s="257" t="s">
        <v>16207</v>
      </c>
      <c r="G4543" s="9"/>
      <c r="H4543" s="257" t="s">
        <v>22601</v>
      </c>
      <c r="I4543" s="9">
        <v>3</v>
      </c>
    </row>
    <row r="4544" spans="1:9">
      <c r="A4544" s="257" t="s">
        <v>5642</v>
      </c>
      <c r="B4544" s="9">
        <v>6</v>
      </c>
      <c r="C4544" s="257" t="s">
        <v>12070</v>
      </c>
      <c r="D4544" s="9">
        <v>0</v>
      </c>
      <c r="E4544" s="9">
        <v>1727309.5965805054</v>
      </c>
      <c r="F4544" s="257" t="s">
        <v>16207</v>
      </c>
      <c r="G4544" s="9"/>
      <c r="H4544" s="257" t="s">
        <v>22602</v>
      </c>
      <c r="I4544" s="9">
        <v>3</v>
      </c>
    </row>
    <row r="4545" spans="1:9">
      <c r="A4545" s="257" t="s">
        <v>5643</v>
      </c>
      <c r="B4545" s="9">
        <v>6</v>
      </c>
      <c r="C4545" s="257" t="s">
        <v>12071</v>
      </c>
      <c r="D4545" s="9">
        <v>-472.27894533160645</v>
      </c>
      <c r="E4545" s="9">
        <v>1727309.5965805054</v>
      </c>
      <c r="F4545" s="257" t="s">
        <v>16207</v>
      </c>
      <c r="G4545" s="9"/>
      <c r="H4545" s="257" t="s">
        <v>22603</v>
      </c>
      <c r="I4545" s="9">
        <v>3</v>
      </c>
    </row>
    <row r="4546" spans="1:9">
      <c r="A4546" s="257" t="s">
        <v>5644</v>
      </c>
      <c r="B4546" s="9">
        <v>6</v>
      </c>
      <c r="C4546" s="257" t="s">
        <v>12072</v>
      </c>
      <c r="D4546" s="9">
        <v>1118699.9302215576</v>
      </c>
      <c r="E4546" s="9">
        <v>1727309.5965805054</v>
      </c>
      <c r="F4546" s="257" t="s">
        <v>16208</v>
      </c>
      <c r="G4546" s="9"/>
      <c r="H4546" s="257" t="s">
        <v>22604</v>
      </c>
      <c r="I4546" s="9">
        <v>3</v>
      </c>
    </row>
    <row r="4547" spans="1:9">
      <c r="A4547" s="257" t="s">
        <v>5645</v>
      </c>
      <c r="B4547" s="9">
        <v>6</v>
      </c>
      <c r="C4547" s="257" t="s">
        <v>12073</v>
      </c>
      <c r="D4547" s="9">
        <v>4815707024.60077</v>
      </c>
      <c r="E4547" s="9">
        <v>1727309.5965805054</v>
      </c>
      <c r="F4547" s="257" t="s">
        <v>16208</v>
      </c>
      <c r="G4547" s="9"/>
      <c r="H4547" s="257" t="s">
        <v>22605</v>
      </c>
      <c r="I4547" s="9">
        <v>3</v>
      </c>
    </row>
    <row r="4548" spans="1:9">
      <c r="A4548" s="257" t="s">
        <v>5646</v>
      </c>
      <c r="B4548" s="9">
        <v>6</v>
      </c>
      <c r="C4548" s="257" t="s">
        <v>12074</v>
      </c>
      <c r="D4548" s="9">
        <v>0.64765455621633139</v>
      </c>
      <c r="E4548" s="9">
        <v>1727309.5965805054</v>
      </c>
      <c r="F4548" s="257" t="s">
        <v>16208</v>
      </c>
      <c r="G4548" s="9"/>
      <c r="H4548" s="257" t="s">
        <v>22606</v>
      </c>
      <c r="I4548" s="9">
        <v>3</v>
      </c>
    </row>
    <row r="4549" spans="1:9">
      <c r="A4549" s="257" t="s">
        <v>5647</v>
      </c>
      <c r="B4549" s="9">
        <v>6</v>
      </c>
      <c r="C4549" s="257" t="s">
        <v>12075</v>
      </c>
      <c r="D4549" s="9">
        <v>2787.981398432717</v>
      </c>
      <c r="E4549" s="9">
        <v>1727309.5965805054</v>
      </c>
      <c r="F4549" s="257" t="s">
        <v>16208</v>
      </c>
      <c r="G4549" s="9"/>
      <c r="H4549" s="257" t="s">
        <v>22607</v>
      </c>
      <c r="I4549" s="9">
        <v>3</v>
      </c>
    </row>
    <row r="4550" spans="1:9">
      <c r="A4550" s="257" t="s">
        <v>5648</v>
      </c>
      <c r="B4550" s="9">
        <v>6</v>
      </c>
      <c r="C4550" s="257" t="s">
        <v>12076</v>
      </c>
      <c r="D4550" s="9">
        <v>259994.39984130859</v>
      </c>
      <c r="E4550" s="9">
        <v>1727309.5965805054</v>
      </c>
      <c r="F4550" s="257" t="s">
        <v>16209</v>
      </c>
      <c r="G4550" s="9"/>
      <c r="H4550" s="257" t="s">
        <v>22608</v>
      </c>
      <c r="I4550" s="9">
        <v>3</v>
      </c>
    </row>
    <row r="4551" spans="1:9">
      <c r="A4551" s="257" t="s">
        <v>5649</v>
      </c>
      <c r="B4551" s="9">
        <v>6</v>
      </c>
      <c r="C4551" s="257" t="s">
        <v>12077</v>
      </c>
      <c r="D4551" s="9">
        <v>314682597.6007331</v>
      </c>
      <c r="E4551" s="9">
        <v>1727309.5965805054</v>
      </c>
      <c r="F4551" s="257" t="s">
        <v>16209</v>
      </c>
      <c r="G4551" s="9"/>
      <c r="H4551" s="257" t="s">
        <v>22609</v>
      </c>
      <c r="I4551" s="9">
        <v>3</v>
      </c>
    </row>
    <row r="4552" spans="1:9">
      <c r="A4552" s="257" t="s">
        <v>5650</v>
      </c>
      <c r="B4552" s="9">
        <v>6</v>
      </c>
      <c r="C4552" s="257" t="s">
        <v>12078</v>
      </c>
      <c r="D4552" s="9">
        <v>0.15051986068740106</v>
      </c>
      <c r="E4552" s="9">
        <v>1727309.5965805054</v>
      </c>
      <c r="F4552" s="257" t="s">
        <v>16209</v>
      </c>
      <c r="G4552" s="9"/>
      <c r="H4552" s="257" t="s">
        <v>22610</v>
      </c>
      <c r="I4552" s="9">
        <v>3</v>
      </c>
    </row>
    <row r="4553" spans="1:9">
      <c r="A4553" s="257" t="s">
        <v>5651</v>
      </c>
      <c r="B4553" s="9">
        <v>6</v>
      </c>
      <c r="C4553" s="257" t="s">
        <v>12079</v>
      </c>
      <c r="D4553" s="9">
        <v>182.18077304942858</v>
      </c>
      <c r="E4553" s="9">
        <v>1727309.5965805054</v>
      </c>
      <c r="F4553" s="257" t="s">
        <v>16209</v>
      </c>
      <c r="G4553" s="9"/>
      <c r="H4553" s="257" t="s">
        <v>22611</v>
      </c>
      <c r="I4553" s="9">
        <v>3</v>
      </c>
    </row>
    <row r="4554" spans="1:9">
      <c r="A4554" s="257" t="s">
        <v>5652</v>
      </c>
      <c r="B4554" s="9">
        <v>6</v>
      </c>
      <c r="C4554" s="257" t="s">
        <v>12080</v>
      </c>
      <c r="D4554" s="9">
        <v>1075620.3254089355</v>
      </c>
      <c r="E4554" s="9">
        <v>1727309.5965805054</v>
      </c>
      <c r="F4554" s="257" t="s">
        <v>16210</v>
      </c>
      <c r="G4554" s="9"/>
      <c r="H4554" s="257" t="s">
        <v>22612</v>
      </c>
      <c r="I4554" s="9">
        <v>3</v>
      </c>
    </row>
    <row r="4555" spans="1:9">
      <c r="A4555" s="257" t="s">
        <v>5653</v>
      </c>
      <c r="B4555" s="9">
        <v>6</v>
      </c>
      <c r="C4555" s="257" t="s">
        <v>12081</v>
      </c>
      <c r="D4555" s="9">
        <v>2252775787.3187537</v>
      </c>
      <c r="E4555" s="9">
        <v>1727309.5965805054</v>
      </c>
      <c r="F4555" s="257" t="s">
        <v>16210</v>
      </c>
      <c r="G4555" s="9"/>
      <c r="H4555" s="257" t="s">
        <v>22613</v>
      </c>
      <c r="I4555" s="9">
        <v>3</v>
      </c>
    </row>
    <row r="4556" spans="1:9">
      <c r="A4556" s="257" t="s">
        <v>5654</v>
      </c>
      <c r="B4556" s="9">
        <v>6</v>
      </c>
      <c r="C4556" s="257" t="s">
        <v>12082</v>
      </c>
      <c r="D4556" s="9">
        <v>0.62271426473766123</v>
      </c>
      <c r="E4556" s="9">
        <v>1727309.5965805054</v>
      </c>
      <c r="F4556" s="257" t="s">
        <v>16210</v>
      </c>
      <c r="G4556" s="9"/>
      <c r="H4556" s="257" t="s">
        <v>22614</v>
      </c>
      <c r="I4556" s="9">
        <v>3</v>
      </c>
    </row>
    <row r="4557" spans="1:9">
      <c r="A4557" s="257" t="s">
        <v>5655</v>
      </c>
      <c r="B4557" s="9">
        <v>6</v>
      </c>
      <c r="C4557" s="257" t="s">
        <v>12083</v>
      </c>
      <c r="D4557" s="9">
        <v>1304.2107748249043</v>
      </c>
      <c r="E4557" s="9">
        <v>1727309.5965805054</v>
      </c>
      <c r="F4557" s="257" t="s">
        <v>16210</v>
      </c>
      <c r="G4557" s="9"/>
      <c r="H4557" s="257" t="s">
        <v>22615</v>
      </c>
      <c r="I4557" s="9">
        <v>3</v>
      </c>
    </row>
    <row r="4558" spans="1:9">
      <c r="A4558" s="257" t="s">
        <v>5656</v>
      </c>
      <c r="B4558" s="9">
        <v>6</v>
      </c>
      <c r="C4558" s="257" t="s">
        <v>12084</v>
      </c>
      <c r="D4558" s="9">
        <v>0</v>
      </c>
      <c r="E4558" s="9">
        <v>1727309.5965805054</v>
      </c>
      <c r="F4558" s="257" t="s">
        <v>16211</v>
      </c>
      <c r="G4558" s="9"/>
      <c r="H4558" s="257" t="s">
        <v>22616</v>
      </c>
      <c r="I4558" s="9">
        <v>3</v>
      </c>
    </row>
    <row r="4559" spans="1:9">
      <c r="A4559" s="257" t="s">
        <v>5657</v>
      </c>
      <c r="B4559" s="9">
        <v>6</v>
      </c>
      <c r="C4559" s="257" t="s">
        <v>12085</v>
      </c>
      <c r="D4559" s="9">
        <v>0</v>
      </c>
      <c r="E4559" s="9">
        <v>1727309.5965805054</v>
      </c>
      <c r="F4559" s="257" t="s">
        <v>16211</v>
      </c>
      <c r="G4559" s="9"/>
      <c r="H4559" s="257" t="s">
        <v>22617</v>
      </c>
      <c r="I4559" s="9">
        <v>3</v>
      </c>
    </row>
    <row r="4560" spans="1:9">
      <c r="A4560" s="257" t="s">
        <v>5658</v>
      </c>
      <c r="B4560" s="9">
        <v>6</v>
      </c>
      <c r="C4560" s="257" t="s">
        <v>12086</v>
      </c>
      <c r="D4560" s="9">
        <v>0</v>
      </c>
      <c r="E4560" s="9">
        <v>1727309.5965805054</v>
      </c>
      <c r="F4560" s="257" t="s">
        <v>16211</v>
      </c>
      <c r="G4560" s="9"/>
      <c r="H4560" s="257" t="s">
        <v>22618</v>
      </c>
      <c r="I4560" s="9">
        <v>3</v>
      </c>
    </row>
    <row r="4561" spans="1:9">
      <c r="A4561" s="257" t="s">
        <v>5659</v>
      </c>
      <c r="B4561" s="9">
        <v>6</v>
      </c>
      <c r="C4561" s="257" t="s">
        <v>12087</v>
      </c>
      <c r="D4561" s="9">
        <v>0</v>
      </c>
      <c r="E4561" s="9">
        <v>1727309.5965805054</v>
      </c>
      <c r="F4561" s="257" t="s">
        <v>16211</v>
      </c>
      <c r="G4561" s="9"/>
      <c r="H4561" s="257" t="s">
        <v>22619</v>
      </c>
      <c r="I4561" s="9">
        <v>3</v>
      </c>
    </row>
    <row r="4562" spans="1:9">
      <c r="A4562" s="257" t="s">
        <v>5660</v>
      </c>
      <c r="B4562" s="9">
        <v>7</v>
      </c>
      <c r="C4562" s="257" t="s">
        <v>12088</v>
      </c>
      <c r="D4562" s="9">
        <v>1147029.032371521</v>
      </c>
      <c r="E4562" s="9">
        <v>1724929.0217895508</v>
      </c>
      <c r="F4562" s="257" t="s">
        <v>16212</v>
      </c>
      <c r="G4562" s="9"/>
      <c r="H4562" s="257" t="s">
        <v>22620</v>
      </c>
      <c r="I4562" s="9">
        <v>3</v>
      </c>
    </row>
    <row r="4563" spans="1:9">
      <c r="A4563" s="257" t="s">
        <v>5661</v>
      </c>
      <c r="B4563" s="9">
        <v>7</v>
      </c>
      <c r="C4563" s="257" t="s">
        <v>12089</v>
      </c>
      <c r="D4563" s="9">
        <v>4755860663.4265203</v>
      </c>
      <c r="E4563" s="9">
        <v>1724929.0217895508</v>
      </c>
      <c r="F4563" s="257" t="s">
        <v>16212</v>
      </c>
      <c r="G4563" s="9"/>
      <c r="H4563" s="257" t="s">
        <v>22621</v>
      </c>
      <c r="I4563" s="9">
        <v>3</v>
      </c>
    </row>
    <row r="4564" spans="1:9">
      <c r="A4564" s="257" t="s">
        <v>5662</v>
      </c>
      <c r="B4564" s="9">
        <v>7</v>
      </c>
      <c r="C4564" s="257" t="s">
        <v>12090</v>
      </c>
      <c r="D4564" s="9">
        <v>0.66497172804334892</v>
      </c>
      <c r="E4564" s="9">
        <v>1724929.0217895508</v>
      </c>
      <c r="F4564" s="257" t="s">
        <v>16212</v>
      </c>
      <c r="G4564" s="9"/>
      <c r="H4564" s="257" t="s">
        <v>22622</v>
      </c>
      <c r="I4564" s="9">
        <v>3</v>
      </c>
    </row>
    <row r="4565" spans="1:9">
      <c r="A4565" s="257" t="s">
        <v>5663</v>
      </c>
      <c r="B4565" s="9">
        <v>7</v>
      </c>
      <c r="C4565" s="257" t="s">
        <v>12091</v>
      </c>
      <c r="D4565" s="9">
        <v>2757.1341216651854</v>
      </c>
      <c r="E4565" s="9">
        <v>1724929.0217895508</v>
      </c>
      <c r="F4565" s="257" t="s">
        <v>16212</v>
      </c>
      <c r="G4565" s="9"/>
      <c r="H4565" s="257" t="s">
        <v>22623</v>
      </c>
      <c r="I4565" s="9">
        <v>3</v>
      </c>
    </row>
    <row r="4566" spans="1:9">
      <c r="A4566" s="257" t="s">
        <v>5664</v>
      </c>
      <c r="B4566" s="9">
        <v>7</v>
      </c>
      <c r="C4566" s="257" t="s">
        <v>12092</v>
      </c>
      <c r="D4566" s="9">
        <v>0</v>
      </c>
      <c r="E4566" s="9">
        <v>1724929.0217895508</v>
      </c>
      <c r="F4566" s="257" t="s">
        <v>16213</v>
      </c>
      <c r="G4566" s="9"/>
      <c r="H4566" s="257" t="s">
        <v>22624</v>
      </c>
      <c r="I4566" s="9">
        <v>3</v>
      </c>
    </row>
    <row r="4567" spans="1:9">
      <c r="A4567" s="257" t="s">
        <v>5665</v>
      </c>
      <c r="B4567" s="9">
        <v>7</v>
      </c>
      <c r="C4567" s="257" t="s">
        <v>12093</v>
      </c>
      <c r="D4567" s="9">
        <v>0</v>
      </c>
      <c r="E4567" s="9">
        <v>1724929.0217895508</v>
      </c>
      <c r="F4567" s="257" t="s">
        <v>16213</v>
      </c>
      <c r="G4567" s="9"/>
      <c r="H4567" s="257" t="s">
        <v>22625</v>
      </c>
      <c r="I4567" s="9">
        <v>3</v>
      </c>
    </row>
    <row r="4568" spans="1:9">
      <c r="A4568" s="257" t="s">
        <v>5666</v>
      </c>
      <c r="B4568" s="9">
        <v>7</v>
      </c>
      <c r="C4568" s="257" t="s">
        <v>12094</v>
      </c>
      <c r="D4568" s="9">
        <v>0</v>
      </c>
      <c r="E4568" s="9">
        <v>1724929.0217895508</v>
      </c>
      <c r="F4568" s="257" t="s">
        <v>16213</v>
      </c>
      <c r="G4568" s="9"/>
      <c r="H4568" s="257" t="s">
        <v>22626</v>
      </c>
      <c r="I4568" s="9">
        <v>3</v>
      </c>
    </row>
    <row r="4569" spans="1:9">
      <c r="A4569" s="257" t="s">
        <v>5667</v>
      </c>
      <c r="B4569" s="9">
        <v>7</v>
      </c>
      <c r="C4569" s="257" t="s">
        <v>12095</v>
      </c>
      <c r="D4569" s="9">
        <v>0</v>
      </c>
      <c r="E4569" s="9">
        <v>1724929.0217895508</v>
      </c>
      <c r="F4569" s="257" t="s">
        <v>16213</v>
      </c>
      <c r="G4569" s="9"/>
      <c r="H4569" s="257" t="s">
        <v>22627</v>
      </c>
      <c r="I4569" s="9">
        <v>3</v>
      </c>
    </row>
    <row r="4570" spans="1:9">
      <c r="A4570" s="257" t="s">
        <v>5668</v>
      </c>
      <c r="B4570" s="9">
        <v>7</v>
      </c>
      <c r="C4570" s="257" t="s">
        <v>12096</v>
      </c>
      <c r="D4570" s="9">
        <v>0</v>
      </c>
      <c r="E4570" s="9">
        <v>1724929.0217895508</v>
      </c>
      <c r="F4570" s="257" t="s">
        <v>16214</v>
      </c>
      <c r="G4570" s="9"/>
      <c r="H4570" s="257" t="s">
        <v>22628</v>
      </c>
      <c r="I4570" s="9">
        <v>3</v>
      </c>
    </row>
    <row r="4571" spans="1:9">
      <c r="A4571" s="257" t="s">
        <v>5669</v>
      </c>
      <c r="B4571" s="9">
        <v>7</v>
      </c>
      <c r="C4571" s="257" t="s">
        <v>12097</v>
      </c>
      <c r="D4571" s="9">
        <v>0</v>
      </c>
      <c r="E4571" s="9">
        <v>1724929.0217895508</v>
      </c>
      <c r="F4571" s="257" t="s">
        <v>16214</v>
      </c>
      <c r="G4571" s="9"/>
      <c r="H4571" s="257" t="s">
        <v>22629</v>
      </c>
      <c r="I4571" s="9">
        <v>3</v>
      </c>
    </row>
    <row r="4572" spans="1:9">
      <c r="A4572" s="257" t="s">
        <v>5670</v>
      </c>
      <c r="B4572" s="9">
        <v>7</v>
      </c>
      <c r="C4572" s="257" t="s">
        <v>12098</v>
      </c>
      <c r="D4572" s="9">
        <v>0</v>
      </c>
      <c r="E4572" s="9">
        <v>1724929.0217895508</v>
      </c>
      <c r="F4572" s="257" t="s">
        <v>16214</v>
      </c>
      <c r="G4572" s="9"/>
      <c r="H4572" s="257" t="s">
        <v>22630</v>
      </c>
      <c r="I4572" s="9">
        <v>3</v>
      </c>
    </row>
    <row r="4573" spans="1:9">
      <c r="A4573" s="257" t="s">
        <v>5671</v>
      </c>
      <c r="B4573" s="9">
        <v>7</v>
      </c>
      <c r="C4573" s="257" t="s">
        <v>12099</v>
      </c>
      <c r="D4573" s="9">
        <v>0</v>
      </c>
      <c r="E4573" s="9">
        <v>1724929.0217895508</v>
      </c>
      <c r="F4573" s="257" t="s">
        <v>16214</v>
      </c>
      <c r="G4573" s="9"/>
      <c r="H4573" s="257" t="s">
        <v>22631</v>
      </c>
      <c r="I4573" s="9">
        <v>3</v>
      </c>
    </row>
    <row r="4574" spans="1:9">
      <c r="A4574" s="257" t="s">
        <v>5672</v>
      </c>
      <c r="B4574" s="9">
        <v>7</v>
      </c>
      <c r="C4574" s="257" t="s">
        <v>12100</v>
      </c>
      <c r="D4574" s="9">
        <v>0</v>
      </c>
      <c r="E4574" s="9">
        <v>1724929.0217895508</v>
      </c>
      <c r="F4574" s="257" t="s">
        <v>16215</v>
      </c>
      <c r="G4574" s="9"/>
      <c r="H4574" s="257" t="s">
        <v>22632</v>
      </c>
      <c r="I4574" s="9">
        <v>3</v>
      </c>
    </row>
    <row r="4575" spans="1:9">
      <c r="A4575" s="257" t="s">
        <v>5673</v>
      </c>
      <c r="B4575" s="9">
        <v>7</v>
      </c>
      <c r="C4575" s="257" t="s">
        <v>12101</v>
      </c>
      <c r="D4575" s="9">
        <v>0</v>
      </c>
      <c r="E4575" s="9">
        <v>1724929.0217895508</v>
      </c>
      <c r="F4575" s="257" t="s">
        <v>16215</v>
      </c>
      <c r="G4575" s="9"/>
      <c r="H4575" s="257" t="s">
        <v>22633</v>
      </c>
      <c r="I4575" s="9">
        <v>3</v>
      </c>
    </row>
    <row r="4576" spans="1:9">
      <c r="A4576" s="257" t="s">
        <v>5674</v>
      </c>
      <c r="B4576" s="9">
        <v>7</v>
      </c>
      <c r="C4576" s="257" t="s">
        <v>12102</v>
      </c>
      <c r="D4576" s="9">
        <v>0</v>
      </c>
      <c r="E4576" s="9">
        <v>1724929.0217895508</v>
      </c>
      <c r="F4576" s="257" t="s">
        <v>16215</v>
      </c>
      <c r="G4576" s="9"/>
      <c r="H4576" s="257" t="s">
        <v>22634</v>
      </c>
      <c r="I4576" s="9">
        <v>3</v>
      </c>
    </row>
    <row r="4577" spans="1:9">
      <c r="A4577" s="257" t="s">
        <v>5675</v>
      </c>
      <c r="B4577" s="9">
        <v>7</v>
      </c>
      <c r="C4577" s="257" t="s">
        <v>12103</v>
      </c>
      <c r="D4577" s="9">
        <v>0</v>
      </c>
      <c r="E4577" s="9">
        <v>1724929.0217895508</v>
      </c>
      <c r="F4577" s="257" t="s">
        <v>16215</v>
      </c>
      <c r="G4577" s="9"/>
      <c r="H4577" s="257" t="s">
        <v>22635</v>
      </c>
      <c r="I4577" s="9">
        <v>3</v>
      </c>
    </row>
    <row r="4578" spans="1:9">
      <c r="A4578" s="257" t="s">
        <v>5676</v>
      </c>
      <c r="B4578" s="9">
        <v>7</v>
      </c>
      <c r="C4578" s="257" t="s">
        <v>12104</v>
      </c>
      <c r="D4578" s="9">
        <v>0</v>
      </c>
      <c r="E4578" s="9">
        <v>1724929.0217895508</v>
      </c>
      <c r="F4578" s="257" t="s">
        <v>16216</v>
      </c>
      <c r="G4578" s="9"/>
      <c r="H4578" s="257" t="s">
        <v>22636</v>
      </c>
      <c r="I4578" s="9">
        <v>3</v>
      </c>
    </row>
    <row r="4579" spans="1:9">
      <c r="A4579" s="257" t="s">
        <v>5677</v>
      </c>
      <c r="B4579" s="9">
        <v>7</v>
      </c>
      <c r="C4579" s="257" t="s">
        <v>12105</v>
      </c>
      <c r="D4579" s="9">
        <v>0</v>
      </c>
      <c r="E4579" s="9">
        <v>1724929.0217895508</v>
      </c>
      <c r="F4579" s="257" t="s">
        <v>16216</v>
      </c>
      <c r="G4579" s="9"/>
      <c r="H4579" s="257" t="s">
        <v>22637</v>
      </c>
      <c r="I4579" s="9">
        <v>3</v>
      </c>
    </row>
    <row r="4580" spans="1:9">
      <c r="A4580" s="257" t="s">
        <v>5678</v>
      </c>
      <c r="B4580" s="9">
        <v>7</v>
      </c>
      <c r="C4580" s="257" t="s">
        <v>12106</v>
      </c>
      <c r="D4580" s="9">
        <v>0</v>
      </c>
      <c r="E4580" s="9">
        <v>1724929.0217895508</v>
      </c>
      <c r="F4580" s="257" t="s">
        <v>16216</v>
      </c>
      <c r="G4580" s="9"/>
      <c r="H4580" s="257" t="s">
        <v>22638</v>
      </c>
      <c r="I4580" s="9">
        <v>3</v>
      </c>
    </row>
    <row r="4581" spans="1:9">
      <c r="A4581" s="257" t="s">
        <v>5679</v>
      </c>
      <c r="B4581" s="9">
        <v>7</v>
      </c>
      <c r="C4581" s="257" t="s">
        <v>12107</v>
      </c>
      <c r="D4581" s="9">
        <v>0</v>
      </c>
      <c r="E4581" s="9">
        <v>1724929.0217895508</v>
      </c>
      <c r="F4581" s="257" t="s">
        <v>16216</v>
      </c>
      <c r="G4581" s="9"/>
      <c r="H4581" s="257" t="s">
        <v>22639</v>
      </c>
      <c r="I4581" s="9">
        <v>3</v>
      </c>
    </row>
    <row r="4582" spans="1:9">
      <c r="A4582" s="257" t="s">
        <v>5680</v>
      </c>
      <c r="B4582" s="9">
        <v>7</v>
      </c>
      <c r="C4582" s="257" t="s">
        <v>12108</v>
      </c>
      <c r="D4582" s="9">
        <v>0</v>
      </c>
      <c r="E4582" s="9">
        <v>1724929.0217895508</v>
      </c>
      <c r="F4582" s="257" t="s">
        <v>16217</v>
      </c>
      <c r="G4582" s="9"/>
      <c r="H4582" s="257" t="s">
        <v>22640</v>
      </c>
      <c r="I4582" s="9">
        <v>3</v>
      </c>
    </row>
    <row r="4583" spans="1:9">
      <c r="A4583" s="257" t="s">
        <v>5681</v>
      </c>
      <c r="B4583" s="9">
        <v>7</v>
      </c>
      <c r="C4583" s="257" t="s">
        <v>12109</v>
      </c>
      <c r="D4583" s="9">
        <v>0</v>
      </c>
      <c r="E4583" s="9">
        <v>1724929.0217895508</v>
      </c>
      <c r="F4583" s="257" t="s">
        <v>16217</v>
      </c>
      <c r="G4583" s="9"/>
      <c r="H4583" s="257" t="s">
        <v>22641</v>
      </c>
      <c r="I4583" s="9">
        <v>3</v>
      </c>
    </row>
    <row r="4584" spans="1:9">
      <c r="A4584" s="257" t="s">
        <v>5682</v>
      </c>
      <c r="B4584" s="9">
        <v>7</v>
      </c>
      <c r="C4584" s="257" t="s">
        <v>12110</v>
      </c>
      <c r="D4584" s="9">
        <v>0</v>
      </c>
      <c r="E4584" s="9">
        <v>1724929.0217895508</v>
      </c>
      <c r="F4584" s="257" t="s">
        <v>16217</v>
      </c>
      <c r="G4584" s="9"/>
      <c r="H4584" s="257" t="s">
        <v>22642</v>
      </c>
      <c r="I4584" s="9">
        <v>3</v>
      </c>
    </row>
    <row r="4585" spans="1:9">
      <c r="A4585" s="257" t="s">
        <v>5683</v>
      </c>
      <c r="B4585" s="9">
        <v>7</v>
      </c>
      <c r="C4585" s="257" t="s">
        <v>12111</v>
      </c>
      <c r="D4585" s="9">
        <v>0</v>
      </c>
      <c r="E4585" s="9">
        <v>1724929.0217895508</v>
      </c>
      <c r="F4585" s="257" t="s">
        <v>16217</v>
      </c>
      <c r="G4585" s="9"/>
      <c r="H4585" s="257" t="s">
        <v>22643</v>
      </c>
      <c r="I4585" s="9">
        <v>3</v>
      </c>
    </row>
    <row r="4586" spans="1:9">
      <c r="A4586" s="257" t="s">
        <v>5684</v>
      </c>
      <c r="B4586" s="9">
        <v>7</v>
      </c>
      <c r="C4586" s="257" t="s">
        <v>12112</v>
      </c>
      <c r="D4586" s="9">
        <v>0</v>
      </c>
      <c r="E4586" s="9">
        <v>1724929.0217895508</v>
      </c>
      <c r="F4586" s="257" t="s">
        <v>16218</v>
      </c>
      <c r="G4586" s="9"/>
      <c r="H4586" s="257" t="s">
        <v>22644</v>
      </c>
      <c r="I4586" s="9">
        <v>3</v>
      </c>
    </row>
    <row r="4587" spans="1:9">
      <c r="A4587" s="257" t="s">
        <v>5685</v>
      </c>
      <c r="B4587" s="9">
        <v>7</v>
      </c>
      <c r="C4587" s="257" t="s">
        <v>12113</v>
      </c>
      <c r="D4587" s="9">
        <v>0</v>
      </c>
      <c r="E4587" s="9">
        <v>1724929.0217895508</v>
      </c>
      <c r="F4587" s="257" t="s">
        <v>16218</v>
      </c>
      <c r="G4587" s="9"/>
      <c r="H4587" s="257" t="s">
        <v>22645</v>
      </c>
      <c r="I4587" s="9">
        <v>3</v>
      </c>
    </row>
    <row r="4588" spans="1:9">
      <c r="A4588" s="257" t="s">
        <v>5686</v>
      </c>
      <c r="B4588" s="9">
        <v>7</v>
      </c>
      <c r="C4588" s="257" t="s">
        <v>12114</v>
      </c>
      <c r="D4588" s="9">
        <v>0</v>
      </c>
      <c r="E4588" s="9">
        <v>1724929.0217895508</v>
      </c>
      <c r="F4588" s="257" t="s">
        <v>16218</v>
      </c>
      <c r="G4588" s="9"/>
      <c r="H4588" s="257" t="s">
        <v>22646</v>
      </c>
      <c r="I4588" s="9">
        <v>3</v>
      </c>
    </row>
    <row r="4589" spans="1:9">
      <c r="A4589" s="257" t="s">
        <v>5687</v>
      </c>
      <c r="B4589" s="9">
        <v>7</v>
      </c>
      <c r="C4589" s="257" t="s">
        <v>12115</v>
      </c>
      <c r="D4589" s="9">
        <v>0</v>
      </c>
      <c r="E4589" s="9">
        <v>1724929.0217895508</v>
      </c>
      <c r="F4589" s="257" t="s">
        <v>16218</v>
      </c>
      <c r="G4589" s="9"/>
      <c r="H4589" s="257" t="s">
        <v>22647</v>
      </c>
      <c r="I4589" s="9">
        <v>3</v>
      </c>
    </row>
    <row r="4590" spans="1:9">
      <c r="A4590" s="257" t="s">
        <v>5688</v>
      </c>
      <c r="B4590" s="9">
        <v>7</v>
      </c>
      <c r="C4590" s="257" t="s">
        <v>12116</v>
      </c>
      <c r="D4590" s="9">
        <v>0</v>
      </c>
      <c r="E4590" s="9">
        <v>1724929.0217895508</v>
      </c>
      <c r="F4590" s="257" t="s">
        <v>16219</v>
      </c>
      <c r="G4590" s="9"/>
      <c r="H4590" s="257" t="s">
        <v>22648</v>
      </c>
      <c r="I4590" s="9">
        <v>3</v>
      </c>
    </row>
    <row r="4591" spans="1:9">
      <c r="A4591" s="257" t="s">
        <v>5689</v>
      </c>
      <c r="B4591" s="9">
        <v>7</v>
      </c>
      <c r="C4591" s="257" t="s">
        <v>12117</v>
      </c>
      <c r="D4591" s="9">
        <v>0</v>
      </c>
      <c r="E4591" s="9">
        <v>1724929.0217895508</v>
      </c>
      <c r="F4591" s="257" t="s">
        <v>16219</v>
      </c>
      <c r="G4591" s="9"/>
      <c r="H4591" s="257" t="s">
        <v>22649</v>
      </c>
      <c r="I4591" s="9">
        <v>3</v>
      </c>
    </row>
    <row r="4592" spans="1:9">
      <c r="A4592" s="257" t="s">
        <v>5690</v>
      </c>
      <c r="B4592" s="9">
        <v>7</v>
      </c>
      <c r="C4592" s="257" t="s">
        <v>12118</v>
      </c>
      <c r="D4592" s="9">
        <v>0</v>
      </c>
      <c r="E4592" s="9">
        <v>1724929.0217895508</v>
      </c>
      <c r="F4592" s="257" t="s">
        <v>16219</v>
      </c>
      <c r="G4592" s="9"/>
      <c r="H4592" s="257" t="s">
        <v>22650</v>
      </c>
      <c r="I4592" s="9">
        <v>3</v>
      </c>
    </row>
    <row r="4593" spans="1:9">
      <c r="A4593" s="257" t="s">
        <v>5691</v>
      </c>
      <c r="B4593" s="9">
        <v>7</v>
      </c>
      <c r="C4593" s="257" t="s">
        <v>12119</v>
      </c>
      <c r="D4593" s="9">
        <v>0</v>
      </c>
      <c r="E4593" s="9">
        <v>1724929.0217895508</v>
      </c>
      <c r="F4593" s="257" t="s">
        <v>16219</v>
      </c>
      <c r="G4593" s="9"/>
      <c r="H4593" s="257" t="s">
        <v>22651</v>
      </c>
      <c r="I4593" s="9">
        <v>3</v>
      </c>
    </row>
    <row r="4594" spans="1:9">
      <c r="A4594" s="257" t="s">
        <v>5692</v>
      </c>
      <c r="B4594" s="9">
        <v>7</v>
      </c>
      <c r="C4594" s="257" t="s">
        <v>12120</v>
      </c>
      <c r="D4594" s="9">
        <v>1715574.2783508301</v>
      </c>
      <c r="E4594" s="9">
        <v>1724929.0217895508</v>
      </c>
      <c r="F4594" s="257" t="s">
        <v>16220</v>
      </c>
      <c r="G4594" s="9"/>
      <c r="H4594" s="257" t="s">
        <v>22652</v>
      </c>
      <c r="I4594" s="9">
        <v>3</v>
      </c>
    </row>
    <row r="4595" spans="1:9">
      <c r="A4595" s="257" t="s">
        <v>5693</v>
      </c>
      <c r="B4595" s="9">
        <v>7</v>
      </c>
      <c r="C4595" s="257" t="s">
        <v>12121</v>
      </c>
      <c r="D4595" s="9">
        <v>10857504758.799288</v>
      </c>
      <c r="E4595" s="9">
        <v>1724929.0217895508</v>
      </c>
      <c r="F4595" s="257" t="s">
        <v>16220</v>
      </c>
      <c r="G4595" s="9"/>
      <c r="H4595" s="257" t="s">
        <v>22653</v>
      </c>
      <c r="I4595" s="9">
        <v>3</v>
      </c>
    </row>
    <row r="4596" spans="1:9">
      <c r="A4596" s="257" t="s">
        <v>5694</v>
      </c>
      <c r="B4596" s="9">
        <v>7</v>
      </c>
      <c r="C4596" s="257" t="s">
        <v>12122</v>
      </c>
      <c r="D4596" s="9">
        <v>0.99457673717552997</v>
      </c>
      <c r="E4596" s="9">
        <v>1724929.0217895508</v>
      </c>
      <c r="F4596" s="257" t="s">
        <v>16220</v>
      </c>
      <c r="G4596" s="9"/>
      <c r="H4596" s="257" t="s">
        <v>22654</v>
      </c>
      <c r="I4596" s="9">
        <v>3</v>
      </c>
    </row>
    <row r="4597" spans="1:9">
      <c r="A4597" s="257" t="s">
        <v>5695</v>
      </c>
      <c r="B4597" s="9">
        <v>7</v>
      </c>
      <c r="C4597" s="257" t="s">
        <v>12123</v>
      </c>
      <c r="D4597" s="9">
        <v>6294.4646542818464</v>
      </c>
      <c r="E4597" s="9">
        <v>1724929.0217895508</v>
      </c>
      <c r="F4597" s="257" t="s">
        <v>16220</v>
      </c>
      <c r="G4597" s="9"/>
      <c r="H4597" s="257" t="s">
        <v>22655</v>
      </c>
      <c r="I4597" s="9">
        <v>3</v>
      </c>
    </row>
    <row r="4598" spans="1:9">
      <c r="A4598" s="257" t="s">
        <v>5696</v>
      </c>
      <c r="B4598" s="9">
        <v>7</v>
      </c>
      <c r="C4598" s="257" t="s">
        <v>12124</v>
      </c>
      <c r="D4598" s="9">
        <v>1715574.2783508301</v>
      </c>
      <c r="E4598" s="9">
        <v>1724929.0217895508</v>
      </c>
      <c r="F4598" s="257" t="s">
        <v>16221</v>
      </c>
      <c r="G4598" s="9"/>
      <c r="H4598" s="257" t="s">
        <v>22656</v>
      </c>
      <c r="I4598" s="9">
        <v>3</v>
      </c>
    </row>
    <row r="4599" spans="1:9">
      <c r="A4599" s="257" t="s">
        <v>5697</v>
      </c>
      <c r="B4599" s="9">
        <v>7</v>
      </c>
      <c r="C4599" s="257" t="s">
        <v>12125</v>
      </c>
      <c r="D4599" s="9">
        <v>10857504758.799288</v>
      </c>
      <c r="E4599" s="9">
        <v>1724929.0217895508</v>
      </c>
      <c r="F4599" s="257" t="s">
        <v>16221</v>
      </c>
      <c r="G4599" s="9"/>
      <c r="H4599" s="257" t="s">
        <v>22657</v>
      </c>
      <c r="I4599" s="9">
        <v>3</v>
      </c>
    </row>
    <row r="4600" spans="1:9">
      <c r="A4600" s="257" t="s">
        <v>5698</v>
      </c>
      <c r="B4600" s="9">
        <v>7</v>
      </c>
      <c r="C4600" s="257" t="s">
        <v>12126</v>
      </c>
      <c r="D4600" s="9">
        <v>0.99457673717552997</v>
      </c>
      <c r="E4600" s="9">
        <v>1724929.0217895508</v>
      </c>
      <c r="F4600" s="257" t="s">
        <v>16221</v>
      </c>
      <c r="G4600" s="9"/>
      <c r="H4600" s="257" t="s">
        <v>22658</v>
      </c>
      <c r="I4600" s="9">
        <v>3</v>
      </c>
    </row>
    <row r="4601" spans="1:9">
      <c r="A4601" s="257" t="s">
        <v>5699</v>
      </c>
      <c r="B4601" s="9">
        <v>7</v>
      </c>
      <c r="C4601" s="257" t="s">
        <v>12127</v>
      </c>
      <c r="D4601" s="9">
        <v>6294.4646542818464</v>
      </c>
      <c r="E4601" s="9">
        <v>1724929.0217895508</v>
      </c>
      <c r="F4601" s="257" t="s">
        <v>16221</v>
      </c>
      <c r="G4601" s="9"/>
      <c r="H4601" s="257" t="s">
        <v>22659</v>
      </c>
      <c r="I4601" s="9">
        <v>3</v>
      </c>
    </row>
    <row r="4602" spans="1:9">
      <c r="A4602" s="257" t="s">
        <v>5700</v>
      </c>
      <c r="B4602" s="9">
        <v>7</v>
      </c>
      <c r="C4602" s="257" t="s">
        <v>12128</v>
      </c>
      <c r="D4602" s="9">
        <v>1715574.2783508301</v>
      </c>
      <c r="E4602" s="9">
        <v>1724929.0217895508</v>
      </c>
      <c r="F4602" s="257" t="s">
        <v>16222</v>
      </c>
      <c r="G4602" s="9"/>
      <c r="H4602" s="257" t="s">
        <v>22660</v>
      </c>
      <c r="I4602" s="9">
        <v>3</v>
      </c>
    </row>
    <row r="4603" spans="1:9">
      <c r="A4603" s="257" t="s">
        <v>5701</v>
      </c>
      <c r="B4603" s="9">
        <v>7</v>
      </c>
      <c r="C4603" s="257" t="s">
        <v>12129</v>
      </c>
      <c r="D4603" s="9">
        <v>10857504758.799288</v>
      </c>
      <c r="E4603" s="9">
        <v>1724929.0217895508</v>
      </c>
      <c r="F4603" s="257" t="s">
        <v>16222</v>
      </c>
      <c r="G4603" s="9"/>
      <c r="H4603" s="257" t="s">
        <v>22661</v>
      </c>
      <c r="I4603" s="9">
        <v>3</v>
      </c>
    </row>
    <row r="4604" spans="1:9">
      <c r="A4604" s="257" t="s">
        <v>5702</v>
      </c>
      <c r="B4604" s="9">
        <v>7</v>
      </c>
      <c r="C4604" s="257" t="s">
        <v>12130</v>
      </c>
      <c r="D4604" s="9">
        <v>0.99457673717552997</v>
      </c>
      <c r="E4604" s="9">
        <v>1724929.0217895508</v>
      </c>
      <c r="F4604" s="257" t="s">
        <v>16222</v>
      </c>
      <c r="G4604" s="9"/>
      <c r="H4604" s="257" t="s">
        <v>22662</v>
      </c>
      <c r="I4604" s="9">
        <v>3</v>
      </c>
    </row>
    <row r="4605" spans="1:9">
      <c r="A4605" s="257" t="s">
        <v>5703</v>
      </c>
      <c r="B4605" s="9">
        <v>7</v>
      </c>
      <c r="C4605" s="257" t="s">
        <v>12131</v>
      </c>
      <c r="D4605" s="9">
        <v>6294.4646542818464</v>
      </c>
      <c r="E4605" s="9">
        <v>1724929.0217895508</v>
      </c>
      <c r="F4605" s="257" t="s">
        <v>16222</v>
      </c>
      <c r="G4605" s="9"/>
      <c r="H4605" s="257" t="s">
        <v>22663</v>
      </c>
      <c r="I4605" s="9">
        <v>3</v>
      </c>
    </row>
    <row r="4606" spans="1:9">
      <c r="A4606" s="257" t="s">
        <v>5704</v>
      </c>
      <c r="B4606" s="9">
        <v>7</v>
      </c>
      <c r="C4606" s="257" t="s">
        <v>12132</v>
      </c>
      <c r="D4606" s="9">
        <v>1724929.0217895508</v>
      </c>
      <c r="E4606" s="9">
        <v>1724929.0217895508</v>
      </c>
      <c r="F4606" s="257" t="s">
        <v>16223</v>
      </c>
      <c r="G4606" s="9"/>
      <c r="H4606" s="257" t="s">
        <v>22664</v>
      </c>
      <c r="I4606" s="9">
        <v>3</v>
      </c>
    </row>
    <row r="4607" spans="1:9">
      <c r="A4607" s="257" t="s">
        <v>5705</v>
      </c>
      <c r="B4607" s="9">
        <v>7</v>
      </c>
      <c r="C4607" s="257" t="s">
        <v>12133</v>
      </c>
      <c r="D4607" s="9">
        <v>2375193654.7766829</v>
      </c>
      <c r="E4607" s="9">
        <v>1724929.0217895508</v>
      </c>
      <c r="F4607" s="257" t="s">
        <v>16223</v>
      </c>
      <c r="G4607" s="9"/>
      <c r="H4607" s="257" t="s">
        <v>22665</v>
      </c>
      <c r="I4607" s="9">
        <v>3</v>
      </c>
    </row>
    <row r="4608" spans="1:9">
      <c r="A4608" s="257" t="s">
        <v>5706</v>
      </c>
      <c r="B4608" s="9">
        <v>7</v>
      </c>
      <c r="C4608" s="257" t="s">
        <v>12134</v>
      </c>
      <c r="D4608" s="9">
        <v>1</v>
      </c>
      <c r="E4608" s="9">
        <v>1724929.0217895508</v>
      </c>
      <c r="F4608" s="257" t="s">
        <v>16223</v>
      </c>
      <c r="G4608" s="9"/>
      <c r="H4608" s="257" t="s">
        <v>22666</v>
      </c>
      <c r="I4608" s="9">
        <v>3</v>
      </c>
    </row>
    <row r="4609" spans="1:9">
      <c r="A4609" s="257" t="s">
        <v>5707</v>
      </c>
      <c r="B4609" s="9">
        <v>7</v>
      </c>
      <c r="C4609" s="257" t="s">
        <v>12135</v>
      </c>
      <c r="D4609" s="9">
        <v>1376.9805161678514</v>
      </c>
      <c r="E4609" s="9">
        <v>1724929.0217895508</v>
      </c>
      <c r="F4609" s="257" t="s">
        <v>16223</v>
      </c>
      <c r="G4609" s="9"/>
      <c r="H4609" s="257" t="s">
        <v>22667</v>
      </c>
      <c r="I4609" s="9">
        <v>3</v>
      </c>
    </row>
    <row r="4610" spans="1:9">
      <c r="A4610" s="257" t="s">
        <v>5708</v>
      </c>
      <c r="B4610" s="9">
        <v>7</v>
      </c>
      <c r="C4610" s="257" t="s">
        <v>12136</v>
      </c>
      <c r="D4610" s="9">
        <v>1174397.034538269</v>
      </c>
      <c r="E4610" s="9">
        <v>1724929.0217895508</v>
      </c>
      <c r="F4610" s="257" t="s">
        <v>16224</v>
      </c>
      <c r="G4610" s="9"/>
      <c r="H4610" s="257" t="s">
        <v>22668</v>
      </c>
      <c r="I4610" s="9">
        <v>3</v>
      </c>
    </row>
    <row r="4611" spans="1:9">
      <c r="A4611" s="257" t="s">
        <v>5709</v>
      </c>
      <c r="B4611" s="9">
        <v>7</v>
      </c>
      <c r="C4611" s="257" t="s">
        <v>12137</v>
      </c>
      <c r="D4611" s="9">
        <v>3270590175.0559001</v>
      </c>
      <c r="E4611" s="9">
        <v>1724929.0217895508</v>
      </c>
      <c r="F4611" s="257" t="s">
        <v>16224</v>
      </c>
      <c r="G4611" s="9"/>
      <c r="H4611" s="257" t="s">
        <v>22669</v>
      </c>
      <c r="I4611" s="9">
        <v>3</v>
      </c>
    </row>
    <row r="4612" spans="1:9">
      <c r="A4612" s="257" t="s">
        <v>5710</v>
      </c>
      <c r="B4612" s="9">
        <v>7</v>
      </c>
      <c r="C4612" s="257" t="s">
        <v>12138</v>
      </c>
      <c r="D4612" s="9">
        <v>0.68083788938739931</v>
      </c>
      <c r="E4612" s="9">
        <v>1724929.0217895508</v>
      </c>
      <c r="F4612" s="257" t="s">
        <v>16224</v>
      </c>
      <c r="G4612" s="9"/>
      <c r="H4612" s="257" t="s">
        <v>22670</v>
      </c>
      <c r="I4612" s="9">
        <v>3</v>
      </c>
    </row>
    <row r="4613" spans="1:9">
      <c r="A4613" s="257" t="s">
        <v>5711</v>
      </c>
      <c r="B4613" s="9">
        <v>7</v>
      </c>
      <c r="C4613" s="257" t="s">
        <v>12139</v>
      </c>
      <c r="D4613" s="9">
        <v>1896.0723216673475</v>
      </c>
      <c r="E4613" s="9">
        <v>1724929.0217895508</v>
      </c>
      <c r="F4613" s="257" t="s">
        <v>16224</v>
      </c>
      <c r="G4613" s="9"/>
      <c r="H4613" s="257" t="s">
        <v>22671</v>
      </c>
      <c r="I4613" s="9">
        <v>3</v>
      </c>
    </row>
    <row r="4614" spans="1:9">
      <c r="A4614" s="257" t="s">
        <v>5712</v>
      </c>
      <c r="B4614" s="9">
        <v>7</v>
      </c>
      <c r="C4614" s="257" t="s">
        <v>12140</v>
      </c>
      <c r="D4614" s="9">
        <v>1724929.0217895508</v>
      </c>
      <c r="E4614" s="9">
        <v>1724929.0217895508</v>
      </c>
      <c r="F4614" s="257" t="s">
        <v>16225</v>
      </c>
      <c r="G4614" s="9"/>
      <c r="H4614" s="257" t="s">
        <v>22672</v>
      </c>
      <c r="I4614" s="9">
        <v>3</v>
      </c>
    </row>
    <row r="4615" spans="1:9">
      <c r="A4615" s="257" t="s">
        <v>5713</v>
      </c>
      <c r="B4615" s="9">
        <v>7</v>
      </c>
      <c r="C4615" s="257" t="s">
        <v>12141</v>
      </c>
      <c r="D4615" s="9">
        <v>14128094933.855188</v>
      </c>
      <c r="E4615" s="9">
        <v>1724929.0217895508</v>
      </c>
      <c r="F4615" s="257" t="s">
        <v>16225</v>
      </c>
      <c r="G4615" s="9"/>
      <c r="H4615" s="257" t="s">
        <v>22673</v>
      </c>
      <c r="I4615" s="9">
        <v>3</v>
      </c>
    </row>
    <row r="4616" spans="1:9">
      <c r="A4616" s="257" t="s">
        <v>5714</v>
      </c>
      <c r="B4616" s="9">
        <v>7</v>
      </c>
      <c r="C4616" s="257" t="s">
        <v>12142</v>
      </c>
      <c r="D4616" s="9">
        <v>1</v>
      </c>
      <c r="E4616" s="9">
        <v>1724929.0217895508</v>
      </c>
      <c r="F4616" s="257" t="s">
        <v>16225</v>
      </c>
      <c r="G4616" s="9"/>
      <c r="H4616" s="257" t="s">
        <v>22674</v>
      </c>
      <c r="I4616" s="9">
        <v>3</v>
      </c>
    </row>
    <row r="4617" spans="1:9">
      <c r="A4617" s="257" t="s">
        <v>5715</v>
      </c>
      <c r="B4617" s="9">
        <v>7</v>
      </c>
      <c r="C4617" s="257" t="s">
        <v>12143</v>
      </c>
      <c r="D4617" s="9">
        <v>8190.5369759491941</v>
      </c>
      <c r="E4617" s="9">
        <v>1724929.0217895508</v>
      </c>
      <c r="F4617" s="257" t="s">
        <v>16225</v>
      </c>
      <c r="G4617" s="9"/>
      <c r="H4617" s="257" t="s">
        <v>22675</v>
      </c>
      <c r="I4617" s="9">
        <v>3</v>
      </c>
    </row>
    <row r="4618" spans="1:9">
      <c r="A4618" s="257" t="s">
        <v>5716</v>
      </c>
      <c r="B4618" s="9">
        <v>7</v>
      </c>
      <c r="C4618" s="257" t="s">
        <v>12144</v>
      </c>
      <c r="D4618" s="9">
        <v>1724929.0217895508</v>
      </c>
      <c r="E4618" s="9">
        <v>1724929.0217895508</v>
      </c>
      <c r="F4618" s="257" t="s">
        <v>16226</v>
      </c>
      <c r="G4618" s="9"/>
      <c r="H4618" s="257" t="s">
        <v>22676</v>
      </c>
      <c r="I4618" s="9">
        <v>3</v>
      </c>
    </row>
    <row r="4619" spans="1:9">
      <c r="A4619" s="257" t="s">
        <v>5717</v>
      </c>
      <c r="B4619" s="9">
        <v>7</v>
      </c>
      <c r="C4619" s="257" t="s">
        <v>12145</v>
      </c>
      <c r="D4619" s="9">
        <v>14128094933.855188</v>
      </c>
      <c r="E4619" s="9">
        <v>1724929.0217895508</v>
      </c>
      <c r="F4619" s="257" t="s">
        <v>16226</v>
      </c>
      <c r="G4619" s="9"/>
      <c r="H4619" s="257" t="s">
        <v>22677</v>
      </c>
      <c r="I4619" s="9">
        <v>3</v>
      </c>
    </row>
    <row r="4620" spans="1:9">
      <c r="A4620" s="257" t="s">
        <v>5718</v>
      </c>
      <c r="B4620" s="9">
        <v>7</v>
      </c>
      <c r="C4620" s="257" t="s">
        <v>12146</v>
      </c>
      <c r="D4620" s="9">
        <v>1</v>
      </c>
      <c r="E4620" s="9">
        <v>1724929.0217895508</v>
      </c>
      <c r="F4620" s="257" t="s">
        <v>16226</v>
      </c>
      <c r="G4620" s="9"/>
      <c r="H4620" s="257" t="s">
        <v>22678</v>
      </c>
      <c r="I4620" s="9">
        <v>3</v>
      </c>
    </row>
    <row r="4621" spans="1:9">
      <c r="A4621" s="257" t="s">
        <v>5719</v>
      </c>
      <c r="B4621" s="9">
        <v>7</v>
      </c>
      <c r="C4621" s="257" t="s">
        <v>12147</v>
      </c>
      <c r="D4621" s="9">
        <v>8190.5369759491941</v>
      </c>
      <c r="E4621" s="9">
        <v>1724929.0217895508</v>
      </c>
      <c r="F4621" s="257" t="s">
        <v>16226</v>
      </c>
      <c r="G4621" s="9"/>
      <c r="H4621" s="257" t="s">
        <v>22679</v>
      </c>
      <c r="I4621" s="9">
        <v>3</v>
      </c>
    </row>
    <row r="4622" spans="1:9">
      <c r="A4622" s="257" t="s">
        <v>5720</v>
      </c>
      <c r="B4622" s="9">
        <v>7</v>
      </c>
      <c r="C4622" s="257" t="s">
        <v>12148</v>
      </c>
      <c r="D4622" s="9">
        <v>1295431.3898239136</v>
      </c>
      <c r="E4622" s="9">
        <v>1724929.0217895508</v>
      </c>
      <c r="F4622" s="257" t="s">
        <v>16227</v>
      </c>
      <c r="G4622" s="9"/>
      <c r="H4622" s="257" t="s">
        <v>22680</v>
      </c>
      <c r="I4622" s="9">
        <v>3</v>
      </c>
    </row>
    <row r="4623" spans="1:9">
      <c r="A4623" s="257" t="s">
        <v>5721</v>
      </c>
      <c r="B4623" s="9">
        <v>7</v>
      </c>
      <c r="C4623" s="257" t="s">
        <v>12149</v>
      </c>
      <c r="D4623" s="9">
        <v>6579068423.596838</v>
      </c>
      <c r="E4623" s="9">
        <v>1724929.0217895508</v>
      </c>
      <c r="F4623" s="257" t="s">
        <v>16227</v>
      </c>
      <c r="G4623" s="9"/>
      <c r="H4623" s="257" t="s">
        <v>22681</v>
      </c>
      <c r="I4623" s="9">
        <v>3</v>
      </c>
    </row>
    <row r="4624" spans="1:9">
      <c r="A4624" s="257" t="s">
        <v>5722</v>
      </c>
      <c r="B4624" s="9">
        <v>7</v>
      </c>
      <c r="C4624" s="257" t="s">
        <v>12150</v>
      </c>
      <c r="D4624" s="9">
        <v>0.75100562020804251</v>
      </c>
      <c r="E4624" s="9">
        <v>1724929.0217895508</v>
      </c>
      <c r="F4624" s="257" t="s">
        <v>16227</v>
      </c>
      <c r="G4624" s="9"/>
      <c r="H4624" s="257" t="s">
        <v>22682</v>
      </c>
      <c r="I4624" s="9">
        <v>3</v>
      </c>
    </row>
    <row r="4625" spans="1:9">
      <c r="A4625" s="257" t="s">
        <v>5723</v>
      </c>
      <c r="B4625" s="9">
        <v>7</v>
      </c>
      <c r="C4625" s="257" t="s">
        <v>12151</v>
      </c>
      <c r="D4625" s="9">
        <v>3814.1096476951238</v>
      </c>
      <c r="E4625" s="9">
        <v>1724929.0217895508</v>
      </c>
      <c r="F4625" s="257" t="s">
        <v>16227</v>
      </c>
      <c r="G4625" s="9"/>
      <c r="H4625" s="257" t="s">
        <v>22683</v>
      </c>
      <c r="I4625" s="9">
        <v>3</v>
      </c>
    </row>
    <row r="4626" spans="1:9">
      <c r="A4626" s="257" t="s">
        <v>5724</v>
      </c>
      <c r="B4626" s="9">
        <v>7</v>
      </c>
      <c r="C4626" s="257" t="s">
        <v>12152</v>
      </c>
      <c r="D4626" s="9">
        <v>1295431.3898239136</v>
      </c>
      <c r="E4626" s="9">
        <v>1724929.0217895508</v>
      </c>
      <c r="F4626" s="257" t="s">
        <v>16228</v>
      </c>
      <c r="G4626" s="9"/>
      <c r="H4626" s="257" t="s">
        <v>22684</v>
      </c>
      <c r="I4626" s="9">
        <v>3</v>
      </c>
    </row>
    <row r="4627" spans="1:9">
      <c r="A4627" s="257" t="s">
        <v>5725</v>
      </c>
      <c r="B4627" s="9">
        <v>7</v>
      </c>
      <c r="C4627" s="257" t="s">
        <v>12153</v>
      </c>
      <c r="D4627" s="9">
        <v>6579068423.596838</v>
      </c>
      <c r="E4627" s="9">
        <v>1724929.0217895508</v>
      </c>
      <c r="F4627" s="257" t="s">
        <v>16228</v>
      </c>
      <c r="G4627" s="9"/>
      <c r="H4627" s="257" t="s">
        <v>22685</v>
      </c>
      <c r="I4627" s="9">
        <v>3</v>
      </c>
    </row>
    <row r="4628" spans="1:9">
      <c r="A4628" s="257" t="s">
        <v>5726</v>
      </c>
      <c r="B4628" s="9">
        <v>7</v>
      </c>
      <c r="C4628" s="257" t="s">
        <v>12154</v>
      </c>
      <c r="D4628" s="9">
        <v>0.75100562020804251</v>
      </c>
      <c r="E4628" s="9">
        <v>1724929.0217895508</v>
      </c>
      <c r="F4628" s="257" t="s">
        <v>16228</v>
      </c>
      <c r="G4628" s="9"/>
      <c r="H4628" s="257" t="s">
        <v>22686</v>
      </c>
      <c r="I4628" s="9">
        <v>3</v>
      </c>
    </row>
    <row r="4629" spans="1:9">
      <c r="A4629" s="257" t="s">
        <v>5727</v>
      </c>
      <c r="B4629" s="9">
        <v>7</v>
      </c>
      <c r="C4629" s="257" t="s">
        <v>12155</v>
      </c>
      <c r="D4629" s="9">
        <v>3814.1096476951238</v>
      </c>
      <c r="E4629" s="9">
        <v>1724929.0217895508</v>
      </c>
      <c r="F4629" s="257" t="s">
        <v>16228</v>
      </c>
      <c r="G4629" s="9"/>
      <c r="H4629" s="257" t="s">
        <v>22687</v>
      </c>
      <c r="I4629" s="9">
        <v>3</v>
      </c>
    </row>
    <row r="4630" spans="1:9">
      <c r="A4630" s="257" t="s">
        <v>5728</v>
      </c>
      <c r="B4630" s="9">
        <v>7</v>
      </c>
      <c r="C4630" s="257" t="s">
        <v>12156</v>
      </c>
      <c r="D4630" s="9">
        <v>1724929.0217895508</v>
      </c>
      <c r="E4630" s="9">
        <v>1724929.0217895508</v>
      </c>
      <c r="F4630" s="257" t="s">
        <v>16229</v>
      </c>
      <c r="G4630" s="9"/>
      <c r="H4630" s="257" t="s">
        <v>22688</v>
      </c>
      <c r="I4630" s="9">
        <v>3</v>
      </c>
    </row>
    <row r="4631" spans="1:9">
      <c r="A4631" s="257" t="s">
        <v>5729</v>
      </c>
      <c r="B4631" s="9">
        <v>7</v>
      </c>
      <c r="C4631" s="257" t="s">
        <v>12157</v>
      </c>
      <c r="D4631" s="9">
        <v>4278436335.2024503</v>
      </c>
      <c r="E4631" s="9">
        <v>1724929.0217895508</v>
      </c>
      <c r="F4631" s="257" t="s">
        <v>16229</v>
      </c>
      <c r="G4631" s="9"/>
      <c r="H4631" s="257" t="s">
        <v>22689</v>
      </c>
      <c r="I4631" s="9">
        <v>3</v>
      </c>
    </row>
    <row r="4632" spans="1:9">
      <c r="A4632" s="257" t="s">
        <v>5730</v>
      </c>
      <c r="B4632" s="9">
        <v>7</v>
      </c>
      <c r="C4632" s="257" t="s">
        <v>12158</v>
      </c>
      <c r="D4632" s="9">
        <v>1</v>
      </c>
      <c r="E4632" s="9">
        <v>1724929.0217895508</v>
      </c>
      <c r="F4632" s="257" t="s">
        <v>16229</v>
      </c>
      <c r="G4632" s="9"/>
      <c r="H4632" s="257" t="s">
        <v>22690</v>
      </c>
      <c r="I4632" s="9">
        <v>3</v>
      </c>
    </row>
    <row r="4633" spans="1:9">
      <c r="A4633" s="257" t="s">
        <v>5731</v>
      </c>
      <c r="B4633" s="9">
        <v>7</v>
      </c>
      <c r="C4633" s="257" t="s">
        <v>12159</v>
      </c>
      <c r="D4633" s="9">
        <v>2480.3550065867225</v>
      </c>
      <c r="E4633" s="9">
        <v>1724929.0217895508</v>
      </c>
      <c r="F4633" s="257" t="s">
        <v>16229</v>
      </c>
      <c r="G4633" s="9"/>
      <c r="H4633" s="257" t="s">
        <v>22691</v>
      </c>
      <c r="I4633" s="9">
        <v>3</v>
      </c>
    </row>
    <row r="4634" spans="1:9">
      <c r="A4634" s="257" t="s">
        <v>5732</v>
      </c>
      <c r="B4634" s="9">
        <v>7</v>
      </c>
      <c r="C4634" s="257" t="s">
        <v>12160</v>
      </c>
      <c r="D4634" s="9">
        <v>1724929.0217895508</v>
      </c>
      <c r="E4634" s="9">
        <v>1724929.0217895508</v>
      </c>
      <c r="F4634" s="257" t="s">
        <v>16230</v>
      </c>
      <c r="G4634" s="9"/>
      <c r="H4634" s="257" t="s">
        <v>22692</v>
      </c>
      <c r="I4634" s="9">
        <v>3</v>
      </c>
    </row>
    <row r="4635" spans="1:9">
      <c r="A4635" s="257" t="s">
        <v>5733</v>
      </c>
      <c r="B4635" s="9">
        <v>7</v>
      </c>
      <c r="C4635" s="257" t="s">
        <v>12161</v>
      </c>
      <c r="D4635" s="9">
        <v>7131054318.2032032</v>
      </c>
      <c r="E4635" s="9">
        <v>1724929.0217895508</v>
      </c>
      <c r="F4635" s="257" t="s">
        <v>16230</v>
      </c>
      <c r="G4635" s="9"/>
      <c r="H4635" s="257" t="s">
        <v>22693</v>
      </c>
      <c r="I4635" s="9">
        <v>3</v>
      </c>
    </row>
    <row r="4636" spans="1:9">
      <c r="A4636" s="257" t="s">
        <v>5734</v>
      </c>
      <c r="B4636" s="9">
        <v>7</v>
      </c>
      <c r="C4636" s="257" t="s">
        <v>12162</v>
      </c>
      <c r="D4636" s="9">
        <v>1</v>
      </c>
      <c r="E4636" s="9">
        <v>1724929.0217895508</v>
      </c>
      <c r="F4636" s="257" t="s">
        <v>16230</v>
      </c>
      <c r="G4636" s="9"/>
      <c r="H4636" s="257" t="s">
        <v>22694</v>
      </c>
      <c r="I4636" s="9">
        <v>3</v>
      </c>
    </row>
    <row r="4637" spans="1:9">
      <c r="A4637" s="257" t="s">
        <v>5735</v>
      </c>
      <c r="B4637" s="9">
        <v>7</v>
      </c>
      <c r="C4637" s="257" t="s">
        <v>12163</v>
      </c>
      <c r="D4637" s="9">
        <v>4134.1146378330368</v>
      </c>
      <c r="E4637" s="9">
        <v>1724929.0217895508</v>
      </c>
      <c r="F4637" s="257" t="s">
        <v>16230</v>
      </c>
      <c r="G4637" s="9"/>
      <c r="H4637" s="257" t="s">
        <v>22695</v>
      </c>
      <c r="I4637" s="9">
        <v>3</v>
      </c>
    </row>
    <row r="4638" spans="1:9">
      <c r="A4638" s="257" t="s">
        <v>5736</v>
      </c>
      <c r="B4638" s="9">
        <v>7</v>
      </c>
      <c r="C4638" s="257" t="s">
        <v>12164</v>
      </c>
      <c r="D4638" s="9">
        <v>1311616.5118942261</v>
      </c>
      <c r="E4638" s="9">
        <v>1724929.0217895508</v>
      </c>
      <c r="F4638" s="257" t="s">
        <v>16231</v>
      </c>
      <c r="G4638" s="9"/>
      <c r="H4638" s="257" t="s">
        <v>22696</v>
      </c>
      <c r="I4638" s="9">
        <v>3</v>
      </c>
    </row>
    <row r="4639" spans="1:9">
      <c r="A4639" s="257" t="s">
        <v>5737</v>
      </c>
      <c r="B4639" s="9">
        <v>7</v>
      </c>
      <c r="C4639" s="257" t="s">
        <v>12165</v>
      </c>
      <c r="D4639" s="9">
        <v>8000119286.6565199</v>
      </c>
      <c r="E4639" s="9">
        <v>1724929.0217895508</v>
      </c>
      <c r="F4639" s="257" t="s">
        <v>16231</v>
      </c>
      <c r="G4639" s="9"/>
      <c r="H4639" s="257" t="s">
        <v>22697</v>
      </c>
      <c r="I4639" s="9">
        <v>3</v>
      </c>
    </row>
    <row r="4640" spans="1:9">
      <c r="A4640" s="257" t="s">
        <v>5738</v>
      </c>
      <c r="B4640" s="9">
        <v>7</v>
      </c>
      <c r="C4640" s="257" t="s">
        <v>12166</v>
      </c>
      <c r="D4640" s="9">
        <v>0.76038868575210816</v>
      </c>
      <c r="E4640" s="9">
        <v>1724929.0217895508</v>
      </c>
      <c r="F4640" s="257" t="s">
        <v>16231</v>
      </c>
      <c r="G4640" s="9"/>
      <c r="H4640" s="257" t="s">
        <v>22698</v>
      </c>
      <c r="I4640" s="9">
        <v>3</v>
      </c>
    </row>
    <row r="4641" spans="1:9">
      <c r="A4641" s="257" t="s">
        <v>5739</v>
      </c>
      <c r="B4641" s="9">
        <v>7</v>
      </c>
      <c r="C4641" s="257" t="s">
        <v>12167</v>
      </c>
      <c r="D4641" s="9">
        <v>4637.9411474894714</v>
      </c>
      <c r="E4641" s="9">
        <v>1724929.0217895508</v>
      </c>
      <c r="F4641" s="257" t="s">
        <v>16231</v>
      </c>
      <c r="G4641" s="9"/>
      <c r="H4641" s="257" t="s">
        <v>22699</v>
      </c>
      <c r="I4641" s="9">
        <v>3</v>
      </c>
    </row>
    <row r="4642" spans="1:9">
      <c r="A4642" s="257" t="s">
        <v>5740</v>
      </c>
      <c r="B4642" s="9">
        <v>7</v>
      </c>
      <c r="C4642" s="257" t="s">
        <v>12168</v>
      </c>
      <c r="D4642" s="9">
        <v>0</v>
      </c>
      <c r="E4642" s="9">
        <v>1724929.0217895508</v>
      </c>
      <c r="F4642" s="257" t="s">
        <v>16232</v>
      </c>
      <c r="G4642" s="9"/>
      <c r="H4642" s="257" t="s">
        <v>22700</v>
      </c>
      <c r="I4642" s="9">
        <v>3</v>
      </c>
    </row>
    <row r="4643" spans="1:9">
      <c r="A4643" s="257" t="s">
        <v>5741</v>
      </c>
      <c r="B4643" s="9">
        <v>7</v>
      </c>
      <c r="C4643" s="257" t="s">
        <v>12169</v>
      </c>
      <c r="D4643" s="9">
        <v>-1003078671.0045338</v>
      </c>
      <c r="E4643" s="9">
        <v>1724929.0217895508</v>
      </c>
      <c r="F4643" s="257" t="s">
        <v>16232</v>
      </c>
      <c r="G4643" s="9"/>
      <c r="H4643" s="257" t="s">
        <v>22701</v>
      </c>
      <c r="I4643" s="9">
        <v>3</v>
      </c>
    </row>
    <row r="4644" spans="1:9">
      <c r="A4644" s="257" t="s">
        <v>5742</v>
      </c>
      <c r="B4644" s="9">
        <v>7</v>
      </c>
      <c r="C4644" s="257" t="s">
        <v>12170</v>
      </c>
      <c r="D4644" s="9">
        <v>0</v>
      </c>
      <c r="E4644" s="9">
        <v>1724929.0217895508</v>
      </c>
      <c r="F4644" s="257" t="s">
        <v>16232</v>
      </c>
      <c r="G4644" s="9"/>
      <c r="H4644" s="257" t="s">
        <v>22702</v>
      </c>
      <c r="I4644" s="9">
        <v>3</v>
      </c>
    </row>
    <row r="4645" spans="1:9">
      <c r="A4645" s="257" t="s">
        <v>5743</v>
      </c>
      <c r="B4645" s="9">
        <v>7</v>
      </c>
      <c r="C4645" s="257" t="s">
        <v>12171</v>
      </c>
      <c r="D4645" s="9">
        <v>-581.51880937331339</v>
      </c>
      <c r="E4645" s="9">
        <v>1724929.0217895508</v>
      </c>
      <c r="F4645" s="257" t="s">
        <v>16232</v>
      </c>
      <c r="G4645" s="9"/>
      <c r="H4645" s="257" t="s">
        <v>22703</v>
      </c>
      <c r="I4645" s="9">
        <v>3</v>
      </c>
    </row>
    <row r="4646" spans="1:9">
      <c r="A4646" s="257" t="s">
        <v>5744</v>
      </c>
      <c r="B4646" s="9">
        <v>7</v>
      </c>
      <c r="C4646" s="257" t="s">
        <v>12172</v>
      </c>
      <c r="D4646" s="9">
        <v>1304786.1332626343</v>
      </c>
      <c r="E4646" s="9">
        <v>1724929.0217895508</v>
      </c>
      <c r="F4646" s="257" t="s">
        <v>16233</v>
      </c>
      <c r="G4646" s="9"/>
      <c r="H4646" s="257" t="s">
        <v>22704</v>
      </c>
      <c r="I4646" s="9">
        <v>3</v>
      </c>
    </row>
    <row r="4647" spans="1:9">
      <c r="A4647" s="257" t="s">
        <v>5745</v>
      </c>
      <c r="B4647" s="9">
        <v>7</v>
      </c>
      <c r="C4647" s="257" t="s">
        <v>12173</v>
      </c>
      <c r="D4647" s="9">
        <v>6997040615.6519852</v>
      </c>
      <c r="E4647" s="9">
        <v>1724929.0217895508</v>
      </c>
      <c r="F4647" s="257" t="s">
        <v>16233</v>
      </c>
      <c r="G4647" s="9"/>
      <c r="H4647" s="257" t="s">
        <v>22705</v>
      </c>
      <c r="I4647" s="9">
        <v>3</v>
      </c>
    </row>
    <row r="4648" spans="1:9">
      <c r="A4648" s="257" t="s">
        <v>5746</v>
      </c>
      <c r="B4648" s="9">
        <v>7</v>
      </c>
      <c r="C4648" s="257" t="s">
        <v>12174</v>
      </c>
      <c r="D4648" s="9">
        <v>0.75642888303251243</v>
      </c>
      <c r="E4648" s="9">
        <v>1724929.0217895508</v>
      </c>
      <c r="F4648" s="257" t="s">
        <v>16233</v>
      </c>
      <c r="G4648" s="9"/>
      <c r="H4648" s="257" t="s">
        <v>22706</v>
      </c>
      <c r="I4648" s="9">
        <v>3</v>
      </c>
    </row>
    <row r="4649" spans="1:9">
      <c r="A4649" s="257" t="s">
        <v>5747</v>
      </c>
      <c r="B4649" s="9">
        <v>7</v>
      </c>
      <c r="C4649" s="257" t="s">
        <v>12175</v>
      </c>
      <c r="D4649" s="9">
        <v>4056.4223381161569</v>
      </c>
      <c r="E4649" s="9">
        <v>1724929.0217895508</v>
      </c>
      <c r="F4649" s="257" t="s">
        <v>16233</v>
      </c>
      <c r="G4649" s="9"/>
      <c r="H4649" s="257" t="s">
        <v>22707</v>
      </c>
      <c r="I4649" s="9">
        <v>3</v>
      </c>
    </row>
    <row r="4650" spans="1:9">
      <c r="A4650" s="257" t="s">
        <v>5748</v>
      </c>
      <c r="B4650" s="9">
        <v>7</v>
      </c>
      <c r="C4650" s="257" t="s">
        <v>12176</v>
      </c>
      <c r="D4650" s="9">
        <v>179535.82540893555</v>
      </c>
      <c r="E4650" s="9">
        <v>1724929.0217895508</v>
      </c>
      <c r="F4650" s="257" t="s">
        <v>16234</v>
      </c>
      <c r="G4650" s="9"/>
      <c r="H4650" s="257" t="s">
        <v>22708</v>
      </c>
      <c r="I4650" s="9">
        <v>3</v>
      </c>
    </row>
    <row r="4651" spans="1:9">
      <c r="A4651" s="257" t="s">
        <v>5749</v>
      </c>
      <c r="B4651" s="9">
        <v>7</v>
      </c>
      <c r="C4651" s="257" t="s">
        <v>12177</v>
      </c>
      <c r="D4651" s="9">
        <v>417972192.05514735</v>
      </c>
      <c r="E4651" s="9">
        <v>1724929.0217895508</v>
      </c>
      <c r="F4651" s="257" t="s">
        <v>16234</v>
      </c>
      <c r="G4651" s="9"/>
      <c r="H4651" s="257" t="s">
        <v>22709</v>
      </c>
      <c r="I4651" s="9">
        <v>3</v>
      </c>
    </row>
    <row r="4652" spans="1:9">
      <c r="A4652" s="257" t="s">
        <v>5750</v>
      </c>
      <c r="B4652" s="9">
        <v>7</v>
      </c>
      <c r="C4652" s="257" t="s">
        <v>12178</v>
      </c>
      <c r="D4652" s="9">
        <v>0.10408302204961088</v>
      </c>
      <c r="E4652" s="9">
        <v>1724929.0217895508</v>
      </c>
      <c r="F4652" s="257" t="s">
        <v>16234</v>
      </c>
      <c r="G4652" s="9"/>
      <c r="H4652" s="257" t="s">
        <v>22710</v>
      </c>
      <c r="I4652" s="9">
        <v>3</v>
      </c>
    </row>
    <row r="4653" spans="1:9">
      <c r="A4653" s="257" t="s">
        <v>5751</v>
      </c>
      <c r="B4653" s="9">
        <v>7</v>
      </c>
      <c r="C4653" s="257" t="s">
        <v>12179</v>
      </c>
      <c r="D4653" s="9">
        <v>242.31269042103338</v>
      </c>
      <c r="E4653" s="9">
        <v>1724929.0217895508</v>
      </c>
      <c r="F4653" s="257" t="s">
        <v>16234</v>
      </c>
      <c r="G4653" s="9"/>
      <c r="H4653" s="257" t="s">
        <v>22711</v>
      </c>
      <c r="I4653" s="9">
        <v>3</v>
      </c>
    </row>
    <row r="4654" spans="1:9">
      <c r="A4654" s="257" t="s">
        <v>5752</v>
      </c>
      <c r="B4654" s="9">
        <v>7</v>
      </c>
      <c r="C4654" s="257" t="s">
        <v>12180</v>
      </c>
      <c r="D4654" s="9">
        <v>1147029.032371521</v>
      </c>
      <c r="E4654" s="9">
        <v>1724929.0217895508</v>
      </c>
      <c r="F4654" s="257" t="s">
        <v>16235</v>
      </c>
      <c r="G4654" s="9"/>
      <c r="H4654" s="257" t="s">
        <v>22712</v>
      </c>
      <c r="I4654" s="9">
        <v>3</v>
      </c>
    </row>
    <row r="4655" spans="1:9">
      <c r="A4655" s="257" t="s">
        <v>5753</v>
      </c>
      <c r="B4655" s="9">
        <v>7</v>
      </c>
      <c r="C4655" s="257" t="s">
        <v>12181</v>
      </c>
      <c r="D4655" s="9">
        <v>2852617983.0007524</v>
      </c>
      <c r="E4655" s="9">
        <v>1724929.0217895508</v>
      </c>
      <c r="F4655" s="257" t="s">
        <v>16235</v>
      </c>
      <c r="G4655" s="9"/>
      <c r="H4655" s="257" t="s">
        <v>22713</v>
      </c>
      <c r="I4655" s="9">
        <v>3</v>
      </c>
    </row>
    <row r="4656" spans="1:9">
      <c r="A4656" s="257" t="s">
        <v>5754</v>
      </c>
      <c r="B4656" s="9">
        <v>7</v>
      </c>
      <c r="C4656" s="257" t="s">
        <v>12182</v>
      </c>
      <c r="D4656" s="9">
        <v>0.66497172804334892</v>
      </c>
      <c r="E4656" s="9">
        <v>1724929.0217895508</v>
      </c>
      <c r="F4656" s="257" t="s">
        <v>16235</v>
      </c>
      <c r="G4656" s="9"/>
      <c r="H4656" s="257" t="s">
        <v>22714</v>
      </c>
      <c r="I4656" s="9">
        <v>3</v>
      </c>
    </row>
    <row r="4657" spans="1:9">
      <c r="A4657" s="257" t="s">
        <v>5755</v>
      </c>
      <c r="B4657" s="9">
        <v>7</v>
      </c>
      <c r="C4657" s="257" t="s">
        <v>12183</v>
      </c>
      <c r="D4657" s="9">
        <v>1653.7596312463138</v>
      </c>
      <c r="E4657" s="9">
        <v>1724929.0217895508</v>
      </c>
      <c r="F4657" s="257" t="s">
        <v>16235</v>
      </c>
      <c r="G4657" s="9"/>
      <c r="H4657" s="257" t="s">
        <v>22715</v>
      </c>
      <c r="I4657" s="9">
        <v>3</v>
      </c>
    </row>
    <row r="4658" spans="1:9">
      <c r="A4658" s="257" t="s">
        <v>5756</v>
      </c>
      <c r="B4658" s="9">
        <v>7</v>
      </c>
      <c r="C4658" s="257" t="s">
        <v>12184</v>
      </c>
      <c r="D4658" s="9">
        <v>0</v>
      </c>
      <c r="E4658" s="9">
        <v>1724929.0217895508</v>
      </c>
      <c r="F4658" s="257" t="s">
        <v>16236</v>
      </c>
      <c r="G4658" s="9"/>
      <c r="H4658" s="257" t="s">
        <v>22716</v>
      </c>
      <c r="I4658" s="9">
        <v>3</v>
      </c>
    </row>
    <row r="4659" spans="1:9">
      <c r="A4659" s="257" t="s">
        <v>5757</v>
      </c>
      <c r="B4659" s="9">
        <v>7</v>
      </c>
      <c r="C4659" s="257" t="s">
        <v>12185</v>
      </c>
      <c r="D4659" s="9">
        <v>0</v>
      </c>
      <c r="E4659" s="9">
        <v>1724929.0217895508</v>
      </c>
      <c r="F4659" s="257" t="s">
        <v>16236</v>
      </c>
      <c r="G4659" s="9"/>
      <c r="H4659" s="257" t="s">
        <v>22717</v>
      </c>
      <c r="I4659" s="9">
        <v>3</v>
      </c>
    </row>
    <row r="4660" spans="1:9">
      <c r="A4660" s="257" t="s">
        <v>5758</v>
      </c>
      <c r="B4660" s="9">
        <v>7</v>
      </c>
      <c r="C4660" s="257" t="s">
        <v>12186</v>
      </c>
      <c r="D4660" s="9">
        <v>0</v>
      </c>
      <c r="E4660" s="9">
        <v>1724929.0217895508</v>
      </c>
      <c r="F4660" s="257" t="s">
        <v>16236</v>
      </c>
      <c r="G4660" s="9"/>
      <c r="H4660" s="257" t="s">
        <v>22718</v>
      </c>
      <c r="I4660" s="9">
        <v>3</v>
      </c>
    </row>
    <row r="4661" spans="1:9">
      <c r="A4661" s="257" t="s">
        <v>5759</v>
      </c>
      <c r="B4661" s="9">
        <v>7</v>
      </c>
      <c r="C4661" s="257" t="s">
        <v>12187</v>
      </c>
      <c r="D4661" s="9">
        <v>0</v>
      </c>
      <c r="E4661" s="9">
        <v>1724929.0217895508</v>
      </c>
      <c r="F4661" s="257" t="s">
        <v>16236</v>
      </c>
      <c r="G4661" s="9"/>
      <c r="H4661" s="257" t="s">
        <v>22719</v>
      </c>
      <c r="I4661" s="9">
        <v>3</v>
      </c>
    </row>
    <row r="4662" spans="1:9">
      <c r="A4662" s="257" t="s">
        <v>5760</v>
      </c>
      <c r="B4662" s="9">
        <v>8</v>
      </c>
      <c r="C4662" s="257" t="s">
        <v>12188</v>
      </c>
      <c r="D4662" s="9">
        <v>1369300.6716537476</v>
      </c>
      <c r="E4662" s="9">
        <v>1724851.1857852936</v>
      </c>
      <c r="F4662" s="257" t="s">
        <v>16237</v>
      </c>
      <c r="G4662" s="9"/>
      <c r="H4662" s="257" t="s">
        <v>22720</v>
      </c>
      <c r="I4662" s="9">
        <v>3</v>
      </c>
    </row>
    <row r="4663" spans="1:9">
      <c r="A4663" s="257" t="s">
        <v>5761</v>
      </c>
      <c r="B4663" s="9">
        <v>8</v>
      </c>
      <c r="C4663" s="257" t="s">
        <v>12189</v>
      </c>
      <c r="D4663" s="9">
        <v>7437508738.2445278</v>
      </c>
      <c r="E4663" s="9">
        <v>1724851.1857852936</v>
      </c>
      <c r="F4663" s="257" t="s">
        <v>16237</v>
      </c>
      <c r="G4663" s="9"/>
      <c r="H4663" s="257" t="s">
        <v>22721</v>
      </c>
      <c r="I4663" s="9">
        <v>3</v>
      </c>
    </row>
    <row r="4664" spans="1:9">
      <c r="A4664" s="257" t="s">
        <v>5762</v>
      </c>
      <c r="B4664" s="9">
        <v>8</v>
      </c>
      <c r="C4664" s="257" t="s">
        <v>12190</v>
      </c>
      <c r="D4664" s="9">
        <v>0.79386597692503524</v>
      </c>
      <c r="E4664" s="9">
        <v>1724851.1857852936</v>
      </c>
      <c r="F4664" s="257" t="s">
        <v>16237</v>
      </c>
      <c r="G4664" s="9"/>
      <c r="H4664" s="257" t="s">
        <v>22722</v>
      </c>
      <c r="I4664" s="9">
        <v>3</v>
      </c>
    </row>
    <row r="4665" spans="1:9">
      <c r="A4665" s="257" t="s">
        <v>5763</v>
      </c>
      <c r="B4665" s="9">
        <v>8</v>
      </c>
      <c r="C4665" s="257" t="s">
        <v>12191</v>
      </c>
      <c r="D4665" s="9">
        <v>4311.9712584702575</v>
      </c>
      <c r="E4665" s="9">
        <v>1724851.1857852936</v>
      </c>
      <c r="F4665" s="257" t="s">
        <v>16237</v>
      </c>
      <c r="G4665" s="9"/>
      <c r="H4665" s="257" t="s">
        <v>22723</v>
      </c>
      <c r="I4665" s="9">
        <v>3</v>
      </c>
    </row>
    <row r="4666" spans="1:9">
      <c r="A4666" s="257" t="s">
        <v>5764</v>
      </c>
      <c r="B4666" s="9">
        <v>8</v>
      </c>
      <c r="C4666" s="257" t="s">
        <v>12192</v>
      </c>
      <c r="D4666" s="9">
        <v>0</v>
      </c>
      <c r="E4666" s="9">
        <v>1724851.1857852936</v>
      </c>
      <c r="F4666" s="257" t="s">
        <v>16238</v>
      </c>
      <c r="G4666" s="9"/>
      <c r="H4666" s="257" t="s">
        <v>22724</v>
      </c>
      <c r="I4666" s="9">
        <v>3</v>
      </c>
    </row>
    <row r="4667" spans="1:9">
      <c r="A4667" s="257" t="s">
        <v>5765</v>
      </c>
      <c r="B4667" s="9">
        <v>8</v>
      </c>
      <c r="C4667" s="257" t="s">
        <v>12193</v>
      </c>
      <c r="D4667" s="9">
        <v>0</v>
      </c>
      <c r="E4667" s="9">
        <v>1724851.1857852936</v>
      </c>
      <c r="F4667" s="257" t="s">
        <v>16238</v>
      </c>
      <c r="G4667" s="9"/>
      <c r="H4667" s="257" t="s">
        <v>22725</v>
      </c>
      <c r="I4667" s="9">
        <v>3</v>
      </c>
    </row>
    <row r="4668" spans="1:9">
      <c r="A4668" s="257" t="s">
        <v>5766</v>
      </c>
      <c r="B4668" s="9">
        <v>8</v>
      </c>
      <c r="C4668" s="257" t="s">
        <v>12194</v>
      </c>
      <c r="D4668" s="9">
        <v>0</v>
      </c>
      <c r="E4668" s="9">
        <v>1724851.1857852936</v>
      </c>
      <c r="F4668" s="257" t="s">
        <v>16238</v>
      </c>
      <c r="G4668" s="9"/>
      <c r="H4668" s="257" t="s">
        <v>22726</v>
      </c>
      <c r="I4668" s="9">
        <v>3</v>
      </c>
    </row>
    <row r="4669" spans="1:9">
      <c r="A4669" s="257" t="s">
        <v>5767</v>
      </c>
      <c r="B4669" s="9">
        <v>8</v>
      </c>
      <c r="C4669" s="257" t="s">
        <v>12195</v>
      </c>
      <c r="D4669" s="9">
        <v>0</v>
      </c>
      <c r="E4669" s="9">
        <v>1724851.1857852936</v>
      </c>
      <c r="F4669" s="257" t="s">
        <v>16238</v>
      </c>
      <c r="G4669" s="9"/>
      <c r="H4669" s="257" t="s">
        <v>22727</v>
      </c>
      <c r="I4669" s="9">
        <v>3</v>
      </c>
    </row>
    <row r="4670" spans="1:9">
      <c r="A4670" s="257" t="s">
        <v>5768</v>
      </c>
      <c r="B4670" s="9">
        <v>8</v>
      </c>
      <c r="C4670" s="257" t="s">
        <v>12196</v>
      </c>
      <c r="D4670" s="9">
        <v>0</v>
      </c>
      <c r="E4670" s="9">
        <v>1724851.1857852936</v>
      </c>
      <c r="F4670" s="257" t="s">
        <v>16239</v>
      </c>
      <c r="G4670" s="9"/>
      <c r="H4670" s="257" t="s">
        <v>22728</v>
      </c>
      <c r="I4670" s="9">
        <v>3</v>
      </c>
    </row>
    <row r="4671" spans="1:9">
      <c r="A4671" s="257" t="s">
        <v>5769</v>
      </c>
      <c r="B4671" s="9">
        <v>8</v>
      </c>
      <c r="C4671" s="257" t="s">
        <v>12197</v>
      </c>
      <c r="D4671" s="9">
        <v>0</v>
      </c>
      <c r="E4671" s="9">
        <v>1724851.1857852936</v>
      </c>
      <c r="F4671" s="257" t="s">
        <v>16239</v>
      </c>
      <c r="G4671" s="9"/>
      <c r="H4671" s="257" t="s">
        <v>22729</v>
      </c>
      <c r="I4671" s="9">
        <v>3</v>
      </c>
    </row>
    <row r="4672" spans="1:9">
      <c r="A4672" s="257" t="s">
        <v>5770</v>
      </c>
      <c r="B4672" s="9">
        <v>8</v>
      </c>
      <c r="C4672" s="257" t="s">
        <v>12198</v>
      </c>
      <c r="D4672" s="9">
        <v>0</v>
      </c>
      <c r="E4672" s="9">
        <v>1724851.1857852936</v>
      </c>
      <c r="F4672" s="257" t="s">
        <v>16239</v>
      </c>
      <c r="G4672" s="9"/>
      <c r="H4672" s="257" t="s">
        <v>22730</v>
      </c>
      <c r="I4672" s="9">
        <v>3</v>
      </c>
    </row>
    <row r="4673" spans="1:9">
      <c r="A4673" s="257" t="s">
        <v>5771</v>
      </c>
      <c r="B4673" s="9">
        <v>8</v>
      </c>
      <c r="C4673" s="257" t="s">
        <v>12199</v>
      </c>
      <c r="D4673" s="9">
        <v>0</v>
      </c>
      <c r="E4673" s="9">
        <v>1724851.1857852936</v>
      </c>
      <c r="F4673" s="257" t="s">
        <v>16239</v>
      </c>
      <c r="G4673" s="9"/>
      <c r="H4673" s="257" t="s">
        <v>22731</v>
      </c>
      <c r="I4673" s="9">
        <v>3</v>
      </c>
    </row>
    <row r="4674" spans="1:9">
      <c r="A4674" s="257" t="s">
        <v>5772</v>
      </c>
      <c r="B4674" s="9">
        <v>8</v>
      </c>
      <c r="C4674" s="257" t="s">
        <v>12200</v>
      </c>
      <c r="D4674" s="9">
        <v>0</v>
      </c>
      <c r="E4674" s="9">
        <v>1724851.1857852936</v>
      </c>
      <c r="F4674" s="257" t="s">
        <v>16240</v>
      </c>
      <c r="G4674" s="9"/>
      <c r="H4674" s="257" t="s">
        <v>22732</v>
      </c>
      <c r="I4674" s="9">
        <v>3</v>
      </c>
    </row>
    <row r="4675" spans="1:9">
      <c r="A4675" s="257" t="s">
        <v>5773</v>
      </c>
      <c r="B4675" s="9">
        <v>8</v>
      </c>
      <c r="C4675" s="257" t="s">
        <v>12201</v>
      </c>
      <c r="D4675" s="9">
        <v>0</v>
      </c>
      <c r="E4675" s="9">
        <v>1724851.1857852936</v>
      </c>
      <c r="F4675" s="257" t="s">
        <v>16240</v>
      </c>
      <c r="G4675" s="9"/>
      <c r="H4675" s="257" t="s">
        <v>22733</v>
      </c>
      <c r="I4675" s="9">
        <v>3</v>
      </c>
    </row>
    <row r="4676" spans="1:9">
      <c r="A4676" s="257" t="s">
        <v>5774</v>
      </c>
      <c r="B4676" s="9">
        <v>8</v>
      </c>
      <c r="C4676" s="257" t="s">
        <v>12202</v>
      </c>
      <c r="D4676" s="9">
        <v>0</v>
      </c>
      <c r="E4676" s="9">
        <v>1724851.1857852936</v>
      </c>
      <c r="F4676" s="257" t="s">
        <v>16240</v>
      </c>
      <c r="G4676" s="9"/>
      <c r="H4676" s="257" t="s">
        <v>22734</v>
      </c>
      <c r="I4676" s="9">
        <v>3</v>
      </c>
    </row>
    <row r="4677" spans="1:9">
      <c r="A4677" s="257" t="s">
        <v>5775</v>
      </c>
      <c r="B4677" s="9">
        <v>8</v>
      </c>
      <c r="C4677" s="257" t="s">
        <v>12203</v>
      </c>
      <c r="D4677" s="9">
        <v>0</v>
      </c>
      <c r="E4677" s="9">
        <v>1724851.1857852936</v>
      </c>
      <c r="F4677" s="257" t="s">
        <v>16240</v>
      </c>
      <c r="G4677" s="9"/>
      <c r="H4677" s="257" t="s">
        <v>22735</v>
      </c>
      <c r="I4677" s="9">
        <v>3</v>
      </c>
    </row>
    <row r="4678" spans="1:9">
      <c r="A4678" s="257" t="s">
        <v>5776</v>
      </c>
      <c r="B4678" s="9">
        <v>8</v>
      </c>
      <c r="C4678" s="257" t="s">
        <v>12204</v>
      </c>
      <c r="D4678" s="9">
        <v>0</v>
      </c>
      <c r="E4678" s="9">
        <v>1724851.1857852936</v>
      </c>
      <c r="F4678" s="257" t="s">
        <v>16241</v>
      </c>
      <c r="G4678" s="9"/>
      <c r="H4678" s="257" t="s">
        <v>22736</v>
      </c>
      <c r="I4678" s="9">
        <v>3</v>
      </c>
    </row>
    <row r="4679" spans="1:9">
      <c r="A4679" s="257" t="s">
        <v>5777</v>
      </c>
      <c r="B4679" s="9">
        <v>8</v>
      </c>
      <c r="C4679" s="257" t="s">
        <v>12205</v>
      </c>
      <c r="D4679" s="9">
        <v>0</v>
      </c>
      <c r="E4679" s="9">
        <v>1724851.1857852936</v>
      </c>
      <c r="F4679" s="257" t="s">
        <v>16241</v>
      </c>
      <c r="G4679" s="9"/>
      <c r="H4679" s="257" t="s">
        <v>22737</v>
      </c>
      <c r="I4679" s="9">
        <v>3</v>
      </c>
    </row>
    <row r="4680" spans="1:9">
      <c r="A4680" s="257" t="s">
        <v>5778</v>
      </c>
      <c r="B4680" s="9">
        <v>8</v>
      </c>
      <c r="C4680" s="257" t="s">
        <v>12206</v>
      </c>
      <c r="D4680" s="9">
        <v>0</v>
      </c>
      <c r="E4680" s="9">
        <v>1724851.1857852936</v>
      </c>
      <c r="F4680" s="257" t="s">
        <v>16241</v>
      </c>
      <c r="G4680" s="9"/>
      <c r="H4680" s="257" t="s">
        <v>22738</v>
      </c>
      <c r="I4680" s="9">
        <v>3</v>
      </c>
    </row>
    <row r="4681" spans="1:9">
      <c r="A4681" s="257" t="s">
        <v>5779</v>
      </c>
      <c r="B4681" s="9">
        <v>8</v>
      </c>
      <c r="C4681" s="257" t="s">
        <v>12207</v>
      </c>
      <c r="D4681" s="9">
        <v>0</v>
      </c>
      <c r="E4681" s="9">
        <v>1724851.1857852936</v>
      </c>
      <c r="F4681" s="257" t="s">
        <v>16241</v>
      </c>
      <c r="G4681" s="9"/>
      <c r="H4681" s="257" t="s">
        <v>22739</v>
      </c>
      <c r="I4681" s="9">
        <v>3</v>
      </c>
    </row>
    <row r="4682" spans="1:9">
      <c r="A4682" s="257" t="s">
        <v>5780</v>
      </c>
      <c r="B4682" s="9">
        <v>8</v>
      </c>
      <c r="C4682" s="257" t="s">
        <v>12208</v>
      </c>
      <c r="D4682" s="9">
        <v>0</v>
      </c>
      <c r="E4682" s="9">
        <v>1724851.1857852936</v>
      </c>
      <c r="F4682" s="257" t="s">
        <v>16242</v>
      </c>
      <c r="G4682" s="9"/>
      <c r="H4682" s="257" t="s">
        <v>22740</v>
      </c>
      <c r="I4682" s="9">
        <v>3</v>
      </c>
    </row>
    <row r="4683" spans="1:9">
      <c r="A4683" s="257" t="s">
        <v>5781</v>
      </c>
      <c r="B4683" s="9">
        <v>8</v>
      </c>
      <c r="C4683" s="257" t="s">
        <v>12209</v>
      </c>
      <c r="D4683" s="9">
        <v>0</v>
      </c>
      <c r="E4683" s="9">
        <v>1724851.1857852936</v>
      </c>
      <c r="F4683" s="257" t="s">
        <v>16242</v>
      </c>
      <c r="G4683" s="9"/>
      <c r="H4683" s="257" t="s">
        <v>22741</v>
      </c>
      <c r="I4683" s="9">
        <v>3</v>
      </c>
    </row>
    <row r="4684" spans="1:9">
      <c r="A4684" s="257" t="s">
        <v>5782</v>
      </c>
      <c r="B4684" s="9">
        <v>8</v>
      </c>
      <c r="C4684" s="257" t="s">
        <v>12210</v>
      </c>
      <c r="D4684" s="9">
        <v>0</v>
      </c>
      <c r="E4684" s="9">
        <v>1724851.1857852936</v>
      </c>
      <c r="F4684" s="257" t="s">
        <v>16242</v>
      </c>
      <c r="G4684" s="9"/>
      <c r="H4684" s="257" t="s">
        <v>22742</v>
      </c>
      <c r="I4684" s="9">
        <v>3</v>
      </c>
    </row>
    <row r="4685" spans="1:9">
      <c r="A4685" s="257" t="s">
        <v>5783</v>
      </c>
      <c r="B4685" s="9">
        <v>8</v>
      </c>
      <c r="C4685" s="257" t="s">
        <v>12211</v>
      </c>
      <c r="D4685" s="9">
        <v>0</v>
      </c>
      <c r="E4685" s="9">
        <v>1724851.1857852936</v>
      </c>
      <c r="F4685" s="257" t="s">
        <v>16242</v>
      </c>
      <c r="G4685" s="9"/>
      <c r="H4685" s="257" t="s">
        <v>22743</v>
      </c>
      <c r="I4685" s="9">
        <v>3</v>
      </c>
    </row>
    <row r="4686" spans="1:9">
      <c r="A4686" s="257" t="s">
        <v>5784</v>
      </c>
      <c r="B4686" s="9">
        <v>8</v>
      </c>
      <c r="C4686" s="257" t="s">
        <v>12212</v>
      </c>
      <c r="D4686" s="9">
        <v>0</v>
      </c>
      <c r="E4686" s="9">
        <v>1724851.1857852936</v>
      </c>
      <c r="F4686" s="257" t="s">
        <v>16243</v>
      </c>
      <c r="G4686" s="9"/>
      <c r="H4686" s="257" t="s">
        <v>22744</v>
      </c>
      <c r="I4686" s="9">
        <v>3</v>
      </c>
    </row>
    <row r="4687" spans="1:9">
      <c r="A4687" s="257" t="s">
        <v>5785</v>
      </c>
      <c r="B4687" s="9">
        <v>8</v>
      </c>
      <c r="C4687" s="257" t="s">
        <v>12213</v>
      </c>
      <c r="D4687" s="9">
        <v>0</v>
      </c>
      <c r="E4687" s="9">
        <v>1724851.1857852936</v>
      </c>
      <c r="F4687" s="257" t="s">
        <v>16243</v>
      </c>
      <c r="G4687" s="9"/>
      <c r="H4687" s="257" t="s">
        <v>22745</v>
      </c>
      <c r="I4687" s="9">
        <v>3</v>
      </c>
    </row>
    <row r="4688" spans="1:9">
      <c r="A4688" s="257" t="s">
        <v>5786</v>
      </c>
      <c r="B4688" s="9">
        <v>8</v>
      </c>
      <c r="C4688" s="257" t="s">
        <v>12214</v>
      </c>
      <c r="D4688" s="9">
        <v>0</v>
      </c>
      <c r="E4688" s="9">
        <v>1724851.1857852936</v>
      </c>
      <c r="F4688" s="257" t="s">
        <v>16243</v>
      </c>
      <c r="G4688" s="9"/>
      <c r="H4688" s="257" t="s">
        <v>22746</v>
      </c>
      <c r="I4688" s="9">
        <v>3</v>
      </c>
    </row>
    <row r="4689" spans="1:9">
      <c r="A4689" s="257" t="s">
        <v>5787</v>
      </c>
      <c r="B4689" s="9">
        <v>8</v>
      </c>
      <c r="C4689" s="257" t="s">
        <v>12215</v>
      </c>
      <c r="D4689" s="9">
        <v>0</v>
      </c>
      <c r="E4689" s="9">
        <v>1724851.1857852936</v>
      </c>
      <c r="F4689" s="257" t="s">
        <v>16243</v>
      </c>
      <c r="G4689" s="9"/>
      <c r="H4689" s="257" t="s">
        <v>22747</v>
      </c>
      <c r="I4689" s="9">
        <v>3</v>
      </c>
    </row>
    <row r="4690" spans="1:9">
      <c r="A4690" s="257" t="s">
        <v>5788</v>
      </c>
      <c r="B4690" s="9">
        <v>8</v>
      </c>
      <c r="C4690" s="257" t="s">
        <v>12216</v>
      </c>
      <c r="D4690" s="9">
        <v>0</v>
      </c>
      <c r="E4690" s="9">
        <v>1724851.1857852936</v>
      </c>
      <c r="F4690" s="257" t="s">
        <v>16244</v>
      </c>
      <c r="G4690" s="9"/>
      <c r="H4690" s="257" t="s">
        <v>22748</v>
      </c>
      <c r="I4690" s="9">
        <v>3</v>
      </c>
    </row>
    <row r="4691" spans="1:9">
      <c r="A4691" s="257" t="s">
        <v>5789</v>
      </c>
      <c r="B4691" s="9">
        <v>8</v>
      </c>
      <c r="C4691" s="257" t="s">
        <v>12217</v>
      </c>
      <c r="D4691" s="9">
        <v>0</v>
      </c>
      <c r="E4691" s="9">
        <v>1724851.1857852936</v>
      </c>
      <c r="F4691" s="257" t="s">
        <v>16244</v>
      </c>
      <c r="G4691" s="9"/>
      <c r="H4691" s="257" t="s">
        <v>22749</v>
      </c>
      <c r="I4691" s="9">
        <v>3</v>
      </c>
    </row>
    <row r="4692" spans="1:9">
      <c r="A4692" s="257" t="s">
        <v>5790</v>
      </c>
      <c r="B4692" s="9">
        <v>8</v>
      </c>
      <c r="C4692" s="257" t="s">
        <v>12218</v>
      </c>
      <c r="D4692" s="9">
        <v>0</v>
      </c>
      <c r="E4692" s="9">
        <v>1724851.1857852936</v>
      </c>
      <c r="F4692" s="257" t="s">
        <v>16244</v>
      </c>
      <c r="G4692" s="9"/>
      <c r="H4692" s="257" t="s">
        <v>22750</v>
      </c>
      <c r="I4692" s="9">
        <v>3</v>
      </c>
    </row>
    <row r="4693" spans="1:9">
      <c r="A4693" s="257" t="s">
        <v>5791</v>
      </c>
      <c r="B4693" s="9">
        <v>8</v>
      </c>
      <c r="C4693" s="257" t="s">
        <v>12219</v>
      </c>
      <c r="D4693" s="9">
        <v>0</v>
      </c>
      <c r="E4693" s="9">
        <v>1724851.1857852936</v>
      </c>
      <c r="F4693" s="257" t="s">
        <v>16244</v>
      </c>
      <c r="G4693" s="9"/>
      <c r="H4693" s="257" t="s">
        <v>22751</v>
      </c>
      <c r="I4693" s="9">
        <v>3</v>
      </c>
    </row>
    <row r="4694" spans="1:9">
      <c r="A4694" s="257" t="s">
        <v>5792</v>
      </c>
      <c r="B4694" s="9">
        <v>8</v>
      </c>
      <c r="C4694" s="257" t="s">
        <v>12220</v>
      </c>
      <c r="D4694" s="9">
        <v>1722139.7912540436</v>
      </c>
      <c r="E4694" s="9">
        <v>1724851.1857852936</v>
      </c>
      <c r="F4694" s="257" t="s">
        <v>16245</v>
      </c>
      <c r="G4694" s="9"/>
      <c r="H4694" s="257" t="s">
        <v>22752</v>
      </c>
      <c r="I4694" s="9">
        <v>3</v>
      </c>
    </row>
    <row r="4695" spans="1:9">
      <c r="A4695" s="257" t="s">
        <v>5793</v>
      </c>
      <c r="B4695" s="9">
        <v>8</v>
      </c>
      <c r="C4695" s="257" t="s">
        <v>12221</v>
      </c>
      <c r="D4695" s="9">
        <v>13949422105.904133</v>
      </c>
      <c r="E4695" s="9">
        <v>1724851.1857852936</v>
      </c>
      <c r="F4695" s="257" t="s">
        <v>16245</v>
      </c>
      <c r="G4695" s="9"/>
      <c r="H4695" s="257" t="s">
        <v>22753</v>
      </c>
      <c r="I4695" s="9">
        <v>3</v>
      </c>
    </row>
    <row r="4696" spans="1:9">
      <c r="A4696" s="257" t="s">
        <v>5794</v>
      </c>
      <c r="B4696" s="9">
        <v>8</v>
      </c>
      <c r="C4696" s="257" t="s">
        <v>12222</v>
      </c>
      <c r="D4696" s="9">
        <v>0.99842804147187014</v>
      </c>
      <c r="E4696" s="9">
        <v>1724851.1857852936</v>
      </c>
      <c r="F4696" s="257" t="s">
        <v>16245</v>
      </c>
      <c r="G4696" s="9"/>
      <c r="H4696" s="257" t="s">
        <v>22754</v>
      </c>
      <c r="I4696" s="9">
        <v>3</v>
      </c>
    </row>
    <row r="4697" spans="1:9">
      <c r="A4697" s="257" t="s">
        <v>5795</v>
      </c>
      <c r="B4697" s="9">
        <v>8</v>
      </c>
      <c r="C4697" s="257" t="s">
        <v>12223</v>
      </c>
      <c r="D4697" s="9">
        <v>8087.3191964982261</v>
      </c>
      <c r="E4697" s="9">
        <v>1724851.1857852936</v>
      </c>
      <c r="F4697" s="257" t="s">
        <v>16245</v>
      </c>
      <c r="G4697" s="9"/>
      <c r="H4697" s="257" t="s">
        <v>22755</v>
      </c>
      <c r="I4697" s="9">
        <v>3</v>
      </c>
    </row>
    <row r="4698" spans="1:9">
      <c r="A4698" s="257" t="s">
        <v>5796</v>
      </c>
      <c r="B4698" s="9">
        <v>8</v>
      </c>
      <c r="C4698" s="257" t="s">
        <v>12224</v>
      </c>
      <c r="D4698" s="9">
        <v>1722139.7912540436</v>
      </c>
      <c r="E4698" s="9">
        <v>1724851.1857852936</v>
      </c>
      <c r="F4698" s="257" t="s">
        <v>16246</v>
      </c>
      <c r="G4698" s="9"/>
      <c r="H4698" s="257" t="s">
        <v>22756</v>
      </c>
      <c r="I4698" s="9">
        <v>3</v>
      </c>
    </row>
    <row r="4699" spans="1:9">
      <c r="A4699" s="257" t="s">
        <v>5797</v>
      </c>
      <c r="B4699" s="9">
        <v>8</v>
      </c>
      <c r="C4699" s="257" t="s">
        <v>12225</v>
      </c>
      <c r="D4699" s="9">
        <v>13949422105.904133</v>
      </c>
      <c r="E4699" s="9">
        <v>1724851.1857852936</v>
      </c>
      <c r="F4699" s="257" t="s">
        <v>16246</v>
      </c>
      <c r="G4699" s="9"/>
      <c r="H4699" s="257" t="s">
        <v>22757</v>
      </c>
      <c r="I4699" s="9">
        <v>3</v>
      </c>
    </row>
    <row r="4700" spans="1:9">
      <c r="A4700" s="257" t="s">
        <v>5798</v>
      </c>
      <c r="B4700" s="9">
        <v>8</v>
      </c>
      <c r="C4700" s="257" t="s">
        <v>12226</v>
      </c>
      <c r="D4700" s="9">
        <v>0.99842804147187014</v>
      </c>
      <c r="E4700" s="9">
        <v>1724851.1857852936</v>
      </c>
      <c r="F4700" s="257" t="s">
        <v>16246</v>
      </c>
      <c r="G4700" s="9"/>
      <c r="H4700" s="257" t="s">
        <v>22758</v>
      </c>
      <c r="I4700" s="9">
        <v>3</v>
      </c>
    </row>
    <row r="4701" spans="1:9">
      <c r="A4701" s="257" t="s">
        <v>5799</v>
      </c>
      <c r="B4701" s="9">
        <v>8</v>
      </c>
      <c r="C4701" s="257" t="s">
        <v>12227</v>
      </c>
      <c r="D4701" s="9">
        <v>8087.3191964982261</v>
      </c>
      <c r="E4701" s="9">
        <v>1724851.1857852936</v>
      </c>
      <c r="F4701" s="257" t="s">
        <v>16246</v>
      </c>
      <c r="G4701" s="9"/>
      <c r="H4701" s="257" t="s">
        <v>22759</v>
      </c>
      <c r="I4701" s="9">
        <v>3</v>
      </c>
    </row>
    <row r="4702" spans="1:9">
      <c r="A4702" s="257" t="s">
        <v>5800</v>
      </c>
      <c r="B4702" s="9">
        <v>8</v>
      </c>
      <c r="C4702" s="257" t="s">
        <v>12228</v>
      </c>
      <c r="D4702" s="9">
        <v>1722139.7912540436</v>
      </c>
      <c r="E4702" s="9">
        <v>1724851.1857852936</v>
      </c>
      <c r="F4702" s="257" t="s">
        <v>16247</v>
      </c>
      <c r="G4702" s="9"/>
      <c r="H4702" s="257" t="s">
        <v>22760</v>
      </c>
      <c r="I4702" s="9">
        <v>3</v>
      </c>
    </row>
    <row r="4703" spans="1:9">
      <c r="A4703" s="257" t="s">
        <v>5801</v>
      </c>
      <c r="B4703" s="9">
        <v>8</v>
      </c>
      <c r="C4703" s="257" t="s">
        <v>12229</v>
      </c>
      <c r="D4703" s="9">
        <v>13949422105.904133</v>
      </c>
      <c r="E4703" s="9">
        <v>1724851.1857852936</v>
      </c>
      <c r="F4703" s="257" t="s">
        <v>16247</v>
      </c>
      <c r="G4703" s="9"/>
      <c r="H4703" s="257" t="s">
        <v>22761</v>
      </c>
      <c r="I4703" s="9">
        <v>3</v>
      </c>
    </row>
    <row r="4704" spans="1:9">
      <c r="A4704" s="257" t="s">
        <v>5802</v>
      </c>
      <c r="B4704" s="9">
        <v>8</v>
      </c>
      <c r="C4704" s="257" t="s">
        <v>12230</v>
      </c>
      <c r="D4704" s="9">
        <v>0.99842804147187014</v>
      </c>
      <c r="E4704" s="9">
        <v>1724851.1857852936</v>
      </c>
      <c r="F4704" s="257" t="s">
        <v>16247</v>
      </c>
      <c r="G4704" s="9"/>
      <c r="H4704" s="257" t="s">
        <v>22762</v>
      </c>
      <c r="I4704" s="9">
        <v>3</v>
      </c>
    </row>
    <row r="4705" spans="1:9">
      <c r="A4705" s="257" t="s">
        <v>5803</v>
      </c>
      <c r="B4705" s="9">
        <v>8</v>
      </c>
      <c r="C4705" s="257" t="s">
        <v>12231</v>
      </c>
      <c r="D4705" s="9">
        <v>8087.3191964982261</v>
      </c>
      <c r="E4705" s="9">
        <v>1724851.1857852936</v>
      </c>
      <c r="F4705" s="257" t="s">
        <v>16247</v>
      </c>
      <c r="G4705" s="9"/>
      <c r="H4705" s="257" t="s">
        <v>22763</v>
      </c>
      <c r="I4705" s="9">
        <v>3</v>
      </c>
    </row>
    <row r="4706" spans="1:9">
      <c r="A4706" s="257" t="s">
        <v>5804</v>
      </c>
      <c r="B4706" s="9">
        <v>8</v>
      </c>
      <c r="C4706" s="257" t="s">
        <v>12232</v>
      </c>
      <c r="D4706" s="9">
        <v>1724851.1857852936</v>
      </c>
      <c r="E4706" s="9">
        <v>1724851.1857852936</v>
      </c>
      <c r="F4706" s="257" t="s">
        <v>16248</v>
      </c>
      <c r="G4706" s="9"/>
      <c r="H4706" s="257" t="s">
        <v>22764</v>
      </c>
      <c r="I4706" s="9">
        <v>3</v>
      </c>
    </row>
    <row r="4707" spans="1:9">
      <c r="A4707" s="257" t="s">
        <v>5805</v>
      </c>
      <c r="B4707" s="9">
        <v>8</v>
      </c>
      <c r="C4707" s="257" t="s">
        <v>12233</v>
      </c>
      <c r="D4707" s="9">
        <v>2879761595.3684936</v>
      </c>
      <c r="E4707" s="9">
        <v>1724851.1857852936</v>
      </c>
      <c r="F4707" s="257" t="s">
        <v>16248</v>
      </c>
      <c r="G4707" s="9"/>
      <c r="H4707" s="257" t="s">
        <v>22765</v>
      </c>
      <c r="I4707" s="9">
        <v>3</v>
      </c>
    </row>
    <row r="4708" spans="1:9">
      <c r="A4708" s="257" t="s">
        <v>5806</v>
      </c>
      <c r="B4708" s="9">
        <v>8</v>
      </c>
      <c r="C4708" s="257" t="s">
        <v>12234</v>
      </c>
      <c r="D4708" s="9">
        <v>1</v>
      </c>
      <c r="E4708" s="9">
        <v>1724851.1857852936</v>
      </c>
      <c r="F4708" s="257" t="s">
        <v>16248</v>
      </c>
      <c r="G4708" s="9"/>
      <c r="H4708" s="257" t="s">
        <v>22766</v>
      </c>
      <c r="I4708" s="9">
        <v>3</v>
      </c>
    </row>
    <row r="4709" spans="1:9">
      <c r="A4709" s="257" t="s">
        <v>5807</v>
      </c>
      <c r="B4709" s="9">
        <v>8</v>
      </c>
      <c r="C4709" s="257" t="s">
        <v>12235</v>
      </c>
      <c r="D4709" s="9">
        <v>1669.5710442158465</v>
      </c>
      <c r="E4709" s="9">
        <v>1724851.1857852936</v>
      </c>
      <c r="F4709" s="257" t="s">
        <v>16248</v>
      </c>
      <c r="G4709" s="9"/>
      <c r="H4709" s="257" t="s">
        <v>22767</v>
      </c>
      <c r="I4709" s="9">
        <v>3</v>
      </c>
    </row>
    <row r="4710" spans="1:9">
      <c r="A4710" s="257" t="s">
        <v>5808</v>
      </c>
      <c r="B4710" s="9">
        <v>8</v>
      </c>
      <c r="C4710" s="257" t="s">
        <v>12236</v>
      </c>
      <c r="D4710" s="9">
        <v>1399414.6637954712</v>
      </c>
      <c r="E4710" s="9">
        <v>1724851.1857852936</v>
      </c>
      <c r="F4710" s="257" t="s">
        <v>16249</v>
      </c>
      <c r="G4710" s="9"/>
      <c r="H4710" s="257" t="s">
        <v>22768</v>
      </c>
      <c r="I4710" s="9">
        <v>3</v>
      </c>
    </row>
    <row r="4711" spans="1:9">
      <c r="A4711" s="257" t="s">
        <v>5809</v>
      </c>
      <c r="B4711" s="9">
        <v>8</v>
      </c>
      <c r="C4711" s="257" t="s">
        <v>12237</v>
      </c>
      <c r="D4711" s="9">
        <v>5199914912.509407</v>
      </c>
      <c r="E4711" s="9">
        <v>1724851.1857852936</v>
      </c>
      <c r="F4711" s="257" t="s">
        <v>16249</v>
      </c>
      <c r="G4711" s="9"/>
      <c r="H4711" s="257" t="s">
        <v>22769</v>
      </c>
      <c r="I4711" s="9">
        <v>3</v>
      </c>
    </row>
    <row r="4712" spans="1:9">
      <c r="A4712" s="257" t="s">
        <v>5810</v>
      </c>
      <c r="B4712" s="9">
        <v>8</v>
      </c>
      <c r="C4712" s="257" t="s">
        <v>12238</v>
      </c>
      <c r="D4712" s="9">
        <v>0.81132486983701324</v>
      </c>
      <c r="E4712" s="9">
        <v>1724851.1857852936</v>
      </c>
      <c r="F4712" s="257" t="s">
        <v>16249</v>
      </c>
      <c r="G4712" s="9"/>
      <c r="H4712" s="257" t="s">
        <v>22770</v>
      </c>
      <c r="I4712" s="9">
        <v>3</v>
      </c>
    </row>
    <row r="4713" spans="1:9">
      <c r="A4713" s="257" t="s">
        <v>5811</v>
      </c>
      <c r="B4713" s="9">
        <v>8</v>
      </c>
      <c r="C4713" s="257" t="s">
        <v>12239</v>
      </c>
      <c r="D4713" s="9">
        <v>3014.7035033297552</v>
      </c>
      <c r="E4713" s="9">
        <v>1724851.1857852936</v>
      </c>
      <c r="F4713" s="257" t="s">
        <v>16249</v>
      </c>
      <c r="G4713" s="9"/>
      <c r="H4713" s="257" t="s">
        <v>22771</v>
      </c>
      <c r="I4713" s="9">
        <v>3</v>
      </c>
    </row>
    <row r="4714" spans="1:9">
      <c r="A4714" s="257" t="s">
        <v>5812</v>
      </c>
      <c r="B4714" s="9">
        <v>8</v>
      </c>
      <c r="C4714" s="257" t="s">
        <v>12240</v>
      </c>
      <c r="D4714" s="9">
        <v>1724851.1857852936</v>
      </c>
      <c r="E4714" s="9">
        <v>1724851.1857852936</v>
      </c>
      <c r="F4714" s="257" t="s">
        <v>16250</v>
      </c>
      <c r="G4714" s="9"/>
      <c r="H4714" s="257" t="s">
        <v>22772</v>
      </c>
      <c r="I4714" s="9">
        <v>3</v>
      </c>
    </row>
    <row r="4715" spans="1:9">
      <c r="A4715" s="257" t="s">
        <v>5813</v>
      </c>
      <c r="B4715" s="9">
        <v>8</v>
      </c>
      <c r="C4715" s="257" t="s">
        <v>12241</v>
      </c>
      <c r="D4715" s="9">
        <v>19149337018.41354</v>
      </c>
      <c r="E4715" s="9">
        <v>1724851.1857852936</v>
      </c>
      <c r="F4715" s="257" t="s">
        <v>16250</v>
      </c>
      <c r="G4715" s="9"/>
      <c r="H4715" s="257" t="s">
        <v>22773</v>
      </c>
      <c r="I4715" s="9">
        <v>3</v>
      </c>
    </row>
    <row r="4716" spans="1:9">
      <c r="A4716" s="257" t="s">
        <v>5814</v>
      </c>
      <c r="B4716" s="9">
        <v>8</v>
      </c>
      <c r="C4716" s="257" t="s">
        <v>12242</v>
      </c>
      <c r="D4716" s="9">
        <v>1</v>
      </c>
      <c r="E4716" s="9">
        <v>1724851.1857852936</v>
      </c>
      <c r="F4716" s="257" t="s">
        <v>16250</v>
      </c>
      <c r="G4716" s="9"/>
      <c r="H4716" s="257" t="s">
        <v>22774</v>
      </c>
      <c r="I4716" s="9">
        <v>3</v>
      </c>
    </row>
    <row r="4717" spans="1:9">
      <c r="A4717" s="257" t="s">
        <v>5815</v>
      </c>
      <c r="B4717" s="9">
        <v>8</v>
      </c>
      <c r="C4717" s="257" t="s">
        <v>12243</v>
      </c>
      <c r="D4717" s="9">
        <v>11102.022699827981</v>
      </c>
      <c r="E4717" s="9">
        <v>1724851.1857852936</v>
      </c>
      <c r="F4717" s="257" t="s">
        <v>16250</v>
      </c>
      <c r="G4717" s="9"/>
      <c r="H4717" s="257" t="s">
        <v>22775</v>
      </c>
      <c r="I4717" s="9">
        <v>3</v>
      </c>
    </row>
    <row r="4718" spans="1:9">
      <c r="A4718" s="257" t="s">
        <v>5816</v>
      </c>
      <c r="B4718" s="9">
        <v>8</v>
      </c>
      <c r="C4718" s="257" t="s">
        <v>12244</v>
      </c>
      <c r="D4718" s="9">
        <v>1724851.1857852936</v>
      </c>
      <c r="E4718" s="9">
        <v>1724851.1857852936</v>
      </c>
      <c r="F4718" s="257" t="s">
        <v>16251</v>
      </c>
      <c r="G4718" s="9"/>
      <c r="H4718" s="257" t="s">
        <v>22776</v>
      </c>
      <c r="I4718" s="9">
        <v>3</v>
      </c>
    </row>
    <row r="4719" spans="1:9">
      <c r="A4719" s="257" t="s">
        <v>5817</v>
      </c>
      <c r="B4719" s="9">
        <v>8</v>
      </c>
      <c r="C4719" s="257" t="s">
        <v>12245</v>
      </c>
      <c r="D4719" s="9">
        <v>19149337018.41354</v>
      </c>
      <c r="E4719" s="9">
        <v>1724851.1857852936</v>
      </c>
      <c r="F4719" s="257" t="s">
        <v>16251</v>
      </c>
      <c r="G4719" s="9"/>
      <c r="H4719" s="257" t="s">
        <v>22777</v>
      </c>
      <c r="I4719" s="9">
        <v>3</v>
      </c>
    </row>
    <row r="4720" spans="1:9">
      <c r="A4720" s="257" t="s">
        <v>5818</v>
      </c>
      <c r="B4720" s="9">
        <v>8</v>
      </c>
      <c r="C4720" s="257" t="s">
        <v>12246</v>
      </c>
      <c r="D4720" s="9">
        <v>1</v>
      </c>
      <c r="E4720" s="9">
        <v>1724851.1857852936</v>
      </c>
      <c r="F4720" s="257" t="s">
        <v>16251</v>
      </c>
      <c r="G4720" s="9"/>
      <c r="H4720" s="257" t="s">
        <v>22778</v>
      </c>
      <c r="I4720" s="9">
        <v>3</v>
      </c>
    </row>
    <row r="4721" spans="1:9">
      <c r="A4721" s="257" t="s">
        <v>5819</v>
      </c>
      <c r="B4721" s="9">
        <v>8</v>
      </c>
      <c r="C4721" s="257" t="s">
        <v>12247</v>
      </c>
      <c r="D4721" s="9">
        <v>11102.022699827981</v>
      </c>
      <c r="E4721" s="9">
        <v>1724851.1857852936</v>
      </c>
      <c r="F4721" s="257" t="s">
        <v>16251</v>
      </c>
      <c r="G4721" s="9"/>
      <c r="H4721" s="257" t="s">
        <v>22779</v>
      </c>
      <c r="I4721" s="9">
        <v>3</v>
      </c>
    </row>
    <row r="4722" spans="1:9">
      <c r="A4722" s="257" t="s">
        <v>5820</v>
      </c>
      <c r="B4722" s="9">
        <v>8</v>
      </c>
      <c r="C4722" s="257" t="s">
        <v>12248</v>
      </c>
      <c r="D4722" s="9">
        <v>1432611.9479675293</v>
      </c>
      <c r="E4722" s="9">
        <v>1724851.1857852936</v>
      </c>
      <c r="F4722" s="257" t="s">
        <v>16252</v>
      </c>
      <c r="G4722" s="9"/>
      <c r="H4722" s="257" t="s">
        <v>22780</v>
      </c>
      <c r="I4722" s="9">
        <v>3</v>
      </c>
    </row>
    <row r="4723" spans="1:9">
      <c r="A4723" s="257" t="s">
        <v>5821</v>
      </c>
      <c r="B4723" s="9">
        <v>8</v>
      </c>
      <c r="C4723" s="257" t="s">
        <v>12249</v>
      </c>
      <c r="D4723" s="9">
        <v>8191071901.9482946</v>
      </c>
      <c r="E4723" s="9">
        <v>1724851.1857852936</v>
      </c>
      <c r="F4723" s="257" t="s">
        <v>16252</v>
      </c>
      <c r="G4723" s="9"/>
      <c r="H4723" s="257" t="s">
        <v>22781</v>
      </c>
      <c r="I4723" s="9">
        <v>3</v>
      </c>
    </row>
    <row r="4724" spans="1:9">
      <c r="A4724" s="257" t="s">
        <v>5822</v>
      </c>
      <c r="B4724" s="9">
        <v>8</v>
      </c>
      <c r="C4724" s="257" t="s">
        <v>12250</v>
      </c>
      <c r="D4724" s="9">
        <v>0.83057133263081295</v>
      </c>
      <c r="E4724" s="9">
        <v>1724851.1857852936</v>
      </c>
      <c r="F4724" s="257" t="s">
        <v>16252</v>
      </c>
      <c r="G4724" s="9"/>
      <c r="H4724" s="257" t="s">
        <v>22782</v>
      </c>
      <c r="I4724" s="9">
        <v>3</v>
      </c>
    </row>
    <row r="4725" spans="1:9">
      <c r="A4725" s="257" t="s">
        <v>5823</v>
      </c>
      <c r="B4725" s="9">
        <v>8</v>
      </c>
      <c r="C4725" s="257" t="s">
        <v>12251</v>
      </c>
      <c r="D4725" s="9">
        <v>4748.8571590708261</v>
      </c>
      <c r="E4725" s="9">
        <v>1724851.1857852936</v>
      </c>
      <c r="F4725" s="257" t="s">
        <v>16252</v>
      </c>
      <c r="G4725" s="9"/>
      <c r="H4725" s="257" t="s">
        <v>22783</v>
      </c>
      <c r="I4725" s="9">
        <v>3</v>
      </c>
    </row>
    <row r="4726" spans="1:9">
      <c r="A4726" s="257" t="s">
        <v>5824</v>
      </c>
      <c r="B4726" s="9">
        <v>8</v>
      </c>
      <c r="C4726" s="257" t="s">
        <v>12252</v>
      </c>
      <c r="D4726" s="9">
        <v>1432611.9479675293</v>
      </c>
      <c r="E4726" s="9">
        <v>1724851.1857852936</v>
      </c>
      <c r="F4726" s="257" t="s">
        <v>16253</v>
      </c>
      <c r="G4726" s="9"/>
      <c r="H4726" s="257" t="s">
        <v>22784</v>
      </c>
      <c r="I4726" s="9">
        <v>3</v>
      </c>
    </row>
    <row r="4727" spans="1:9">
      <c r="A4727" s="257" t="s">
        <v>5825</v>
      </c>
      <c r="B4727" s="9">
        <v>8</v>
      </c>
      <c r="C4727" s="257" t="s">
        <v>12253</v>
      </c>
      <c r="D4727" s="9">
        <v>8191071901.9482946</v>
      </c>
      <c r="E4727" s="9">
        <v>1724851.1857852936</v>
      </c>
      <c r="F4727" s="257" t="s">
        <v>16253</v>
      </c>
      <c r="G4727" s="9"/>
      <c r="H4727" s="257" t="s">
        <v>22785</v>
      </c>
      <c r="I4727" s="9">
        <v>3</v>
      </c>
    </row>
    <row r="4728" spans="1:9">
      <c r="A4728" s="257" t="s">
        <v>5826</v>
      </c>
      <c r="B4728" s="9">
        <v>8</v>
      </c>
      <c r="C4728" s="257" t="s">
        <v>12254</v>
      </c>
      <c r="D4728" s="9">
        <v>0.83057133263081295</v>
      </c>
      <c r="E4728" s="9">
        <v>1724851.1857852936</v>
      </c>
      <c r="F4728" s="257" t="s">
        <v>16253</v>
      </c>
      <c r="G4728" s="9"/>
      <c r="H4728" s="257" t="s">
        <v>22786</v>
      </c>
      <c r="I4728" s="9">
        <v>3</v>
      </c>
    </row>
    <row r="4729" spans="1:9">
      <c r="A4729" s="257" t="s">
        <v>5827</v>
      </c>
      <c r="B4729" s="9">
        <v>8</v>
      </c>
      <c r="C4729" s="257" t="s">
        <v>12255</v>
      </c>
      <c r="D4729" s="9">
        <v>4748.8571590708261</v>
      </c>
      <c r="E4729" s="9">
        <v>1724851.1857852936</v>
      </c>
      <c r="F4729" s="257" t="s">
        <v>16253</v>
      </c>
      <c r="G4729" s="9"/>
      <c r="H4729" s="257" t="s">
        <v>22787</v>
      </c>
      <c r="I4729" s="9">
        <v>3</v>
      </c>
    </row>
    <row r="4730" spans="1:9">
      <c r="A4730" s="257" t="s">
        <v>5828</v>
      </c>
      <c r="B4730" s="9">
        <v>8</v>
      </c>
      <c r="C4730" s="257" t="s">
        <v>12256</v>
      </c>
      <c r="D4730" s="9">
        <v>1724851.1857852936</v>
      </c>
      <c r="E4730" s="9">
        <v>1724851.1857852936</v>
      </c>
      <c r="F4730" s="257" t="s">
        <v>16254</v>
      </c>
      <c r="G4730" s="9"/>
      <c r="H4730" s="257" t="s">
        <v>22788</v>
      </c>
      <c r="I4730" s="9">
        <v>3</v>
      </c>
    </row>
    <row r="4731" spans="1:9">
      <c r="A4731" s="257" t="s">
        <v>5829</v>
      </c>
      <c r="B4731" s="9">
        <v>8</v>
      </c>
      <c r="C4731" s="257" t="s">
        <v>12257</v>
      </c>
      <c r="D4731" s="9">
        <v>5758350203.9558382</v>
      </c>
      <c r="E4731" s="9">
        <v>1724851.1857852936</v>
      </c>
      <c r="F4731" s="257" t="s">
        <v>16254</v>
      </c>
      <c r="G4731" s="9"/>
      <c r="H4731" s="257" t="s">
        <v>22789</v>
      </c>
      <c r="I4731" s="9">
        <v>3</v>
      </c>
    </row>
    <row r="4732" spans="1:9">
      <c r="A4732" s="257" t="s">
        <v>5830</v>
      </c>
      <c r="B4732" s="9">
        <v>8</v>
      </c>
      <c r="C4732" s="257" t="s">
        <v>12258</v>
      </c>
      <c r="D4732" s="9">
        <v>1</v>
      </c>
      <c r="E4732" s="9">
        <v>1724851.1857852936</v>
      </c>
      <c r="F4732" s="257" t="s">
        <v>16254</v>
      </c>
      <c r="G4732" s="9"/>
      <c r="H4732" s="257" t="s">
        <v>22790</v>
      </c>
      <c r="I4732" s="9">
        <v>3</v>
      </c>
    </row>
    <row r="4733" spans="1:9">
      <c r="A4733" s="257" t="s">
        <v>5831</v>
      </c>
      <c r="B4733" s="9">
        <v>8</v>
      </c>
      <c r="C4733" s="257" t="s">
        <v>12259</v>
      </c>
      <c r="D4733" s="9">
        <v>3338.4620374274</v>
      </c>
      <c r="E4733" s="9">
        <v>1724851.1857852936</v>
      </c>
      <c r="F4733" s="257" t="s">
        <v>16254</v>
      </c>
      <c r="G4733" s="9"/>
      <c r="H4733" s="257" t="s">
        <v>22791</v>
      </c>
      <c r="I4733" s="9">
        <v>3</v>
      </c>
    </row>
    <row r="4734" spans="1:9">
      <c r="A4734" s="257" t="s">
        <v>5832</v>
      </c>
      <c r="B4734" s="9">
        <v>8</v>
      </c>
      <c r="C4734" s="257" t="s">
        <v>12260</v>
      </c>
      <c r="D4734" s="9">
        <v>1724851.1857852936</v>
      </c>
      <c r="E4734" s="9">
        <v>1724851.1857852936</v>
      </c>
      <c r="F4734" s="257" t="s">
        <v>16255</v>
      </c>
      <c r="G4734" s="9"/>
      <c r="H4734" s="257" t="s">
        <v>22792</v>
      </c>
      <c r="I4734" s="9">
        <v>3</v>
      </c>
    </row>
    <row r="4735" spans="1:9">
      <c r="A4735" s="257" t="s">
        <v>5833</v>
      </c>
      <c r="B4735" s="9">
        <v>8</v>
      </c>
      <c r="C4735" s="257" t="s">
        <v>12261</v>
      </c>
      <c r="D4735" s="9">
        <v>10317270333.613022</v>
      </c>
      <c r="E4735" s="9">
        <v>1724851.1857852936</v>
      </c>
      <c r="F4735" s="257" t="s">
        <v>16255</v>
      </c>
      <c r="G4735" s="9"/>
      <c r="H4735" s="257" t="s">
        <v>22793</v>
      </c>
      <c r="I4735" s="9">
        <v>3</v>
      </c>
    </row>
    <row r="4736" spans="1:9">
      <c r="A4736" s="257" t="s">
        <v>5834</v>
      </c>
      <c r="B4736" s="9">
        <v>8</v>
      </c>
      <c r="C4736" s="257" t="s">
        <v>12262</v>
      </c>
      <c r="D4736" s="9">
        <v>1</v>
      </c>
      <c r="E4736" s="9">
        <v>1724851.1857852936</v>
      </c>
      <c r="F4736" s="257" t="s">
        <v>16255</v>
      </c>
      <c r="G4736" s="9"/>
      <c r="H4736" s="257" t="s">
        <v>22794</v>
      </c>
      <c r="I4736" s="9">
        <v>3</v>
      </c>
    </row>
    <row r="4737" spans="1:9">
      <c r="A4737" s="257" t="s">
        <v>5835</v>
      </c>
      <c r="B4737" s="9">
        <v>8</v>
      </c>
      <c r="C4737" s="257" t="s">
        <v>12263</v>
      </c>
      <c r="D4737" s="9">
        <v>5981.5423026861035</v>
      </c>
      <c r="E4737" s="9">
        <v>1724851.1857852936</v>
      </c>
      <c r="F4737" s="257" t="s">
        <v>16255</v>
      </c>
      <c r="G4737" s="9"/>
      <c r="H4737" s="257" t="s">
        <v>22795</v>
      </c>
      <c r="I4737" s="9">
        <v>3</v>
      </c>
    </row>
    <row r="4738" spans="1:9">
      <c r="A4738" s="257" t="s">
        <v>5836</v>
      </c>
      <c r="B4738" s="9">
        <v>8</v>
      </c>
      <c r="C4738" s="257" t="s">
        <v>12264</v>
      </c>
      <c r="D4738" s="9">
        <v>1448331.1165466309</v>
      </c>
      <c r="E4738" s="9">
        <v>1724851.1857852936</v>
      </c>
      <c r="F4738" s="257" t="s">
        <v>16256</v>
      </c>
      <c r="G4738" s="9"/>
      <c r="H4738" s="257" t="s">
        <v>22796</v>
      </c>
      <c r="I4738" s="9">
        <v>3</v>
      </c>
    </row>
    <row r="4739" spans="1:9">
      <c r="A4739" s="257" t="s">
        <v>5837</v>
      </c>
      <c r="B4739" s="9">
        <v>8</v>
      </c>
      <c r="C4739" s="257" t="s">
        <v>12265</v>
      </c>
      <c r="D4739" s="9">
        <v>10097515512.795275</v>
      </c>
      <c r="E4739" s="9">
        <v>1724851.1857852936</v>
      </c>
      <c r="F4739" s="257" t="s">
        <v>16256</v>
      </c>
      <c r="G4739" s="9"/>
      <c r="H4739" s="257" t="s">
        <v>22797</v>
      </c>
      <c r="I4739" s="9">
        <v>3</v>
      </c>
    </row>
    <row r="4740" spans="1:9">
      <c r="A4740" s="257" t="s">
        <v>5838</v>
      </c>
      <c r="B4740" s="9">
        <v>8</v>
      </c>
      <c r="C4740" s="257" t="s">
        <v>12266</v>
      </c>
      <c r="D4740" s="9">
        <v>0.83968468032633892</v>
      </c>
      <c r="E4740" s="9">
        <v>1724851.1857852936</v>
      </c>
      <c r="F4740" s="257" t="s">
        <v>16256</v>
      </c>
      <c r="G4740" s="9"/>
      <c r="H4740" s="257" t="s">
        <v>22798</v>
      </c>
      <c r="I4740" s="9">
        <v>3</v>
      </c>
    </row>
    <row r="4741" spans="1:9">
      <c r="A4741" s="257" t="s">
        <v>5839</v>
      </c>
      <c r="B4741" s="9">
        <v>8</v>
      </c>
      <c r="C4741" s="257" t="s">
        <v>12267</v>
      </c>
      <c r="D4741" s="9">
        <v>5854.1372125375892</v>
      </c>
      <c r="E4741" s="9">
        <v>1724851.1857852936</v>
      </c>
      <c r="F4741" s="257" t="s">
        <v>16256</v>
      </c>
      <c r="G4741" s="9"/>
      <c r="H4741" s="257" t="s">
        <v>22799</v>
      </c>
      <c r="I4741" s="9">
        <v>3</v>
      </c>
    </row>
    <row r="4742" spans="1:9">
      <c r="A4742" s="257" t="s">
        <v>5840</v>
      </c>
      <c r="B4742" s="9">
        <v>8</v>
      </c>
      <c r="C4742" s="257" t="s">
        <v>12268</v>
      </c>
      <c r="D4742" s="9">
        <v>0</v>
      </c>
      <c r="E4742" s="9">
        <v>1724851.1857852936</v>
      </c>
      <c r="F4742" s="257" t="s">
        <v>16257</v>
      </c>
      <c r="G4742" s="9"/>
      <c r="H4742" s="257" t="s">
        <v>22800</v>
      </c>
      <c r="I4742" s="9">
        <v>3</v>
      </c>
    </row>
    <row r="4743" spans="1:9">
      <c r="A4743" s="257" t="s">
        <v>5841</v>
      </c>
      <c r="B4743" s="9">
        <v>8</v>
      </c>
      <c r="C4743" s="257" t="s">
        <v>12269</v>
      </c>
      <c r="D4743" s="9">
        <v>-1265448827.9947548</v>
      </c>
      <c r="E4743" s="9">
        <v>1724851.1857852936</v>
      </c>
      <c r="F4743" s="257" t="s">
        <v>16257</v>
      </c>
      <c r="G4743" s="9"/>
      <c r="H4743" s="257" t="s">
        <v>22801</v>
      </c>
      <c r="I4743" s="9">
        <v>3</v>
      </c>
    </row>
    <row r="4744" spans="1:9">
      <c r="A4744" s="257" t="s">
        <v>5842</v>
      </c>
      <c r="B4744" s="9">
        <v>8</v>
      </c>
      <c r="C4744" s="257" t="s">
        <v>12270</v>
      </c>
      <c r="D4744" s="9">
        <v>0</v>
      </c>
      <c r="E4744" s="9">
        <v>1724851.1857852936</v>
      </c>
      <c r="F4744" s="257" t="s">
        <v>16257</v>
      </c>
      <c r="G4744" s="9"/>
      <c r="H4744" s="257" t="s">
        <v>22802</v>
      </c>
      <c r="I4744" s="9">
        <v>3</v>
      </c>
    </row>
    <row r="4745" spans="1:9">
      <c r="A4745" s="257" t="s">
        <v>5843</v>
      </c>
      <c r="B4745" s="9">
        <v>8</v>
      </c>
      <c r="C4745" s="257" t="s">
        <v>12271</v>
      </c>
      <c r="D4745" s="9">
        <v>-733.65681539571131</v>
      </c>
      <c r="E4745" s="9">
        <v>1724851.1857852936</v>
      </c>
      <c r="F4745" s="257" t="s">
        <v>16257</v>
      </c>
      <c r="G4745" s="9"/>
      <c r="H4745" s="257" t="s">
        <v>22803</v>
      </c>
      <c r="I4745" s="9">
        <v>3</v>
      </c>
    </row>
    <row r="4746" spans="1:9">
      <c r="A4746" s="257" t="s">
        <v>5844</v>
      </c>
      <c r="B4746" s="9">
        <v>8</v>
      </c>
      <c r="C4746" s="257" t="s">
        <v>12272</v>
      </c>
      <c r="D4746" s="9">
        <v>1436766.6086120605</v>
      </c>
      <c r="E4746" s="9">
        <v>1724851.1857852936</v>
      </c>
      <c r="F4746" s="257" t="s">
        <v>16258</v>
      </c>
      <c r="G4746" s="9"/>
      <c r="H4746" s="257" t="s">
        <v>22804</v>
      </c>
      <c r="I4746" s="9">
        <v>3</v>
      </c>
    </row>
    <row r="4747" spans="1:9">
      <c r="A4747" s="257" t="s">
        <v>5845</v>
      </c>
      <c r="B4747" s="9">
        <v>8</v>
      </c>
      <c r="C4747" s="257" t="s">
        <v>12273</v>
      </c>
      <c r="D4747" s="9">
        <v>8832066684.8005199</v>
      </c>
      <c r="E4747" s="9">
        <v>1724851.1857852936</v>
      </c>
      <c r="F4747" s="257" t="s">
        <v>16258</v>
      </c>
      <c r="G4747" s="9"/>
      <c r="H4747" s="257" t="s">
        <v>22805</v>
      </c>
      <c r="I4747" s="9">
        <v>3</v>
      </c>
    </row>
    <row r="4748" spans="1:9">
      <c r="A4748" s="257" t="s">
        <v>5846</v>
      </c>
      <c r="B4748" s="9">
        <v>8</v>
      </c>
      <c r="C4748" s="257" t="s">
        <v>12274</v>
      </c>
      <c r="D4748" s="9">
        <v>0.83298003935216403</v>
      </c>
      <c r="E4748" s="9">
        <v>1724851.1857852936</v>
      </c>
      <c r="F4748" s="257" t="s">
        <v>16258</v>
      </c>
      <c r="G4748" s="9"/>
      <c r="H4748" s="257" t="s">
        <v>22806</v>
      </c>
      <c r="I4748" s="9">
        <v>3</v>
      </c>
    </row>
    <row r="4749" spans="1:9">
      <c r="A4749" s="257" t="s">
        <v>5847</v>
      </c>
      <c r="B4749" s="9">
        <v>8</v>
      </c>
      <c r="C4749" s="257" t="s">
        <v>12275</v>
      </c>
      <c r="D4749" s="9">
        <v>5120.4803971418787</v>
      </c>
      <c r="E4749" s="9">
        <v>1724851.1857852936</v>
      </c>
      <c r="F4749" s="257" t="s">
        <v>16258</v>
      </c>
      <c r="G4749" s="9"/>
      <c r="H4749" s="257" t="s">
        <v>22807</v>
      </c>
      <c r="I4749" s="9">
        <v>3</v>
      </c>
    </row>
    <row r="4750" spans="1:9">
      <c r="A4750" s="257" t="s">
        <v>5848</v>
      </c>
      <c r="B4750" s="9">
        <v>8</v>
      </c>
      <c r="C4750" s="257" t="s">
        <v>12276</v>
      </c>
      <c r="D4750" s="9">
        <v>382393.1031036377</v>
      </c>
      <c r="E4750" s="9">
        <v>1724851.1857852936</v>
      </c>
      <c r="F4750" s="257" t="s">
        <v>16259</v>
      </c>
      <c r="G4750" s="9"/>
      <c r="H4750" s="257" t="s">
        <v>22808</v>
      </c>
      <c r="I4750" s="9">
        <v>3</v>
      </c>
    </row>
    <row r="4751" spans="1:9">
      <c r="A4751" s="257" t="s">
        <v>5849</v>
      </c>
      <c r="B4751" s="9">
        <v>8</v>
      </c>
      <c r="C4751" s="257" t="s">
        <v>12277</v>
      </c>
      <c r="D4751" s="9">
        <v>640994782.85222423</v>
      </c>
      <c r="E4751" s="9">
        <v>1724851.1857852936</v>
      </c>
      <c r="F4751" s="257" t="s">
        <v>16259</v>
      </c>
      <c r="G4751" s="9"/>
      <c r="H4751" s="257" t="s">
        <v>22809</v>
      </c>
      <c r="I4751" s="9">
        <v>3</v>
      </c>
    </row>
    <row r="4752" spans="1:9">
      <c r="A4752" s="257" t="s">
        <v>5850</v>
      </c>
      <c r="B4752" s="9">
        <v>8</v>
      </c>
      <c r="C4752" s="257" t="s">
        <v>12278</v>
      </c>
      <c r="D4752" s="9">
        <v>0.22169628676084369</v>
      </c>
      <c r="E4752" s="9">
        <v>1724851.1857852936</v>
      </c>
      <c r="F4752" s="257" t="s">
        <v>16259</v>
      </c>
      <c r="G4752" s="9"/>
      <c r="H4752" s="257" t="s">
        <v>22810</v>
      </c>
      <c r="I4752" s="9">
        <v>3</v>
      </c>
    </row>
    <row r="4753" spans="1:9">
      <c r="A4753" s="257" t="s">
        <v>5851</v>
      </c>
      <c r="B4753" s="9">
        <v>8</v>
      </c>
      <c r="C4753" s="257" t="s">
        <v>12279</v>
      </c>
      <c r="D4753" s="9">
        <v>371.62323807105184</v>
      </c>
      <c r="E4753" s="9">
        <v>1724851.1857852936</v>
      </c>
      <c r="F4753" s="257" t="s">
        <v>16259</v>
      </c>
      <c r="G4753" s="9"/>
      <c r="H4753" s="257" t="s">
        <v>22811</v>
      </c>
      <c r="I4753" s="9">
        <v>3</v>
      </c>
    </row>
    <row r="4754" spans="1:9">
      <c r="A4754" s="257" t="s">
        <v>5852</v>
      </c>
      <c r="B4754" s="9">
        <v>8</v>
      </c>
      <c r="C4754" s="257" t="s">
        <v>12280</v>
      </c>
      <c r="D4754" s="9">
        <v>1369300.6716537476</v>
      </c>
      <c r="E4754" s="9">
        <v>1724851.1857852936</v>
      </c>
      <c r="F4754" s="257" t="s">
        <v>16260</v>
      </c>
      <c r="G4754" s="9"/>
      <c r="H4754" s="257" t="s">
        <v>22812</v>
      </c>
      <c r="I4754" s="9">
        <v>3</v>
      </c>
    </row>
    <row r="4755" spans="1:9">
      <c r="A4755" s="257" t="s">
        <v>5853</v>
      </c>
      <c r="B4755" s="9">
        <v>8</v>
      </c>
      <c r="C4755" s="257" t="s">
        <v>12281</v>
      </c>
      <c r="D4755" s="9">
        <v>4558920129.6571827</v>
      </c>
      <c r="E4755" s="9">
        <v>1724851.1857852936</v>
      </c>
      <c r="F4755" s="257" t="s">
        <v>16260</v>
      </c>
      <c r="G4755" s="9"/>
      <c r="H4755" s="257" t="s">
        <v>22813</v>
      </c>
      <c r="I4755" s="9">
        <v>3</v>
      </c>
    </row>
    <row r="4756" spans="1:9">
      <c r="A4756" s="257" t="s">
        <v>5854</v>
      </c>
      <c r="B4756" s="9">
        <v>8</v>
      </c>
      <c r="C4756" s="257" t="s">
        <v>12282</v>
      </c>
      <c r="D4756" s="9">
        <v>0.79386597692503524</v>
      </c>
      <c r="E4756" s="9">
        <v>1724851.1857852936</v>
      </c>
      <c r="F4756" s="257" t="s">
        <v>16260</v>
      </c>
      <c r="G4756" s="9"/>
      <c r="H4756" s="257" t="s">
        <v>22814</v>
      </c>
      <c r="I4756" s="9">
        <v>3</v>
      </c>
    </row>
    <row r="4757" spans="1:9">
      <c r="A4757" s="257" t="s">
        <v>5855</v>
      </c>
      <c r="B4757" s="9">
        <v>8</v>
      </c>
      <c r="C4757" s="257" t="s">
        <v>12283</v>
      </c>
      <c r="D4757" s="9">
        <v>2643.0802652587031</v>
      </c>
      <c r="E4757" s="9">
        <v>1724851.1857852936</v>
      </c>
      <c r="F4757" s="257" t="s">
        <v>16260</v>
      </c>
      <c r="G4757" s="9"/>
      <c r="H4757" s="257" t="s">
        <v>22815</v>
      </c>
      <c r="I4757" s="9">
        <v>3</v>
      </c>
    </row>
    <row r="4758" spans="1:9">
      <c r="A4758" s="257" t="s">
        <v>5856</v>
      </c>
      <c r="B4758" s="9">
        <v>8</v>
      </c>
      <c r="C4758" s="257" t="s">
        <v>12284</v>
      </c>
      <c r="D4758" s="9">
        <v>0</v>
      </c>
      <c r="E4758" s="9">
        <v>1724851.1857852936</v>
      </c>
      <c r="F4758" s="257" t="s">
        <v>16261</v>
      </c>
      <c r="G4758" s="9"/>
      <c r="H4758" s="257" t="s">
        <v>22816</v>
      </c>
      <c r="I4758" s="9">
        <v>3</v>
      </c>
    </row>
    <row r="4759" spans="1:9">
      <c r="A4759" s="257" t="s">
        <v>5857</v>
      </c>
      <c r="B4759" s="9">
        <v>8</v>
      </c>
      <c r="C4759" s="257" t="s">
        <v>12285</v>
      </c>
      <c r="D4759" s="9">
        <v>0</v>
      </c>
      <c r="E4759" s="9">
        <v>1724851.1857852936</v>
      </c>
      <c r="F4759" s="257" t="s">
        <v>16261</v>
      </c>
      <c r="G4759" s="9"/>
      <c r="H4759" s="257" t="s">
        <v>22817</v>
      </c>
      <c r="I4759" s="9">
        <v>3</v>
      </c>
    </row>
    <row r="4760" spans="1:9">
      <c r="A4760" s="257" t="s">
        <v>5858</v>
      </c>
      <c r="B4760" s="9">
        <v>8</v>
      </c>
      <c r="C4760" s="257" t="s">
        <v>12286</v>
      </c>
      <c r="D4760" s="9">
        <v>0</v>
      </c>
      <c r="E4760" s="9">
        <v>1724851.1857852936</v>
      </c>
      <c r="F4760" s="257" t="s">
        <v>16261</v>
      </c>
      <c r="G4760" s="9"/>
      <c r="H4760" s="257" t="s">
        <v>22818</v>
      </c>
      <c r="I4760" s="9">
        <v>3</v>
      </c>
    </row>
    <row r="4761" spans="1:9">
      <c r="A4761" s="257" t="s">
        <v>5859</v>
      </c>
      <c r="B4761" s="9">
        <v>8</v>
      </c>
      <c r="C4761" s="257" t="s">
        <v>12287</v>
      </c>
      <c r="D4761" s="9">
        <v>0</v>
      </c>
      <c r="E4761" s="9">
        <v>1724851.1857852936</v>
      </c>
      <c r="F4761" s="257" t="s">
        <v>16261</v>
      </c>
      <c r="G4761" s="9"/>
      <c r="H4761" s="257" t="s">
        <v>22819</v>
      </c>
      <c r="I4761" s="9">
        <v>3</v>
      </c>
    </row>
    <row r="4762" spans="1:9">
      <c r="A4762" s="257" t="s">
        <v>5860</v>
      </c>
      <c r="B4762" s="9">
        <v>9</v>
      </c>
      <c r="C4762" s="257" t="s">
        <v>12288</v>
      </c>
      <c r="D4762" s="9">
        <v>1539397.4216518402</v>
      </c>
      <c r="E4762" s="9">
        <v>1721642.4785900116</v>
      </c>
      <c r="F4762" s="257" t="s">
        <v>16262</v>
      </c>
      <c r="G4762" s="9"/>
      <c r="H4762" s="257" t="s">
        <v>22820</v>
      </c>
      <c r="I4762" s="9">
        <v>3</v>
      </c>
    </row>
    <row r="4763" spans="1:9">
      <c r="A4763" s="257" t="s">
        <v>5861</v>
      </c>
      <c r="B4763" s="9">
        <v>9</v>
      </c>
      <c r="C4763" s="257" t="s">
        <v>12289</v>
      </c>
      <c r="D4763" s="9">
        <v>10247644249.467258</v>
      </c>
      <c r="E4763" s="9">
        <v>1721642.4785900116</v>
      </c>
      <c r="F4763" s="257" t="s">
        <v>16262</v>
      </c>
      <c r="G4763" s="9"/>
      <c r="H4763" s="257" t="s">
        <v>22821</v>
      </c>
      <c r="I4763" s="9">
        <v>3</v>
      </c>
    </row>
    <row r="4764" spans="1:9">
      <c r="A4764" s="257" t="s">
        <v>5862</v>
      </c>
      <c r="B4764" s="9">
        <v>9</v>
      </c>
      <c r="C4764" s="257" t="s">
        <v>12290</v>
      </c>
      <c r="D4764" s="9">
        <v>0.89414465592912984</v>
      </c>
      <c r="E4764" s="9">
        <v>1721642.4785900116</v>
      </c>
      <c r="F4764" s="257" t="s">
        <v>16262</v>
      </c>
      <c r="G4764" s="9"/>
      <c r="H4764" s="257" t="s">
        <v>22822</v>
      </c>
      <c r="I4764" s="9">
        <v>3</v>
      </c>
    </row>
    <row r="4765" spans="1:9">
      <c r="A4765" s="257" t="s">
        <v>5863</v>
      </c>
      <c r="B4765" s="9">
        <v>9</v>
      </c>
      <c r="C4765" s="257" t="s">
        <v>12291</v>
      </c>
      <c r="D4765" s="9">
        <v>5952.2487257980883</v>
      </c>
      <c r="E4765" s="9">
        <v>1721642.4785900116</v>
      </c>
      <c r="F4765" s="257" t="s">
        <v>16262</v>
      </c>
      <c r="G4765" s="9"/>
      <c r="H4765" s="257" t="s">
        <v>22823</v>
      </c>
      <c r="I4765" s="9">
        <v>3</v>
      </c>
    </row>
    <row r="4766" spans="1:9">
      <c r="A4766" s="257" t="s">
        <v>5864</v>
      </c>
      <c r="B4766" s="9">
        <v>9</v>
      </c>
      <c r="C4766" s="257" t="s">
        <v>12292</v>
      </c>
      <c r="D4766" s="9">
        <v>0</v>
      </c>
      <c r="E4766" s="9">
        <v>1721642.4785900116</v>
      </c>
      <c r="F4766" s="257" t="s">
        <v>16263</v>
      </c>
      <c r="G4766" s="9"/>
      <c r="H4766" s="257" t="s">
        <v>22824</v>
      </c>
      <c r="I4766" s="9">
        <v>3</v>
      </c>
    </row>
    <row r="4767" spans="1:9">
      <c r="A4767" s="257" t="s">
        <v>5865</v>
      </c>
      <c r="B4767" s="9">
        <v>9</v>
      </c>
      <c r="C4767" s="257" t="s">
        <v>12293</v>
      </c>
      <c r="D4767" s="9">
        <v>0</v>
      </c>
      <c r="E4767" s="9">
        <v>1721642.4785900116</v>
      </c>
      <c r="F4767" s="257" t="s">
        <v>16263</v>
      </c>
      <c r="G4767" s="9"/>
      <c r="H4767" s="257" t="s">
        <v>22825</v>
      </c>
      <c r="I4767" s="9">
        <v>3</v>
      </c>
    </row>
    <row r="4768" spans="1:9">
      <c r="A4768" s="257" t="s">
        <v>5866</v>
      </c>
      <c r="B4768" s="9">
        <v>9</v>
      </c>
      <c r="C4768" s="257" t="s">
        <v>12294</v>
      </c>
      <c r="D4768" s="9">
        <v>0</v>
      </c>
      <c r="E4768" s="9">
        <v>1721642.4785900116</v>
      </c>
      <c r="F4768" s="257" t="s">
        <v>16263</v>
      </c>
      <c r="G4768" s="9"/>
      <c r="H4768" s="257" t="s">
        <v>22826</v>
      </c>
      <c r="I4768" s="9">
        <v>3</v>
      </c>
    </row>
    <row r="4769" spans="1:9">
      <c r="A4769" s="257" t="s">
        <v>5867</v>
      </c>
      <c r="B4769" s="9">
        <v>9</v>
      </c>
      <c r="C4769" s="257" t="s">
        <v>12295</v>
      </c>
      <c r="D4769" s="9">
        <v>0</v>
      </c>
      <c r="E4769" s="9">
        <v>1721642.4785900116</v>
      </c>
      <c r="F4769" s="257" t="s">
        <v>16263</v>
      </c>
      <c r="G4769" s="9"/>
      <c r="H4769" s="257" t="s">
        <v>22827</v>
      </c>
      <c r="I4769" s="9">
        <v>3</v>
      </c>
    </row>
    <row r="4770" spans="1:9">
      <c r="A4770" s="257" t="s">
        <v>5868</v>
      </c>
      <c r="B4770" s="9">
        <v>9</v>
      </c>
      <c r="C4770" s="257" t="s">
        <v>12296</v>
      </c>
      <c r="D4770" s="9">
        <v>0</v>
      </c>
      <c r="E4770" s="9">
        <v>1721642.4785900116</v>
      </c>
      <c r="F4770" s="257" t="s">
        <v>16264</v>
      </c>
      <c r="G4770" s="9"/>
      <c r="H4770" s="257" t="s">
        <v>22828</v>
      </c>
      <c r="I4770" s="9">
        <v>3</v>
      </c>
    </row>
    <row r="4771" spans="1:9">
      <c r="A4771" s="257" t="s">
        <v>5869</v>
      </c>
      <c r="B4771" s="9">
        <v>9</v>
      </c>
      <c r="C4771" s="257" t="s">
        <v>12297</v>
      </c>
      <c r="D4771" s="9">
        <v>0</v>
      </c>
      <c r="E4771" s="9">
        <v>1721642.4785900116</v>
      </c>
      <c r="F4771" s="257" t="s">
        <v>16264</v>
      </c>
      <c r="G4771" s="9"/>
      <c r="H4771" s="257" t="s">
        <v>22829</v>
      </c>
      <c r="I4771" s="9">
        <v>3</v>
      </c>
    </row>
    <row r="4772" spans="1:9">
      <c r="A4772" s="257" t="s">
        <v>5870</v>
      </c>
      <c r="B4772" s="9">
        <v>9</v>
      </c>
      <c r="C4772" s="257" t="s">
        <v>12298</v>
      </c>
      <c r="D4772" s="9">
        <v>0</v>
      </c>
      <c r="E4772" s="9">
        <v>1721642.4785900116</v>
      </c>
      <c r="F4772" s="257" t="s">
        <v>16264</v>
      </c>
      <c r="G4772" s="9"/>
      <c r="H4772" s="257" t="s">
        <v>22830</v>
      </c>
      <c r="I4772" s="9">
        <v>3</v>
      </c>
    </row>
    <row r="4773" spans="1:9">
      <c r="A4773" s="257" t="s">
        <v>5871</v>
      </c>
      <c r="B4773" s="9">
        <v>9</v>
      </c>
      <c r="C4773" s="257" t="s">
        <v>12299</v>
      </c>
      <c r="D4773" s="9">
        <v>0</v>
      </c>
      <c r="E4773" s="9">
        <v>1721642.4785900116</v>
      </c>
      <c r="F4773" s="257" t="s">
        <v>16264</v>
      </c>
      <c r="G4773" s="9"/>
      <c r="H4773" s="257" t="s">
        <v>22831</v>
      </c>
      <c r="I4773" s="9">
        <v>3</v>
      </c>
    </row>
    <row r="4774" spans="1:9">
      <c r="A4774" s="257" t="s">
        <v>5872</v>
      </c>
      <c r="B4774" s="9">
        <v>9</v>
      </c>
      <c r="C4774" s="257" t="s">
        <v>12300</v>
      </c>
      <c r="D4774" s="9">
        <v>0</v>
      </c>
      <c r="E4774" s="9">
        <v>1721642.4785900116</v>
      </c>
      <c r="F4774" s="257" t="s">
        <v>16265</v>
      </c>
      <c r="G4774" s="9"/>
      <c r="H4774" s="257" t="s">
        <v>22832</v>
      </c>
      <c r="I4774" s="9">
        <v>3</v>
      </c>
    </row>
    <row r="4775" spans="1:9">
      <c r="A4775" s="257" t="s">
        <v>5873</v>
      </c>
      <c r="B4775" s="9">
        <v>9</v>
      </c>
      <c r="C4775" s="257" t="s">
        <v>12301</v>
      </c>
      <c r="D4775" s="9">
        <v>0</v>
      </c>
      <c r="E4775" s="9">
        <v>1721642.4785900116</v>
      </c>
      <c r="F4775" s="257" t="s">
        <v>16265</v>
      </c>
      <c r="G4775" s="9"/>
      <c r="H4775" s="257" t="s">
        <v>22833</v>
      </c>
      <c r="I4775" s="9">
        <v>3</v>
      </c>
    </row>
    <row r="4776" spans="1:9">
      <c r="A4776" s="257" t="s">
        <v>5874</v>
      </c>
      <c r="B4776" s="9">
        <v>9</v>
      </c>
      <c r="C4776" s="257" t="s">
        <v>12302</v>
      </c>
      <c r="D4776" s="9">
        <v>0</v>
      </c>
      <c r="E4776" s="9">
        <v>1721642.4785900116</v>
      </c>
      <c r="F4776" s="257" t="s">
        <v>16265</v>
      </c>
      <c r="G4776" s="9"/>
      <c r="H4776" s="257" t="s">
        <v>22834</v>
      </c>
      <c r="I4776" s="9">
        <v>3</v>
      </c>
    </row>
    <row r="4777" spans="1:9">
      <c r="A4777" s="257" t="s">
        <v>5875</v>
      </c>
      <c r="B4777" s="9">
        <v>9</v>
      </c>
      <c r="C4777" s="257" t="s">
        <v>12303</v>
      </c>
      <c r="D4777" s="9">
        <v>0</v>
      </c>
      <c r="E4777" s="9">
        <v>1721642.4785900116</v>
      </c>
      <c r="F4777" s="257" t="s">
        <v>16265</v>
      </c>
      <c r="G4777" s="9"/>
      <c r="H4777" s="257" t="s">
        <v>22835</v>
      </c>
      <c r="I4777" s="9">
        <v>3</v>
      </c>
    </row>
    <row r="4778" spans="1:9">
      <c r="A4778" s="257" t="s">
        <v>5876</v>
      </c>
      <c r="B4778" s="9">
        <v>9</v>
      </c>
      <c r="C4778" s="257" t="s">
        <v>12304</v>
      </c>
      <c r="D4778" s="9">
        <v>0</v>
      </c>
      <c r="E4778" s="9">
        <v>1721642.4785900116</v>
      </c>
      <c r="F4778" s="257" t="s">
        <v>16266</v>
      </c>
      <c r="G4778" s="9"/>
      <c r="H4778" s="257" t="s">
        <v>22836</v>
      </c>
      <c r="I4778" s="9">
        <v>3</v>
      </c>
    </row>
    <row r="4779" spans="1:9">
      <c r="A4779" s="257" t="s">
        <v>5877</v>
      </c>
      <c r="B4779" s="9">
        <v>9</v>
      </c>
      <c r="C4779" s="257" t="s">
        <v>12305</v>
      </c>
      <c r="D4779" s="9">
        <v>0</v>
      </c>
      <c r="E4779" s="9">
        <v>1721642.4785900116</v>
      </c>
      <c r="F4779" s="257" t="s">
        <v>16266</v>
      </c>
      <c r="G4779" s="9"/>
      <c r="H4779" s="257" t="s">
        <v>22837</v>
      </c>
      <c r="I4779" s="9">
        <v>3</v>
      </c>
    </row>
    <row r="4780" spans="1:9">
      <c r="A4780" s="257" t="s">
        <v>5878</v>
      </c>
      <c r="B4780" s="9">
        <v>9</v>
      </c>
      <c r="C4780" s="257" t="s">
        <v>12306</v>
      </c>
      <c r="D4780" s="9">
        <v>0</v>
      </c>
      <c r="E4780" s="9">
        <v>1721642.4785900116</v>
      </c>
      <c r="F4780" s="257" t="s">
        <v>16266</v>
      </c>
      <c r="G4780" s="9"/>
      <c r="H4780" s="257" t="s">
        <v>22838</v>
      </c>
      <c r="I4780" s="9">
        <v>3</v>
      </c>
    </row>
    <row r="4781" spans="1:9">
      <c r="A4781" s="257" t="s">
        <v>5879</v>
      </c>
      <c r="B4781" s="9">
        <v>9</v>
      </c>
      <c r="C4781" s="257" t="s">
        <v>12307</v>
      </c>
      <c r="D4781" s="9">
        <v>0</v>
      </c>
      <c r="E4781" s="9">
        <v>1721642.4785900116</v>
      </c>
      <c r="F4781" s="257" t="s">
        <v>16266</v>
      </c>
      <c r="G4781" s="9"/>
      <c r="H4781" s="257" t="s">
        <v>22839</v>
      </c>
      <c r="I4781" s="9">
        <v>3</v>
      </c>
    </row>
    <row r="4782" spans="1:9">
      <c r="A4782" s="257" t="s">
        <v>5880</v>
      </c>
      <c r="B4782" s="9">
        <v>9</v>
      </c>
      <c r="C4782" s="257" t="s">
        <v>12308</v>
      </c>
      <c r="D4782" s="9">
        <v>0</v>
      </c>
      <c r="E4782" s="9">
        <v>1721642.4785900116</v>
      </c>
      <c r="F4782" s="257" t="s">
        <v>16267</v>
      </c>
      <c r="G4782" s="9"/>
      <c r="H4782" s="257" t="s">
        <v>22840</v>
      </c>
      <c r="I4782" s="9">
        <v>3</v>
      </c>
    </row>
    <row r="4783" spans="1:9">
      <c r="A4783" s="257" t="s">
        <v>5881</v>
      </c>
      <c r="B4783" s="9">
        <v>9</v>
      </c>
      <c r="C4783" s="257" t="s">
        <v>12309</v>
      </c>
      <c r="D4783" s="9">
        <v>0</v>
      </c>
      <c r="E4783" s="9">
        <v>1721642.4785900116</v>
      </c>
      <c r="F4783" s="257" t="s">
        <v>16267</v>
      </c>
      <c r="G4783" s="9"/>
      <c r="H4783" s="257" t="s">
        <v>22841</v>
      </c>
      <c r="I4783" s="9">
        <v>3</v>
      </c>
    </row>
    <row r="4784" spans="1:9">
      <c r="A4784" s="257" t="s">
        <v>5882</v>
      </c>
      <c r="B4784" s="9">
        <v>9</v>
      </c>
      <c r="C4784" s="257" t="s">
        <v>12310</v>
      </c>
      <c r="D4784" s="9">
        <v>0</v>
      </c>
      <c r="E4784" s="9">
        <v>1721642.4785900116</v>
      </c>
      <c r="F4784" s="257" t="s">
        <v>16267</v>
      </c>
      <c r="G4784" s="9"/>
      <c r="H4784" s="257" t="s">
        <v>22842</v>
      </c>
      <c r="I4784" s="9">
        <v>3</v>
      </c>
    </row>
    <row r="4785" spans="1:9">
      <c r="A4785" s="257" t="s">
        <v>5883</v>
      </c>
      <c r="B4785" s="9">
        <v>9</v>
      </c>
      <c r="C4785" s="257" t="s">
        <v>12311</v>
      </c>
      <c r="D4785" s="9">
        <v>0</v>
      </c>
      <c r="E4785" s="9">
        <v>1721642.4785900116</v>
      </c>
      <c r="F4785" s="257" t="s">
        <v>16267</v>
      </c>
      <c r="G4785" s="9"/>
      <c r="H4785" s="257" t="s">
        <v>22843</v>
      </c>
      <c r="I4785" s="9">
        <v>3</v>
      </c>
    </row>
    <row r="4786" spans="1:9">
      <c r="A4786" s="257" t="s">
        <v>5884</v>
      </c>
      <c r="B4786" s="9">
        <v>9</v>
      </c>
      <c r="C4786" s="257" t="s">
        <v>12312</v>
      </c>
      <c r="D4786" s="9">
        <v>0</v>
      </c>
      <c r="E4786" s="9">
        <v>1721642.4785900116</v>
      </c>
      <c r="F4786" s="257" t="s">
        <v>16268</v>
      </c>
      <c r="G4786" s="9"/>
      <c r="H4786" s="257" t="s">
        <v>22844</v>
      </c>
      <c r="I4786" s="9">
        <v>3</v>
      </c>
    </row>
    <row r="4787" spans="1:9">
      <c r="A4787" s="257" t="s">
        <v>5885</v>
      </c>
      <c r="B4787" s="9">
        <v>9</v>
      </c>
      <c r="C4787" s="257" t="s">
        <v>12313</v>
      </c>
      <c r="D4787" s="9">
        <v>0</v>
      </c>
      <c r="E4787" s="9">
        <v>1721642.4785900116</v>
      </c>
      <c r="F4787" s="257" t="s">
        <v>16268</v>
      </c>
      <c r="G4787" s="9"/>
      <c r="H4787" s="257" t="s">
        <v>22845</v>
      </c>
      <c r="I4787" s="9">
        <v>3</v>
      </c>
    </row>
    <row r="4788" spans="1:9">
      <c r="A4788" s="257" t="s">
        <v>5886</v>
      </c>
      <c r="B4788" s="9">
        <v>9</v>
      </c>
      <c r="C4788" s="257" t="s">
        <v>12314</v>
      </c>
      <c r="D4788" s="9">
        <v>0</v>
      </c>
      <c r="E4788" s="9">
        <v>1721642.4785900116</v>
      </c>
      <c r="F4788" s="257" t="s">
        <v>16268</v>
      </c>
      <c r="G4788" s="9"/>
      <c r="H4788" s="257" t="s">
        <v>22846</v>
      </c>
      <c r="I4788" s="9">
        <v>3</v>
      </c>
    </row>
    <row r="4789" spans="1:9">
      <c r="A4789" s="257" t="s">
        <v>5887</v>
      </c>
      <c r="B4789" s="9">
        <v>9</v>
      </c>
      <c r="C4789" s="257" t="s">
        <v>12315</v>
      </c>
      <c r="D4789" s="9">
        <v>0</v>
      </c>
      <c r="E4789" s="9">
        <v>1721642.4785900116</v>
      </c>
      <c r="F4789" s="257" t="s">
        <v>16268</v>
      </c>
      <c r="G4789" s="9"/>
      <c r="H4789" s="257" t="s">
        <v>22847</v>
      </c>
      <c r="I4789" s="9">
        <v>3</v>
      </c>
    </row>
    <row r="4790" spans="1:9">
      <c r="A4790" s="257" t="s">
        <v>5888</v>
      </c>
      <c r="B4790" s="9">
        <v>9</v>
      </c>
      <c r="C4790" s="257" t="s">
        <v>12316</v>
      </c>
      <c r="D4790" s="9">
        <v>0</v>
      </c>
      <c r="E4790" s="9">
        <v>1721642.4785900116</v>
      </c>
      <c r="F4790" s="257" t="s">
        <v>16269</v>
      </c>
      <c r="G4790" s="9"/>
      <c r="H4790" s="257" t="s">
        <v>22848</v>
      </c>
      <c r="I4790" s="9">
        <v>3</v>
      </c>
    </row>
    <row r="4791" spans="1:9">
      <c r="A4791" s="257" t="s">
        <v>5889</v>
      </c>
      <c r="B4791" s="9">
        <v>9</v>
      </c>
      <c r="C4791" s="257" t="s">
        <v>12317</v>
      </c>
      <c r="D4791" s="9">
        <v>0</v>
      </c>
      <c r="E4791" s="9">
        <v>1721642.4785900116</v>
      </c>
      <c r="F4791" s="257" t="s">
        <v>16269</v>
      </c>
      <c r="G4791" s="9"/>
      <c r="H4791" s="257" t="s">
        <v>22849</v>
      </c>
      <c r="I4791" s="9">
        <v>3</v>
      </c>
    </row>
    <row r="4792" spans="1:9">
      <c r="A4792" s="257" t="s">
        <v>5890</v>
      </c>
      <c r="B4792" s="9">
        <v>9</v>
      </c>
      <c r="C4792" s="257" t="s">
        <v>12318</v>
      </c>
      <c r="D4792" s="9">
        <v>0</v>
      </c>
      <c r="E4792" s="9">
        <v>1721642.4785900116</v>
      </c>
      <c r="F4792" s="257" t="s">
        <v>16269</v>
      </c>
      <c r="G4792" s="9"/>
      <c r="H4792" s="257" t="s">
        <v>22850</v>
      </c>
      <c r="I4792" s="9">
        <v>3</v>
      </c>
    </row>
    <row r="4793" spans="1:9">
      <c r="A4793" s="257" t="s">
        <v>5891</v>
      </c>
      <c r="B4793" s="9">
        <v>9</v>
      </c>
      <c r="C4793" s="257" t="s">
        <v>12319</v>
      </c>
      <c r="D4793" s="9">
        <v>0</v>
      </c>
      <c r="E4793" s="9">
        <v>1721642.4785900116</v>
      </c>
      <c r="F4793" s="257" t="s">
        <v>16269</v>
      </c>
      <c r="G4793" s="9"/>
      <c r="H4793" s="257" t="s">
        <v>22851</v>
      </c>
      <c r="I4793" s="9">
        <v>3</v>
      </c>
    </row>
    <row r="4794" spans="1:9">
      <c r="A4794" s="257" t="s">
        <v>5892</v>
      </c>
      <c r="B4794" s="9">
        <v>9</v>
      </c>
      <c r="C4794" s="257" t="s">
        <v>12320</v>
      </c>
      <c r="D4794" s="9">
        <v>1719514.8772716522</v>
      </c>
      <c r="E4794" s="9">
        <v>1721642.4785900116</v>
      </c>
      <c r="F4794" s="257" t="s">
        <v>16270</v>
      </c>
      <c r="G4794" s="9"/>
      <c r="H4794" s="257" t="s">
        <v>22852</v>
      </c>
      <c r="I4794" s="9">
        <v>3</v>
      </c>
    </row>
    <row r="4795" spans="1:9">
      <c r="A4795" s="257" t="s">
        <v>5893</v>
      </c>
      <c r="B4795" s="9">
        <v>9</v>
      </c>
      <c r="C4795" s="257" t="s">
        <v>12321</v>
      </c>
      <c r="D4795" s="9">
        <v>19039674002.044788</v>
      </c>
      <c r="E4795" s="9">
        <v>1721642.4785900116</v>
      </c>
      <c r="F4795" s="257" t="s">
        <v>16270</v>
      </c>
      <c r="G4795" s="9"/>
      <c r="H4795" s="257" t="s">
        <v>22853</v>
      </c>
      <c r="I4795" s="9">
        <v>3</v>
      </c>
    </row>
    <row r="4796" spans="1:9">
      <c r="A4796" s="257" t="s">
        <v>5894</v>
      </c>
      <c r="B4796" s="9">
        <v>9</v>
      </c>
      <c r="C4796" s="257" t="s">
        <v>12322</v>
      </c>
      <c r="D4796" s="9">
        <v>0.99876420258862231</v>
      </c>
      <c r="E4796" s="9">
        <v>1721642.4785900116</v>
      </c>
      <c r="F4796" s="257" t="s">
        <v>16270</v>
      </c>
      <c r="G4796" s="9"/>
      <c r="H4796" s="257" t="s">
        <v>22854</v>
      </c>
      <c r="I4796" s="9">
        <v>3</v>
      </c>
    </row>
    <row r="4797" spans="1:9">
      <c r="A4797" s="257" t="s">
        <v>5895</v>
      </c>
      <c r="B4797" s="9">
        <v>9</v>
      </c>
      <c r="C4797" s="257" t="s">
        <v>12323</v>
      </c>
      <c r="D4797" s="9">
        <v>11059.017327243153</v>
      </c>
      <c r="E4797" s="9">
        <v>1721642.4785900116</v>
      </c>
      <c r="F4797" s="257" t="s">
        <v>16270</v>
      </c>
      <c r="G4797" s="9"/>
      <c r="H4797" s="257" t="s">
        <v>22855</v>
      </c>
      <c r="I4797" s="9">
        <v>3</v>
      </c>
    </row>
    <row r="4798" spans="1:9">
      <c r="A4798" s="257" t="s">
        <v>5896</v>
      </c>
      <c r="B4798" s="9">
        <v>9</v>
      </c>
      <c r="C4798" s="257" t="s">
        <v>12324</v>
      </c>
      <c r="D4798" s="9">
        <v>1719514.8772716522</v>
      </c>
      <c r="E4798" s="9">
        <v>1721642.4785900116</v>
      </c>
      <c r="F4798" s="257" t="s">
        <v>16271</v>
      </c>
      <c r="G4798" s="9"/>
      <c r="H4798" s="257" t="s">
        <v>22856</v>
      </c>
      <c r="I4798" s="9">
        <v>3</v>
      </c>
    </row>
    <row r="4799" spans="1:9">
      <c r="A4799" s="257" t="s">
        <v>5897</v>
      </c>
      <c r="B4799" s="9">
        <v>9</v>
      </c>
      <c r="C4799" s="257" t="s">
        <v>12325</v>
      </c>
      <c r="D4799" s="9">
        <v>19039674002.044788</v>
      </c>
      <c r="E4799" s="9">
        <v>1721642.4785900116</v>
      </c>
      <c r="F4799" s="257" t="s">
        <v>16271</v>
      </c>
      <c r="G4799" s="9"/>
      <c r="H4799" s="257" t="s">
        <v>22857</v>
      </c>
      <c r="I4799" s="9">
        <v>3</v>
      </c>
    </row>
    <row r="4800" spans="1:9">
      <c r="A4800" s="257" t="s">
        <v>5898</v>
      </c>
      <c r="B4800" s="9">
        <v>9</v>
      </c>
      <c r="C4800" s="257" t="s">
        <v>12326</v>
      </c>
      <c r="D4800" s="9">
        <v>0.99876420258862231</v>
      </c>
      <c r="E4800" s="9">
        <v>1721642.4785900116</v>
      </c>
      <c r="F4800" s="257" t="s">
        <v>16271</v>
      </c>
      <c r="G4800" s="9"/>
      <c r="H4800" s="257" t="s">
        <v>22858</v>
      </c>
      <c r="I4800" s="9">
        <v>3</v>
      </c>
    </row>
    <row r="4801" spans="1:9">
      <c r="A4801" s="257" t="s">
        <v>5899</v>
      </c>
      <c r="B4801" s="9">
        <v>9</v>
      </c>
      <c r="C4801" s="257" t="s">
        <v>12327</v>
      </c>
      <c r="D4801" s="9">
        <v>11059.017327243153</v>
      </c>
      <c r="E4801" s="9">
        <v>1721642.4785900116</v>
      </c>
      <c r="F4801" s="257" t="s">
        <v>16271</v>
      </c>
      <c r="G4801" s="9"/>
      <c r="H4801" s="257" t="s">
        <v>22859</v>
      </c>
      <c r="I4801" s="9">
        <v>3</v>
      </c>
    </row>
    <row r="4802" spans="1:9">
      <c r="A4802" s="257" t="s">
        <v>5900</v>
      </c>
      <c r="B4802" s="9">
        <v>9</v>
      </c>
      <c r="C4802" s="257" t="s">
        <v>12328</v>
      </c>
      <c r="D4802" s="9">
        <v>1719514.8772716522</v>
      </c>
      <c r="E4802" s="9">
        <v>1721642.4785900116</v>
      </c>
      <c r="F4802" s="257" t="s">
        <v>16272</v>
      </c>
      <c r="G4802" s="9"/>
      <c r="H4802" s="257" t="s">
        <v>22860</v>
      </c>
      <c r="I4802" s="9">
        <v>3</v>
      </c>
    </row>
    <row r="4803" spans="1:9">
      <c r="A4803" s="257" t="s">
        <v>5901</v>
      </c>
      <c r="B4803" s="9">
        <v>9</v>
      </c>
      <c r="C4803" s="257" t="s">
        <v>12329</v>
      </c>
      <c r="D4803" s="9">
        <v>19039674002.044788</v>
      </c>
      <c r="E4803" s="9">
        <v>1721642.4785900116</v>
      </c>
      <c r="F4803" s="257" t="s">
        <v>16272</v>
      </c>
      <c r="G4803" s="9"/>
      <c r="H4803" s="257" t="s">
        <v>22861</v>
      </c>
      <c r="I4803" s="9">
        <v>3</v>
      </c>
    </row>
    <row r="4804" spans="1:9">
      <c r="A4804" s="257" t="s">
        <v>5902</v>
      </c>
      <c r="B4804" s="9">
        <v>9</v>
      </c>
      <c r="C4804" s="257" t="s">
        <v>12330</v>
      </c>
      <c r="D4804" s="9">
        <v>0.99876420258862231</v>
      </c>
      <c r="E4804" s="9">
        <v>1721642.4785900116</v>
      </c>
      <c r="F4804" s="257" t="s">
        <v>16272</v>
      </c>
      <c r="G4804" s="9"/>
      <c r="H4804" s="257" t="s">
        <v>22862</v>
      </c>
      <c r="I4804" s="9">
        <v>3</v>
      </c>
    </row>
    <row r="4805" spans="1:9">
      <c r="A4805" s="257" t="s">
        <v>5903</v>
      </c>
      <c r="B4805" s="9">
        <v>9</v>
      </c>
      <c r="C4805" s="257" t="s">
        <v>12331</v>
      </c>
      <c r="D4805" s="9">
        <v>11059.017327243153</v>
      </c>
      <c r="E4805" s="9">
        <v>1721642.4785900116</v>
      </c>
      <c r="F4805" s="257" t="s">
        <v>16272</v>
      </c>
      <c r="G4805" s="9"/>
      <c r="H4805" s="257" t="s">
        <v>22863</v>
      </c>
      <c r="I4805" s="9">
        <v>3</v>
      </c>
    </row>
    <row r="4806" spans="1:9">
      <c r="A4806" s="257" t="s">
        <v>5904</v>
      </c>
      <c r="B4806" s="9">
        <v>9</v>
      </c>
      <c r="C4806" s="257" t="s">
        <v>12332</v>
      </c>
      <c r="D4806" s="9">
        <v>1721642.4785900116</v>
      </c>
      <c r="E4806" s="9">
        <v>1721642.4785900116</v>
      </c>
      <c r="F4806" s="257" t="s">
        <v>16273</v>
      </c>
      <c r="G4806" s="9"/>
      <c r="H4806" s="257" t="s">
        <v>22864</v>
      </c>
      <c r="I4806" s="9">
        <v>3</v>
      </c>
    </row>
    <row r="4807" spans="1:9">
      <c r="A4807" s="257" t="s">
        <v>5905</v>
      </c>
      <c r="B4807" s="9">
        <v>9</v>
      </c>
      <c r="C4807" s="257" t="s">
        <v>12333</v>
      </c>
      <c r="D4807" s="9">
        <v>3698515683.3379335</v>
      </c>
      <c r="E4807" s="9">
        <v>1721642.4785900116</v>
      </c>
      <c r="F4807" s="257" t="s">
        <v>16273</v>
      </c>
      <c r="G4807" s="9"/>
      <c r="H4807" s="257" t="s">
        <v>22865</v>
      </c>
      <c r="I4807" s="9">
        <v>3</v>
      </c>
    </row>
    <row r="4808" spans="1:9">
      <c r="A4808" s="257" t="s">
        <v>5906</v>
      </c>
      <c r="B4808" s="9">
        <v>9</v>
      </c>
      <c r="C4808" s="257" t="s">
        <v>12334</v>
      </c>
      <c r="D4808" s="9">
        <v>1</v>
      </c>
      <c r="E4808" s="9">
        <v>1721642.4785900116</v>
      </c>
      <c r="F4808" s="257" t="s">
        <v>16273</v>
      </c>
      <c r="G4808" s="9"/>
      <c r="H4808" s="257" t="s">
        <v>22866</v>
      </c>
      <c r="I4808" s="9">
        <v>3</v>
      </c>
    </row>
    <row r="4809" spans="1:9">
      <c r="A4809" s="257" t="s">
        <v>5907</v>
      </c>
      <c r="B4809" s="9">
        <v>9</v>
      </c>
      <c r="C4809" s="257" t="s">
        <v>12335</v>
      </c>
      <c r="D4809" s="9">
        <v>2148.248390320236</v>
      </c>
      <c r="E4809" s="9">
        <v>1721642.4785900116</v>
      </c>
      <c r="F4809" s="257" t="s">
        <v>16273</v>
      </c>
      <c r="G4809" s="9"/>
      <c r="H4809" s="257" t="s">
        <v>22867</v>
      </c>
      <c r="I4809" s="9">
        <v>3</v>
      </c>
    </row>
    <row r="4810" spans="1:9">
      <c r="A4810" s="257" t="s">
        <v>5908</v>
      </c>
      <c r="B4810" s="9">
        <v>9</v>
      </c>
      <c r="C4810" s="257" t="s">
        <v>12336</v>
      </c>
      <c r="D4810" s="9">
        <v>1559742.609960556</v>
      </c>
      <c r="E4810" s="9">
        <v>1721642.4785900116</v>
      </c>
      <c r="F4810" s="257" t="s">
        <v>16274</v>
      </c>
      <c r="G4810" s="9"/>
      <c r="H4810" s="257" t="s">
        <v>22868</v>
      </c>
      <c r="I4810" s="9">
        <v>3</v>
      </c>
    </row>
    <row r="4811" spans="1:9">
      <c r="A4811" s="257" t="s">
        <v>5909</v>
      </c>
      <c r="B4811" s="9">
        <v>9</v>
      </c>
      <c r="C4811" s="257" t="s">
        <v>12337</v>
      </c>
      <c r="D4811" s="9">
        <v>7299137835.5635614</v>
      </c>
      <c r="E4811" s="9">
        <v>1721642.4785900116</v>
      </c>
      <c r="F4811" s="257" t="s">
        <v>16274</v>
      </c>
      <c r="G4811" s="9"/>
      <c r="H4811" s="257" t="s">
        <v>22869</v>
      </c>
      <c r="I4811" s="9">
        <v>3</v>
      </c>
    </row>
    <row r="4812" spans="1:9">
      <c r="A4812" s="257" t="s">
        <v>5910</v>
      </c>
      <c r="B4812" s="9">
        <v>9</v>
      </c>
      <c r="C4812" s="257" t="s">
        <v>12338</v>
      </c>
      <c r="D4812" s="9">
        <v>0.90596196908312343</v>
      </c>
      <c r="E4812" s="9">
        <v>1721642.4785900116</v>
      </c>
      <c r="F4812" s="257" t="s">
        <v>16274</v>
      </c>
      <c r="G4812" s="9"/>
      <c r="H4812" s="257" t="s">
        <v>22870</v>
      </c>
      <c r="I4812" s="9">
        <v>3</v>
      </c>
    </row>
    <row r="4813" spans="1:9">
      <c r="A4813" s="257" t="s">
        <v>5911</v>
      </c>
      <c r="B4813" s="9">
        <v>9</v>
      </c>
      <c r="C4813" s="257" t="s">
        <v>12339</v>
      </c>
      <c r="D4813" s="9">
        <v>4239.6362347781978</v>
      </c>
      <c r="E4813" s="9">
        <v>1721642.4785900116</v>
      </c>
      <c r="F4813" s="257" t="s">
        <v>16274</v>
      </c>
      <c r="G4813" s="9"/>
      <c r="H4813" s="257" t="s">
        <v>22871</v>
      </c>
      <c r="I4813" s="9">
        <v>3</v>
      </c>
    </row>
    <row r="4814" spans="1:9">
      <c r="A4814" s="257" t="s">
        <v>5912</v>
      </c>
      <c r="B4814" s="9">
        <v>9</v>
      </c>
      <c r="C4814" s="257" t="s">
        <v>12340</v>
      </c>
      <c r="D4814" s="9">
        <v>1721642.4785900116</v>
      </c>
      <c r="E4814" s="9">
        <v>1721642.4785900116</v>
      </c>
      <c r="F4814" s="257" t="s">
        <v>16275</v>
      </c>
      <c r="G4814" s="9"/>
      <c r="H4814" s="257" t="s">
        <v>22872</v>
      </c>
      <c r="I4814" s="9">
        <v>3</v>
      </c>
    </row>
    <row r="4815" spans="1:9">
      <c r="A4815" s="257" t="s">
        <v>5913</v>
      </c>
      <c r="B4815" s="9">
        <v>9</v>
      </c>
      <c r="C4815" s="257" t="s">
        <v>12341</v>
      </c>
      <c r="D4815" s="9">
        <v>26338811837.608349</v>
      </c>
      <c r="E4815" s="9">
        <v>1721642.4785900116</v>
      </c>
      <c r="F4815" s="257" t="s">
        <v>16275</v>
      </c>
      <c r="G4815" s="9"/>
      <c r="H4815" s="257" t="s">
        <v>22873</v>
      </c>
      <c r="I4815" s="9">
        <v>3</v>
      </c>
    </row>
    <row r="4816" spans="1:9">
      <c r="A4816" s="257" t="s">
        <v>5914</v>
      </c>
      <c r="B4816" s="9">
        <v>9</v>
      </c>
      <c r="C4816" s="257" t="s">
        <v>12342</v>
      </c>
      <c r="D4816" s="9">
        <v>1</v>
      </c>
      <c r="E4816" s="9">
        <v>1721642.4785900116</v>
      </c>
      <c r="F4816" s="257" t="s">
        <v>16275</v>
      </c>
      <c r="G4816" s="9"/>
      <c r="H4816" s="257" t="s">
        <v>22874</v>
      </c>
      <c r="I4816" s="9">
        <v>3</v>
      </c>
    </row>
    <row r="4817" spans="1:9">
      <c r="A4817" s="257" t="s">
        <v>5915</v>
      </c>
      <c r="B4817" s="9">
        <v>9</v>
      </c>
      <c r="C4817" s="257" t="s">
        <v>12343</v>
      </c>
      <c r="D4817" s="9">
        <v>15298.653562021351</v>
      </c>
      <c r="E4817" s="9">
        <v>1721642.4785900116</v>
      </c>
      <c r="F4817" s="257" t="s">
        <v>16275</v>
      </c>
      <c r="G4817" s="9"/>
      <c r="H4817" s="257" t="s">
        <v>22875</v>
      </c>
      <c r="I4817" s="9">
        <v>3</v>
      </c>
    </row>
    <row r="4818" spans="1:9">
      <c r="A4818" s="257" t="s">
        <v>5916</v>
      </c>
      <c r="B4818" s="9">
        <v>9</v>
      </c>
      <c r="C4818" s="257" t="s">
        <v>12344</v>
      </c>
      <c r="D4818" s="9">
        <v>1721642.4785900116</v>
      </c>
      <c r="E4818" s="9">
        <v>1721642.4785900116</v>
      </c>
      <c r="F4818" s="257" t="s">
        <v>16276</v>
      </c>
      <c r="G4818" s="9"/>
      <c r="H4818" s="257" t="s">
        <v>22876</v>
      </c>
      <c r="I4818" s="9">
        <v>3</v>
      </c>
    </row>
    <row r="4819" spans="1:9">
      <c r="A4819" s="257" t="s">
        <v>5917</v>
      </c>
      <c r="B4819" s="9">
        <v>9</v>
      </c>
      <c r="C4819" s="257" t="s">
        <v>12345</v>
      </c>
      <c r="D4819" s="9">
        <v>26338811837.608349</v>
      </c>
      <c r="E4819" s="9">
        <v>1721642.4785900116</v>
      </c>
      <c r="F4819" s="257" t="s">
        <v>16276</v>
      </c>
      <c r="G4819" s="9"/>
      <c r="H4819" s="257" t="s">
        <v>22877</v>
      </c>
      <c r="I4819" s="9">
        <v>3</v>
      </c>
    </row>
    <row r="4820" spans="1:9">
      <c r="A4820" s="257" t="s">
        <v>5918</v>
      </c>
      <c r="B4820" s="9">
        <v>9</v>
      </c>
      <c r="C4820" s="257" t="s">
        <v>12346</v>
      </c>
      <c r="D4820" s="9">
        <v>1</v>
      </c>
      <c r="E4820" s="9">
        <v>1721642.4785900116</v>
      </c>
      <c r="F4820" s="257" t="s">
        <v>16276</v>
      </c>
      <c r="G4820" s="9"/>
      <c r="H4820" s="257" t="s">
        <v>22878</v>
      </c>
      <c r="I4820" s="9">
        <v>3</v>
      </c>
    </row>
    <row r="4821" spans="1:9">
      <c r="A4821" s="257" t="s">
        <v>5919</v>
      </c>
      <c r="B4821" s="9">
        <v>9</v>
      </c>
      <c r="C4821" s="257" t="s">
        <v>12347</v>
      </c>
      <c r="D4821" s="9">
        <v>15298.653562021351</v>
      </c>
      <c r="E4821" s="9">
        <v>1721642.4785900116</v>
      </c>
      <c r="F4821" s="257" t="s">
        <v>16276</v>
      </c>
      <c r="G4821" s="9"/>
      <c r="H4821" s="257" t="s">
        <v>22879</v>
      </c>
      <c r="I4821" s="9">
        <v>3</v>
      </c>
    </row>
    <row r="4822" spans="1:9">
      <c r="A4822" s="257" t="s">
        <v>5920</v>
      </c>
      <c r="B4822" s="9">
        <v>9</v>
      </c>
      <c r="C4822" s="257" t="s">
        <v>12348</v>
      </c>
      <c r="D4822" s="9">
        <v>1525066.38331604</v>
      </c>
      <c r="E4822" s="9">
        <v>1721642.4785900116</v>
      </c>
      <c r="F4822" s="257" t="s">
        <v>16277</v>
      </c>
      <c r="G4822" s="9"/>
      <c r="H4822" s="257" t="s">
        <v>22880</v>
      </c>
      <c r="I4822" s="9">
        <v>3</v>
      </c>
    </row>
    <row r="4823" spans="1:9">
      <c r="A4823" s="257" t="s">
        <v>5921</v>
      </c>
      <c r="B4823" s="9">
        <v>9</v>
      </c>
      <c r="C4823" s="257" t="s">
        <v>12349</v>
      </c>
      <c r="D4823" s="9">
        <v>11355294250.729269</v>
      </c>
      <c r="E4823" s="9">
        <v>1721642.4785900116</v>
      </c>
      <c r="F4823" s="257" t="s">
        <v>16277</v>
      </c>
      <c r="G4823" s="9"/>
      <c r="H4823" s="257" t="s">
        <v>22881</v>
      </c>
      <c r="I4823" s="9">
        <v>3</v>
      </c>
    </row>
    <row r="4824" spans="1:9">
      <c r="A4824" s="257" t="s">
        <v>5922</v>
      </c>
      <c r="B4824" s="9">
        <v>9</v>
      </c>
      <c r="C4824" s="257" t="s">
        <v>12350</v>
      </c>
      <c r="D4824" s="9">
        <v>0.88582060577701172</v>
      </c>
      <c r="E4824" s="9">
        <v>1721642.4785900116</v>
      </c>
      <c r="F4824" s="257" t="s">
        <v>16277</v>
      </c>
      <c r="G4824" s="9"/>
      <c r="H4824" s="257" t="s">
        <v>22882</v>
      </c>
      <c r="I4824" s="9">
        <v>3</v>
      </c>
    </row>
    <row r="4825" spans="1:9">
      <c r="A4825" s="257" t="s">
        <v>5923</v>
      </c>
      <c r="B4825" s="9">
        <v>9</v>
      </c>
      <c r="C4825" s="257" t="s">
        <v>12351</v>
      </c>
      <c r="D4825" s="9">
        <v>6595.6169134656875</v>
      </c>
      <c r="E4825" s="9">
        <v>1721642.4785900116</v>
      </c>
      <c r="F4825" s="257" t="s">
        <v>16277</v>
      </c>
      <c r="G4825" s="9"/>
      <c r="H4825" s="257" t="s">
        <v>22883</v>
      </c>
      <c r="I4825" s="9">
        <v>3</v>
      </c>
    </row>
    <row r="4826" spans="1:9">
      <c r="A4826" s="257" t="s">
        <v>5924</v>
      </c>
      <c r="B4826" s="9">
        <v>9</v>
      </c>
      <c r="C4826" s="257" t="s">
        <v>12352</v>
      </c>
      <c r="D4826" s="9">
        <v>1525066.38331604</v>
      </c>
      <c r="E4826" s="9">
        <v>1721642.4785900116</v>
      </c>
      <c r="F4826" s="257" t="s">
        <v>16278</v>
      </c>
      <c r="G4826" s="9"/>
      <c r="H4826" s="257" t="s">
        <v>22884</v>
      </c>
      <c r="I4826" s="9">
        <v>3</v>
      </c>
    </row>
    <row r="4827" spans="1:9">
      <c r="A4827" s="257" t="s">
        <v>5925</v>
      </c>
      <c r="B4827" s="9">
        <v>9</v>
      </c>
      <c r="C4827" s="257" t="s">
        <v>12353</v>
      </c>
      <c r="D4827" s="9">
        <v>11355294250.729269</v>
      </c>
      <c r="E4827" s="9">
        <v>1721642.4785900116</v>
      </c>
      <c r="F4827" s="257" t="s">
        <v>16278</v>
      </c>
      <c r="G4827" s="9"/>
      <c r="H4827" s="257" t="s">
        <v>22885</v>
      </c>
      <c r="I4827" s="9">
        <v>3</v>
      </c>
    </row>
    <row r="4828" spans="1:9">
      <c r="A4828" s="257" t="s">
        <v>5926</v>
      </c>
      <c r="B4828" s="9">
        <v>9</v>
      </c>
      <c r="C4828" s="257" t="s">
        <v>12354</v>
      </c>
      <c r="D4828" s="9">
        <v>0.88582060577701172</v>
      </c>
      <c r="E4828" s="9">
        <v>1721642.4785900116</v>
      </c>
      <c r="F4828" s="257" t="s">
        <v>16278</v>
      </c>
      <c r="G4828" s="9"/>
      <c r="H4828" s="257" t="s">
        <v>22886</v>
      </c>
      <c r="I4828" s="9">
        <v>3</v>
      </c>
    </row>
    <row r="4829" spans="1:9">
      <c r="A4829" s="257" t="s">
        <v>5927</v>
      </c>
      <c r="B4829" s="9">
        <v>9</v>
      </c>
      <c r="C4829" s="257" t="s">
        <v>12355</v>
      </c>
      <c r="D4829" s="9">
        <v>6595.6169134656875</v>
      </c>
      <c r="E4829" s="9">
        <v>1721642.4785900116</v>
      </c>
      <c r="F4829" s="257" t="s">
        <v>16278</v>
      </c>
      <c r="G4829" s="9"/>
      <c r="H4829" s="257" t="s">
        <v>22887</v>
      </c>
      <c r="I4829" s="9">
        <v>3</v>
      </c>
    </row>
    <row r="4830" spans="1:9">
      <c r="A4830" s="257" t="s">
        <v>5928</v>
      </c>
      <c r="B4830" s="9">
        <v>9</v>
      </c>
      <c r="C4830" s="257" t="s">
        <v>12356</v>
      </c>
      <c r="D4830" s="9">
        <v>1721642.4785900116</v>
      </c>
      <c r="E4830" s="9">
        <v>1721642.4785900116</v>
      </c>
      <c r="F4830" s="257" t="s">
        <v>16279</v>
      </c>
      <c r="G4830" s="9"/>
      <c r="H4830" s="257" t="s">
        <v>22888</v>
      </c>
      <c r="I4830" s="9">
        <v>3</v>
      </c>
    </row>
    <row r="4831" spans="1:9">
      <c r="A4831" s="257" t="s">
        <v>5929</v>
      </c>
      <c r="B4831" s="9">
        <v>9</v>
      </c>
      <c r="C4831" s="257" t="s">
        <v>12357</v>
      </c>
      <c r="D4831" s="9">
        <v>7684379751.3155184</v>
      </c>
      <c r="E4831" s="9">
        <v>1721642.4785900116</v>
      </c>
      <c r="F4831" s="257" t="s">
        <v>16279</v>
      </c>
      <c r="G4831" s="9"/>
      <c r="H4831" s="257" t="s">
        <v>22889</v>
      </c>
      <c r="I4831" s="9">
        <v>3</v>
      </c>
    </row>
    <row r="4832" spans="1:9">
      <c r="A4832" s="257" t="s">
        <v>5930</v>
      </c>
      <c r="B4832" s="9">
        <v>9</v>
      </c>
      <c r="C4832" s="257" t="s">
        <v>12358</v>
      </c>
      <c r="D4832" s="9">
        <v>1</v>
      </c>
      <c r="E4832" s="9">
        <v>1721642.4785900116</v>
      </c>
      <c r="F4832" s="257" t="s">
        <v>16279</v>
      </c>
      <c r="G4832" s="9"/>
      <c r="H4832" s="257" t="s">
        <v>22890</v>
      </c>
      <c r="I4832" s="9">
        <v>3</v>
      </c>
    </row>
    <row r="4833" spans="1:9">
      <c r="A4833" s="257" t="s">
        <v>5931</v>
      </c>
      <c r="B4833" s="9">
        <v>9</v>
      </c>
      <c r="C4833" s="257" t="s">
        <v>12359</v>
      </c>
      <c r="D4833" s="9">
        <v>4463.4004137774655</v>
      </c>
      <c r="E4833" s="9">
        <v>1721642.4785900116</v>
      </c>
      <c r="F4833" s="257" t="s">
        <v>16279</v>
      </c>
      <c r="G4833" s="9"/>
      <c r="H4833" s="257" t="s">
        <v>22891</v>
      </c>
      <c r="I4833" s="9">
        <v>3</v>
      </c>
    </row>
    <row r="4834" spans="1:9">
      <c r="A4834" s="257" t="s">
        <v>5932</v>
      </c>
      <c r="B4834" s="9">
        <v>9</v>
      </c>
      <c r="C4834" s="257" t="s">
        <v>12360</v>
      </c>
      <c r="D4834" s="9">
        <v>1721642.4785900116</v>
      </c>
      <c r="E4834" s="9">
        <v>1721642.4785900116</v>
      </c>
      <c r="F4834" s="257" t="s">
        <v>16280</v>
      </c>
      <c r="G4834" s="9"/>
      <c r="H4834" s="257" t="s">
        <v>22892</v>
      </c>
      <c r="I4834" s="9">
        <v>3</v>
      </c>
    </row>
    <row r="4835" spans="1:9">
      <c r="A4835" s="257" t="s">
        <v>5933</v>
      </c>
      <c r="B4835" s="9">
        <v>9</v>
      </c>
      <c r="C4835" s="257" t="s">
        <v>12361</v>
      </c>
      <c r="D4835" s="9">
        <v>13946159932.805191</v>
      </c>
      <c r="E4835" s="9">
        <v>1721642.4785900116</v>
      </c>
      <c r="F4835" s="257" t="s">
        <v>16280</v>
      </c>
      <c r="G4835" s="9"/>
      <c r="H4835" s="257" t="s">
        <v>22893</v>
      </c>
      <c r="I4835" s="9">
        <v>3</v>
      </c>
    </row>
    <row r="4836" spans="1:9">
      <c r="A4836" s="257" t="s">
        <v>5934</v>
      </c>
      <c r="B4836" s="9">
        <v>9</v>
      </c>
      <c r="C4836" s="257" t="s">
        <v>12362</v>
      </c>
      <c r="D4836" s="9">
        <v>1</v>
      </c>
      <c r="E4836" s="9">
        <v>1721642.4785900116</v>
      </c>
      <c r="F4836" s="257" t="s">
        <v>16280</v>
      </c>
      <c r="G4836" s="9"/>
      <c r="H4836" s="257" t="s">
        <v>22894</v>
      </c>
      <c r="I4836" s="9">
        <v>3</v>
      </c>
    </row>
    <row r="4837" spans="1:9">
      <c r="A4837" s="257" t="s">
        <v>5935</v>
      </c>
      <c r="B4837" s="9">
        <v>9</v>
      </c>
      <c r="C4837" s="257" t="s">
        <v>12363</v>
      </c>
      <c r="D4837" s="9">
        <v>8100.497116118323</v>
      </c>
      <c r="E4837" s="9">
        <v>1721642.4785900116</v>
      </c>
      <c r="F4837" s="257" t="s">
        <v>16280</v>
      </c>
      <c r="G4837" s="9"/>
      <c r="H4837" s="257" t="s">
        <v>22895</v>
      </c>
      <c r="I4837" s="9">
        <v>3</v>
      </c>
    </row>
    <row r="4838" spans="1:9">
      <c r="A4838" s="257" t="s">
        <v>5936</v>
      </c>
      <c r="B4838" s="9">
        <v>9</v>
      </c>
      <c r="C4838" s="257" t="s">
        <v>12364</v>
      </c>
      <c r="D4838" s="9">
        <v>1545424.5445251465</v>
      </c>
      <c r="E4838" s="9">
        <v>1721642.4785900116</v>
      </c>
      <c r="F4838" s="257" t="s">
        <v>16281</v>
      </c>
      <c r="G4838" s="9"/>
      <c r="H4838" s="257" t="s">
        <v>22896</v>
      </c>
      <c r="I4838" s="9">
        <v>3</v>
      </c>
    </row>
    <row r="4839" spans="1:9">
      <c r="A4839" s="257" t="s">
        <v>5937</v>
      </c>
      <c r="B4839" s="9">
        <v>9</v>
      </c>
      <c r="C4839" s="257" t="s">
        <v>12365</v>
      </c>
      <c r="D4839" s="9">
        <v>14017236005.815935</v>
      </c>
      <c r="E4839" s="9">
        <v>1721642.4785900116</v>
      </c>
      <c r="F4839" s="257" t="s">
        <v>16281</v>
      </c>
      <c r="G4839" s="9"/>
      <c r="H4839" s="257" t="s">
        <v>22897</v>
      </c>
      <c r="I4839" s="9">
        <v>3</v>
      </c>
    </row>
    <row r="4840" spans="1:9">
      <c r="A4840" s="257" t="s">
        <v>5938</v>
      </c>
      <c r="B4840" s="9">
        <v>9</v>
      </c>
      <c r="C4840" s="257" t="s">
        <v>12366</v>
      </c>
      <c r="D4840" s="9">
        <v>0.89764545411938035</v>
      </c>
      <c r="E4840" s="9">
        <v>1721642.4785900116</v>
      </c>
      <c r="F4840" s="257" t="s">
        <v>16281</v>
      </c>
      <c r="G4840" s="9"/>
      <c r="H4840" s="257" t="s">
        <v>22898</v>
      </c>
      <c r="I4840" s="9">
        <v>3</v>
      </c>
    </row>
    <row r="4841" spans="1:9">
      <c r="A4841" s="257" t="s">
        <v>5939</v>
      </c>
      <c r="B4841" s="9">
        <v>9</v>
      </c>
      <c r="C4841" s="257" t="s">
        <v>12367</v>
      </c>
      <c r="D4841" s="9">
        <v>8141.7809911938002</v>
      </c>
      <c r="E4841" s="9">
        <v>1721642.4785900116</v>
      </c>
      <c r="F4841" s="257" t="s">
        <v>16281</v>
      </c>
      <c r="G4841" s="9"/>
      <c r="H4841" s="257" t="s">
        <v>22899</v>
      </c>
      <c r="I4841" s="9">
        <v>3</v>
      </c>
    </row>
    <row r="4842" spans="1:9">
      <c r="A4842" s="257" t="s">
        <v>5940</v>
      </c>
      <c r="B4842" s="9">
        <v>9</v>
      </c>
      <c r="C4842" s="257" t="s">
        <v>12368</v>
      </c>
      <c r="D4842" s="9">
        <v>0</v>
      </c>
      <c r="E4842" s="9">
        <v>1721642.4785900116</v>
      </c>
      <c r="F4842" s="257" t="s">
        <v>16282</v>
      </c>
      <c r="G4842" s="9"/>
      <c r="H4842" s="257" t="s">
        <v>22900</v>
      </c>
      <c r="I4842" s="9">
        <v>3</v>
      </c>
    </row>
    <row r="4843" spans="1:9">
      <c r="A4843" s="257" t="s">
        <v>5941</v>
      </c>
      <c r="B4843" s="9">
        <v>9</v>
      </c>
      <c r="C4843" s="257" t="s">
        <v>12369</v>
      </c>
      <c r="D4843" s="9">
        <v>-1624584101.0127769</v>
      </c>
      <c r="E4843" s="9">
        <v>1721642.4785900116</v>
      </c>
      <c r="F4843" s="257" t="s">
        <v>16282</v>
      </c>
      <c r="G4843" s="9"/>
      <c r="H4843" s="257" t="s">
        <v>22901</v>
      </c>
      <c r="I4843" s="9">
        <v>3</v>
      </c>
    </row>
    <row r="4844" spans="1:9">
      <c r="A4844" s="257" t="s">
        <v>5942</v>
      </c>
      <c r="B4844" s="9">
        <v>9</v>
      </c>
      <c r="C4844" s="257" t="s">
        <v>12370</v>
      </c>
      <c r="D4844" s="9">
        <v>0</v>
      </c>
      <c r="E4844" s="9">
        <v>1721642.4785900116</v>
      </c>
      <c r="F4844" s="257" t="s">
        <v>16282</v>
      </c>
      <c r="G4844" s="9"/>
      <c r="H4844" s="257" t="s">
        <v>22902</v>
      </c>
      <c r="I4844" s="9">
        <v>3</v>
      </c>
    </row>
    <row r="4845" spans="1:9">
      <c r="A4845" s="257" t="s">
        <v>5943</v>
      </c>
      <c r="B4845" s="9">
        <v>9</v>
      </c>
      <c r="C4845" s="257" t="s">
        <v>12371</v>
      </c>
      <c r="D4845" s="9">
        <v>-943.62454529077172</v>
      </c>
      <c r="E4845" s="9">
        <v>1721642.4785900116</v>
      </c>
      <c r="F4845" s="257" t="s">
        <v>16282</v>
      </c>
      <c r="G4845" s="9"/>
      <c r="H4845" s="257" t="s">
        <v>22903</v>
      </c>
      <c r="I4845" s="9">
        <v>3</v>
      </c>
    </row>
    <row r="4846" spans="1:9">
      <c r="A4846" s="257" t="s">
        <v>5944</v>
      </c>
      <c r="B4846" s="9">
        <v>9</v>
      </c>
      <c r="C4846" s="257" t="s">
        <v>12372</v>
      </c>
      <c r="D4846" s="9">
        <v>1527193.9846343994</v>
      </c>
      <c r="E4846" s="9">
        <v>1721642.4785900116</v>
      </c>
      <c r="F4846" s="257" t="s">
        <v>16283</v>
      </c>
      <c r="G4846" s="9"/>
      <c r="H4846" s="257" t="s">
        <v>22904</v>
      </c>
      <c r="I4846" s="9">
        <v>3</v>
      </c>
    </row>
    <row r="4847" spans="1:9">
      <c r="A4847" s="257" t="s">
        <v>5945</v>
      </c>
      <c r="B4847" s="9">
        <v>9</v>
      </c>
      <c r="C4847" s="257" t="s">
        <v>12373</v>
      </c>
      <c r="D4847" s="9">
        <v>12392651904.803158</v>
      </c>
      <c r="E4847" s="9">
        <v>1721642.4785900116</v>
      </c>
      <c r="F4847" s="257" t="s">
        <v>16283</v>
      </c>
      <c r="G4847" s="9"/>
      <c r="H4847" s="257" t="s">
        <v>22905</v>
      </c>
      <c r="I4847" s="9">
        <v>3</v>
      </c>
    </row>
    <row r="4848" spans="1:9">
      <c r="A4848" s="257" t="s">
        <v>5946</v>
      </c>
      <c r="B4848" s="9">
        <v>9</v>
      </c>
      <c r="C4848" s="257" t="s">
        <v>12374</v>
      </c>
      <c r="D4848" s="9">
        <v>0.88705640318838941</v>
      </c>
      <c r="E4848" s="9">
        <v>1721642.4785900116</v>
      </c>
      <c r="F4848" s="257" t="s">
        <v>16283</v>
      </c>
      <c r="G4848" s="9"/>
      <c r="H4848" s="257" t="s">
        <v>22906</v>
      </c>
      <c r="I4848" s="9">
        <v>3</v>
      </c>
    </row>
    <row r="4849" spans="1:9">
      <c r="A4849" s="257" t="s">
        <v>5947</v>
      </c>
      <c r="B4849" s="9">
        <v>9</v>
      </c>
      <c r="C4849" s="257" t="s">
        <v>12375</v>
      </c>
      <c r="D4849" s="9">
        <v>7198.1564459030278</v>
      </c>
      <c r="E4849" s="9">
        <v>1721642.4785900116</v>
      </c>
      <c r="F4849" s="257" t="s">
        <v>16283</v>
      </c>
      <c r="G4849" s="9"/>
      <c r="H4849" s="257" t="s">
        <v>22907</v>
      </c>
      <c r="I4849" s="9">
        <v>3</v>
      </c>
    </row>
    <row r="4850" spans="1:9">
      <c r="A4850" s="257" t="s">
        <v>5948</v>
      </c>
      <c r="B4850" s="9">
        <v>9</v>
      </c>
      <c r="C4850" s="257" t="s">
        <v>12376</v>
      </c>
      <c r="D4850" s="9">
        <v>526238.63017272949</v>
      </c>
      <c r="E4850" s="9">
        <v>1721642.4785900116</v>
      </c>
      <c r="F4850" s="257" t="s">
        <v>16284</v>
      </c>
      <c r="G4850" s="9"/>
      <c r="H4850" s="257" t="s">
        <v>22908</v>
      </c>
      <c r="I4850" s="9">
        <v>3</v>
      </c>
    </row>
    <row r="4851" spans="1:9">
      <c r="A4851" s="257" t="s">
        <v>5949</v>
      </c>
      <c r="B4851" s="9">
        <v>9</v>
      </c>
      <c r="C4851" s="257" t="s">
        <v>12377</v>
      </c>
      <c r="D4851" s="9">
        <v>1037357654.0738885</v>
      </c>
      <c r="E4851" s="9">
        <v>1721642.4785900116</v>
      </c>
      <c r="F4851" s="257" t="s">
        <v>16284</v>
      </c>
      <c r="G4851" s="9"/>
      <c r="H4851" s="257" t="s">
        <v>22909</v>
      </c>
      <c r="I4851" s="9">
        <v>3</v>
      </c>
    </row>
    <row r="4852" spans="1:9">
      <c r="A4852" s="257" t="s">
        <v>5950</v>
      </c>
      <c r="B4852" s="9">
        <v>9</v>
      </c>
      <c r="C4852" s="257" t="s">
        <v>12378</v>
      </c>
      <c r="D4852" s="9">
        <v>0.30566080746550101</v>
      </c>
      <c r="E4852" s="9">
        <v>1721642.4785900116</v>
      </c>
      <c r="F4852" s="257" t="s">
        <v>16284</v>
      </c>
      <c r="G4852" s="9"/>
      <c r="H4852" s="257" t="s">
        <v>22910</v>
      </c>
      <c r="I4852" s="9">
        <v>3</v>
      </c>
    </row>
    <row r="4853" spans="1:9">
      <c r="A4853" s="257" t="s">
        <v>5951</v>
      </c>
      <c r="B4853" s="9">
        <v>9</v>
      </c>
      <c r="C4853" s="257" t="s">
        <v>12379</v>
      </c>
      <c r="D4853" s="9">
        <v>602.53953243733986</v>
      </c>
      <c r="E4853" s="9">
        <v>1721642.4785900116</v>
      </c>
      <c r="F4853" s="257" t="s">
        <v>16284</v>
      </c>
      <c r="G4853" s="9"/>
      <c r="H4853" s="257" t="s">
        <v>22911</v>
      </c>
      <c r="I4853" s="9">
        <v>3</v>
      </c>
    </row>
    <row r="4854" spans="1:9">
      <c r="A4854" s="257" t="s">
        <v>5952</v>
      </c>
      <c r="B4854" s="9">
        <v>9</v>
      </c>
      <c r="C4854" s="257" t="s">
        <v>12380</v>
      </c>
      <c r="D4854" s="9">
        <v>1539397.4216518402</v>
      </c>
      <c r="E4854" s="9">
        <v>1721642.4785900116</v>
      </c>
      <c r="F4854" s="257" t="s">
        <v>16285</v>
      </c>
      <c r="G4854" s="9"/>
      <c r="H4854" s="257" t="s">
        <v>22912</v>
      </c>
      <c r="I4854" s="9">
        <v>3</v>
      </c>
    </row>
    <row r="4855" spans="1:9">
      <c r="A4855" s="257" t="s">
        <v>5953</v>
      </c>
      <c r="B4855" s="9">
        <v>9</v>
      </c>
      <c r="C4855" s="257" t="s">
        <v>12381</v>
      </c>
      <c r="D4855" s="9">
        <v>6261780181.4896736</v>
      </c>
      <c r="E4855" s="9">
        <v>1721642.4785900116</v>
      </c>
      <c r="F4855" s="257" t="s">
        <v>16285</v>
      </c>
      <c r="G4855" s="9"/>
      <c r="H4855" s="257" t="s">
        <v>22913</v>
      </c>
      <c r="I4855" s="9">
        <v>3</v>
      </c>
    </row>
    <row r="4856" spans="1:9">
      <c r="A4856" s="257" t="s">
        <v>5954</v>
      </c>
      <c r="B4856" s="9">
        <v>9</v>
      </c>
      <c r="C4856" s="257" t="s">
        <v>12382</v>
      </c>
      <c r="D4856" s="9">
        <v>0.89414465592912984</v>
      </c>
      <c r="E4856" s="9">
        <v>1721642.4785900116</v>
      </c>
      <c r="F4856" s="257" t="s">
        <v>16285</v>
      </c>
      <c r="G4856" s="9"/>
      <c r="H4856" s="257" t="s">
        <v>22914</v>
      </c>
      <c r="I4856" s="9">
        <v>3</v>
      </c>
    </row>
    <row r="4857" spans="1:9">
      <c r="A4857" s="257" t="s">
        <v>5955</v>
      </c>
      <c r="B4857" s="9">
        <v>9</v>
      </c>
      <c r="C4857" s="257" t="s">
        <v>12383</v>
      </c>
      <c r="D4857" s="9">
        <v>3637.0967023408589</v>
      </c>
      <c r="E4857" s="9">
        <v>1721642.4785900116</v>
      </c>
      <c r="F4857" s="257" t="s">
        <v>16285</v>
      </c>
      <c r="G4857" s="9"/>
      <c r="H4857" s="257" t="s">
        <v>22915</v>
      </c>
      <c r="I4857" s="9">
        <v>3</v>
      </c>
    </row>
    <row r="4858" spans="1:9">
      <c r="A4858" s="257" t="s">
        <v>5956</v>
      </c>
      <c r="B4858" s="9">
        <v>9</v>
      </c>
      <c r="C4858" s="257" t="s">
        <v>12384</v>
      </c>
      <c r="D4858" s="9">
        <v>0</v>
      </c>
      <c r="E4858" s="9">
        <v>1721642.4785900116</v>
      </c>
      <c r="F4858" s="257" t="s">
        <v>16286</v>
      </c>
      <c r="G4858" s="9"/>
      <c r="H4858" s="257" t="s">
        <v>22916</v>
      </c>
      <c r="I4858" s="9">
        <v>3</v>
      </c>
    </row>
    <row r="4859" spans="1:9">
      <c r="A4859" s="257" t="s">
        <v>5957</v>
      </c>
      <c r="B4859" s="9">
        <v>9</v>
      </c>
      <c r="C4859" s="257" t="s">
        <v>12385</v>
      </c>
      <c r="D4859" s="9">
        <v>0</v>
      </c>
      <c r="E4859" s="9">
        <v>1721642.4785900116</v>
      </c>
      <c r="F4859" s="257" t="s">
        <v>16286</v>
      </c>
      <c r="G4859" s="9"/>
      <c r="H4859" s="257" t="s">
        <v>22917</v>
      </c>
      <c r="I4859" s="9">
        <v>3</v>
      </c>
    </row>
    <row r="4860" spans="1:9">
      <c r="A4860" s="257" t="s">
        <v>5958</v>
      </c>
      <c r="B4860" s="9">
        <v>9</v>
      </c>
      <c r="C4860" s="257" t="s">
        <v>12386</v>
      </c>
      <c r="D4860" s="9">
        <v>0</v>
      </c>
      <c r="E4860" s="9">
        <v>1721642.4785900116</v>
      </c>
      <c r="F4860" s="257" t="s">
        <v>16286</v>
      </c>
      <c r="G4860" s="9"/>
      <c r="H4860" s="257" t="s">
        <v>22918</v>
      </c>
      <c r="I4860" s="9">
        <v>3</v>
      </c>
    </row>
    <row r="4861" spans="1:9">
      <c r="A4861" s="257" t="s">
        <v>5959</v>
      </c>
      <c r="B4861" s="9">
        <v>9</v>
      </c>
      <c r="C4861" s="257" t="s">
        <v>12387</v>
      </c>
      <c r="D4861" s="9">
        <v>0</v>
      </c>
      <c r="E4861" s="9">
        <v>1721642.4785900116</v>
      </c>
      <c r="F4861" s="257" t="s">
        <v>16286</v>
      </c>
      <c r="G4861" s="9"/>
      <c r="H4861" s="257" t="s">
        <v>22919</v>
      </c>
      <c r="I4861" s="9">
        <v>3</v>
      </c>
    </row>
    <row r="4862" spans="1:9">
      <c r="A4862" s="257" t="s">
        <v>5960</v>
      </c>
      <c r="B4862" s="9">
        <v>10</v>
      </c>
      <c r="C4862" s="257" t="s">
        <v>12388</v>
      </c>
      <c r="D4862" s="9">
        <v>1585486.8079090118</v>
      </c>
      <c r="E4862" s="9">
        <v>1732307.5169143677</v>
      </c>
      <c r="F4862" s="257" t="s">
        <v>16287</v>
      </c>
      <c r="G4862" s="9"/>
      <c r="H4862" s="257" t="s">
        <v>22920</v>
      </c>
      <c r="I4862" s="9">
        <v>3</v>
      </c>
    </row>
    <row r="4863" spans="1:9">
      <c r="A4863" s="257" t="s">
        <v>5961</v>
      </c>
      <c r="B4863" s="9">
        <v>10</v>
      </c>
      <c r="C4863" s="257" t="s">
        <v>12389</v>
      </c>
      <c r="D4863" s="9">
        <v>24274121047.014233</v>
      </c>
      <c r="E4863" s="9">
        <v>1732307.5169143677</v>
      </c>
      <c r="F4863" s="257" t="s">
        <v>16287</v>
      </c>
      <c r="G4863" s="9"/>
      <c r="H4863" s="257" t="s">
        <v>22921</v>
      </c>
      <c r="I4863" s="9">
        <v>3</v>
      </c>
    </row>
    <row r="4864" spans="1:9">
      <c r="A4864" s="257" t="s">
        <v>5962</v>
      </c>
      <c r="B4864" s="9">
        <v>10</v>
      </c>
      <c r="C4864" s="257" t="s">
        <v>12390</v>
      </c>
      <c r="D4864" s="9">
        <v>0.91524558568742065</v>
      </c>
      <c r="E4864" s="9">
        <v>1732307.5169143677</v>
      </c>
      <c r="F4864" s="257" t="s">
        <v>16287</v>
      </c>
      <c r="G4864" s="9"/>
      <c r="H4864" s="257" t="s">
        <v>22922</v>
      </c>
      <c r="I4864" s="9">
        <v>3</v>
      </c>
    </row>
    <row r="4865" spans="1:9">
      <c r="A4865" s="257" t="s">
        <v>5963</v>
      </c>
      <c r="B4865" s="9">
        <v>10</v>
      </c>
      <c r="C4865" s="257" t="s">
        <v>12391</v>
      </c>
      <c r="D4865" s="9">
        <v>14012.593497401631</v>
      </c>
      <c r="E4865" s="9">
        <v>1732307.5169143677</v>
      </c>
      <c r="F4865" s="257" t="s">
        <v>16287</v>
      </c>
      <c r="G4865" s="9"/>
      <c r="H4865" s="257" t="s">
        <v>22923</v>
      </c>
      <c r="I4865" s="9">
        <v>3</v>
      </c>
    </row>
    <row r="4866" spans="1:9">
      <c r="A4866" s="257" t="s">
        <v>5964</v>
      </c>
      <c r="B4866" s="9">
        <v>10</v>
      </c>
      <c r="C4866" s="257" t="s">
        <v>12392</v>
      </c>
      <c r="D4866" s="9">
        <v>0</v>
      </c>
      <c r="E4866" s="9">
        <v>1732307.5169143677</v>
      </c>
      <c r="F4866" s="257" t="s">
        <v>16288</v>
      </c>
      <c r="G4866" s="9"/>
      <c r="H4866" s="257" t="s">
        <v>22924</v>
      </c>
      <c r="I4866" s="9">
        <v>3</v>
      </c>
    </row>
    <row r="4867" spans="1:9">
      <c r="A4867" s="257" t="s">
        <v>5965</v>
      </c>
      <c r="B4867" s="9">
        <v>10</v>
      </c>
      <c r="C4867" s="257" t="s">
        <v>12393</v>
      </c>
      <c r="D4867" s="9">
        <v>0</v>
      </c>
      <c r="E4867" s="9">
        <v>1732307.5169143677</v>
      </c>
      <c r="F4867" s="257" t="s">
        <v>16288</v>
      </c>
      <c r="G4867" s="9"/>
      <c r="H4867" s="257" t="s">
        <v>22925</v>
      </c>
      <c r="I4867" s="9">
        <v>3</v>
      </c>
    </row>
    <row r="4868" spans="1:9">
      <c r="A4868" s="257" t="s">
        <v>5966</v>
      </c>
      <c r="B4868" s="9">
        <v>10</v>
      </c>
      <c r="C4868" s="257" t="s">
        <v>12394</v>
      </c>
      <c r="D4868" s="9">
        <v>0</v>
      </c>
      <c r="E4868" s="9">
        <v>1732307.5169143677</v>
      </c>
      <c r="F4868" s="257" t="s">
        <v>16288</v>
      </c>
      <c r="G4868" s="9"/>
      <c r="H4868" s="257" t="s">
        <v>22926</v>
      </c>
      <c r="I4868" s="9">
        <v>3</v>
      </c>
    </row>
    <row r="4869" spans="1:9">
      <c r="A4869" s="257" t="s">
        <v>5967</v>
      </c>
      <c r="B4869" s="9">
        <v>10</v>
      </c>
      <c r="C4869" s="257" t="s">
        <v>12395</v>
      </c>
      <c r="D4869" s="9">
        <v>0</v>
      </c>
      <c r="E4869" s="9">
        <v>1732307.5169143677</v>
      </c>
      <c r="F4869" s="257" t="s">
        <v>16288</v>
      </c>
      <c r="G4869" s="9"/>
      <c r="H4869" s="257" t="s">
        <v>22927</v>
      </c>
      <c r="I4869" s="9">
        <v>3</v>
      </c>
    </row>
    <row r="4870" spans="1:9">
      <c r="A4870" s="257" t="s">
        <v>5968</v>
      </c>
      <c r="B4870" s="9">
        <v>10</v>
      </c>
      <c r="C4870" s="257" t="s">
        <v>12396</v>
      </c>
      <c r="D4870" s="9">
        <v>0</v>
      </c>
      <c r="E4870" s="9">
        <v>1732307.5169143677</v>
      </c>
      <c r="F4870" s="257" t="s">
        <v>16289</v>
      </c>
      <c r="G4870" s="9"/>
      <c r="H4870" s="257" t="s">
        <v>22928</v>
      </c>
      <c r="I4870" s="9">
        <v>3</v>
      </c>
    </row>
    <row r="4871" spans="1:9">
      <c r="A4871" s="257" t="s">
        <v>5969</v>
      </c>
      <c r="B4871" s="9">
        <v>10</v>
      </c>
      <c r="C4871" s="257" t="s">
        <v>12397</v>
      </c>
      <c r="D4871" s="9">
        <v>0</v>
      </c>
      <c r="E4871" s="9">
        <v>1732307.5169143677</v>
      </c>
      <c r="F4871" s="257" t="s">
        <v>16289</v>
      </c>
      <c r="G4871" s="9"/>
      <c r="H4871" s="257" t="s">
        <v>22929</v>
      </c>
      <c r="I4871" s="9">
        <v>3</v>
      </c>
    </row>
    <row r="4872" spans="1:9">
      <c r="A4872" s="257" t="s">
        <v>5970</v>
      </c>
      <c r="B4872" s="9">
        <v>10</v>
      </c>
      <c r="C4872" s="257" t="s">
        <v>12398</v>
      </c>
      <c r="D4872" s="9">
        <v>0</v>
      </c>
      <c r="E4872" s="9">
        <v>1732307.5169143677</v>
      </c>
      <c r="F4872" s="257" t="s">
        <v>16289</v>
      </c>
      <c r="G4872" s="9"/>
      <c r="H4872" s="257" t="s">
        <v>22930</v>
      </c>
      <c r="I4872" s="9">
        <v>3</v>
      </c>
    </row>
    <row r="4873" spans="1:9">
      <c r="A4873" s="257" t="s">
        <v>5971</v>
      </c>
      <c r="B4873" s="9">
        <v>10</v>
      </c>
      <c r="C4873" s="257" t="s">
        <v>12399</v>
      </c>
      <c r="D4873" s="9">
        <v>0</v>
      </c>
      <c r="E4873" s="9">
        <v>1732307.5169143677</v>
      </c>
      <c r="F4873" s="257" t="s">
        <v>16289</v>
      </c>
      <c r="G4873" s="9"/>
      <c r="H4873" s="257" t="s">
        <v>22931</v>
      </c>
      <c r="I4873" s="9">
        <v>3</v>
      </c>
    </row>
    <row r="4874" spans="1:9">
      <c r="A4874" s="257" t="s">
        <v>5972</v>
      </c>
      <c r="B4874" s="9">
        <v>10</v>
      </c>
      <c r="C4874" s="257" t="s">
        <v>12400</v>
      </c>
      <c r="D4874" s="9">
        <v>0</v>
      </c>
      <c r="E4874" s="9">
        <v>1732307.5169143677</v>
      </c>
      <c r="F4874" s="257" t="s">
        <v>16290</v>
      </c>
      <c r="G4874" s="9"/>
      <c r="H4874" s="257" t="s">
        <v>22932</v>
      </c>
      <c r="I4874" s="9">
        <v>3</v>
      </c>
    </row>
    <row r="4875" spans="1:9">
      <c r="A4875" s="257" t="s">
        <v>5973</v>
      </c>
      <c r="B4875" s="9">
        <v>10</v>
      </c>
      <c r="C4875" s="257" t="s">
        <v>12401</v>
      </c>
      <c r="D4875" s="9">
        <v>0</v>
      </c>
      <c r="E4875" s="9">
        <v>1732307.5169143677</v>
      </c>
      <c r="F4875" s="257" t="s">
        <v>16290</v>
      </c>
      <c r="G4875" s="9"/>
      <c r="H4875" s="257" t="s">
        <v>22933</v>
      </c>
      <c r="I4875" s="9">
        <v>3</v>
      </c>
    </row>
    <row r="4876" spans="1:9">
      <c r="A4876" s="257" t="s">
        <v>5974</v>
      </c>
      <c r="B4876" s="9">
        <v>10</v>
      </c>
      <c r="C4876" s="257" t="s">
        <v>12402</v>
      </c>
      <c r="D4876" s="9">
        <v>0</v>
      </c>
      <c r="E4876" s="9">
        <v>1732307.5169143677</v>
      </c>
      <c r="F4876" s="257" t="s">
        <v>16290</v>
      </c>
      <c r="G4876" s="9"/>
      <c r="H4876" s="257" t="s">
        <v>22934</v>
      </c>
      <c r="I4876" s="9">
        <v>3</v>
      </c>
    </row>
    <row r="4877" spans="1:9">
      <c r="A4877" s="257" t="s">
        <v>5975</v>
      </c>
      <c r="B4877" s="9">
        <v>10</v>
      </c>
      <c r="C4877" s="257" t="s">
        <v>12403</v>
      </c>
      <c r="D4877" s="9">
        <v>0</v>
      </c>
      <c r="E4877" s="9">
        <v>1732307.5169143677</v>
      </c>
      <c r="F4877" s="257" t="s">
        <v>16290</v>
      </c>
      <c r="G4877" s="9"/>
      <c r="H4877" s="257" t="s">
        <v>22935</v>
      </c>
      <c r="I4877" s="9">
        <v>3</v>
      </c>
    </row>
    <row r="4878" spans="1:9">
      <c r="A4878" s="257" t="s">
        <v>5976</v>
      </c>
      <c r="B4878" s="9">
        <v>10</v>
      </c>
      <c r="C4878" s="257" t="s">
        <v>12404</v>
      </c>
      <c r="D4878" s="9">
        <v>0</v>
      </c>
      <c r="E4878" s="9">
        <v>1732307.5169143677</v>
      </c>
      <c r="F4878" s="257" t="s">
        <v>16291</v>
      </c>
      <c r="G4878" s="9"/>
      <c r="H4878" s="257" t="s">
        <v>22936</v>
      </c>
      <c r="I4878" s="9">
        <v>3</v>
      </c>
    </row>
    <row r="4879" spans="1:9">
      <c r="A4879" s="257" t="s">
        <v>5977</v>
      </c>
      <c r="B4879" s="9">
        <v>10</v>
      </c>
      <c r="C4879" s="257" t="s">
        <v>12405</v>
      </c>
      <c r="D4879" s="9">
        <v>0</v>
      </c>
      <c r="E4879" s="9">
        <v>1732307.5169143677</v>
      </c>
      <c r="F4879" s="257" t="s">
        <v>16291</v>
      </c>
      <c r="G4879" s="9"/>
      <c r="H4879" s="257" t="s">
        <v>22937</v>
      </c>
      <c r="I4879" s="9">
        <v>3</v>
      </c>
    </row>
    <row r="4880" spans="1:9">
      <c r="A4880" s="257" t="s">
        <v>5978</v>
      </c>
      <c r="B4880" s="9">
        <v>10</v>
      </c>
      <c r="C4880" s="257" t="s">
        <v>12406</v>
      </c>
      <c r="D4880" s="9">
        <v>0</v>
      </c>
      <c r="E4880" s="9">
        <v>1732307.5169143677</v>
      </c>
      <c r="F4880" s="257" t="s">
        <v>16291</v>
      </c>
      <c r="G4880" s="9"/>
      <c r="H4880" s="257" t="s">
        <v>22938</v>
      </c>
      <c r="I4880" s="9">
        <v>3</v>
      </c>
    </row>
    <row r="4881" spans="1:9">
      <c r="A4881" s="257" t="s">
        <v>5979</v>
      </c>
      <c r="B4881" s="9">
        <v>10</v>
      </c>
      <c r="C4881" s="257" t="s">
        <v>12407</v>
      </c>
      <c r="D4881" s="9">
        <v>0</v>
      </c>
      <c r="E4881" s="9">
        <v>1732307.5169143677</v>
      </c>
      <c r="F4881" s="257" t="s">
        <v>16291</v>
      </c>
      <c r="G4881" s="9"/>
      <c r="H4881" s="257" t="s">
        <v>22939</v>
      </c>
      <c r="I4881" s="9">
        <v>3</v>
      </c>
    </row>
    <row r="4882" spans="1:9">
      <c r="A4882" s="257" t="s">
        <v>5980</v>
      </c>
      <c r="B4882" s="9">
        <v>10</v>
      </c>
      <c r="C4882" s="257" t="s">
        <v>12408</v>
      </c>
      <c r="D4882" s="9">
        <v>0</v>
      </c>
      <c r="E4882" s="9">
        <v>1732307.5169143677</v>
      </c>
      <c r="F4882" s="257" t="s">
        <v>16292</v>
      </c>
      <c r="G4882" s="9"/>
      <c r="H4882" s="257" t="s">
        <v>22940</v>
      </c>
      <c r="I4882" s="9">
        <v>3</v>
      </c>
    </row>
    <row r="4883" spans="1:9">
      <c r="A4883" s="257" t="s">
        <v>5981</v>
      </c>
      <c r="B4883" s="9">
        <v>10</v>
      </c>
      <c r="C4883" s="257" t="s">
        <v>12409</v>
      </c>
      <c r="D4883" s="9">
        <v>0</v>
      </c>
      <c r="E4883" s="9">
        <v>1732307.5169143677</v>
      </c>
      <c r="F4883" s="257" t="s">
        <v>16292</v>
      </c>
      <c r="G4883" s="9"/>
      <c r="H4883" s="257" t="s">
        <v>22941</v>
      </c>
      <c r="I4883" s="9">
        <v>3</v>
      </c>
    </row>
    <row r="4884" spans="1:9">
      <c r="A4884" s="257" t="s">
        <v>5982</v>
      </c>
      <c r="B4884" s="9">
        <v>10</v>
      </c>
      <c r="C4884" s="257" t="s">
        <v>12410</v>
      </c>
      <c r="D4884" s="9">
        <v>0</v>
      </c>
      <c r="E4884" s="9">
        <v>1732307.5169143677</v>
      </c>
      <c r="F4884" s="257" t="s">
        <v>16292</v>
      </c>
      <c r="G4884" s="9"/>
      <c r="H4884" s="257" t="s">
        <v>22942</v>
      </c>
      <c r="I4884" s="9">
        <v>3</v>
      </c>
    </row>
    <row r="4885" spans="1:9">
      <c r="A4885" s="257" t="s">
        <v>5983</v>
      </c>
      <c r="B4885" s="9">
        <v>10</v>
      </c>
      <c r="C4885" s="257" t="s">
        <v>12411</v>
      </c>
      <c r="D4885" s="9">
        <v>0</v>
      </c>
      <c r="E4885" s="9">
        <v>1732307.5169143677</v>
      </c>
      <c r="F4885" s="257" t="s">
        <v>16292</v>
      </c>
      <c r="G4885" s="9"/>
      <c r="H4885" s="257" t="s">
        <v>22943</v>
      </c>
      <c r="I4885" s="9">
        <v>3</v>
      </c>
    </row>
    <row r="4886" spans="1:9">
      <c r="A4886" s="257" t="s">
        <v>5984</v>
      </c>
      <c r="B4886" s="9">
        <v>10</v>
      </c>
      <c r="C4886" s="257" t="s">
        <v>12412</v>
      </c>
      <c r="D4886" s="9">
        <v>0</v>
      </c>
      <c r="E4886" s="9">
        <v>1732307.5169143677</v>
      </c>
      <c r="F4886" s="257" t="s">
        <v>16293</v>
      </c>
      <c r="G4886" s="9"/>
      <c r="H4886" s="257" t="s">
        <v>22944</v>
      </c>
      <c r="I4886" s="9">
        <v>3</v>
      </c>
    </row>
    <row r="4887" spans="1:9">
      <c r="A4887" s="257" t="s">
        <v>5985</v>
      </c>
      <c r="B4887" s="9">
        <v>10</v>
      </c>
      <c r="C4887" s="257" t="s">
        <v>12413</v>
      </c>
      <c r="D4887" s="9">
        <v>0</v>
      </c>
      <c r="E4887" s="9">
        <v>1732307.5169143677</v>
      </c>
      <c r="F4887" s="257" t="s">
        <v>16293</v>
      </c>
      <c r="G4887" s="9"/>
      <c r="H4887" s="257" t="s">
        <v>22945</v>
      </c>
      <c r="I4887" s="9">
        <v>3</v>
      </c>
    </row>
    <row r="4888" spans="1:9">
      <c r="A4888" s="257" t="s">
        <v>5986</v>
      </c>
      <c r="B4888" s="9">
        <v>10</v>
      </c>
      <c r="C4888" s="257" t="s">
        <v>12414</v>
      </c>
      <c r="D4888" s="9">
        <v>0</v>
      </c>
      <c r="E4888" s="9">
        <v>1732307.5169143677</v>
      </c>
      <c r="F4888" s="257" t="s">
        <v>16293</v>
      </c>
      <c r="G4888" s="9"/>
      <c r="H4888" s="257" t="s">
        <v>22946</v>
      </c>
      <c r="I4888" s="9">
        <v>3</v>
      </c>
    </row>
    <row r="4889" spans="1:9">
      <c r="A4889" s="257" t="s">
        <v>5987</v>
      </c>
      <c r="B4889" s="9">
        <v>10</v>
      </c>
      <c r="C4889" s="257" t="s">
        <v>12415</v>
      </c>
      <c r="D4889" s="9">
        <v>0</v>
      </c>
      <c r="E4889" s="9">
        <v>1732307.5169143677</v>
      </c>
      <c r="F4889" s="257" t="s">
        <v>16293</v>
      </c>
      <c r="G4889" s="9"/>
      <c r="H4889" s="257" t="s">
        <v>22947</v>
      </c>
      <c r="I4889" s="9">
        <v>3</v>
      </c>
    </row>
    <row r="4890" spans="1:9">
      <c r="A4890" s="257" t="s">
        <v>5988</v>
      </c>
      <c r="B4890" s="9">
        <v>10</v>
      </c>
      <c r="C4890" s="257" t="s">
        <v>12416</v>
      </c>
      <c r="D4890" s="9">
        <v>0</v>
      </c>
      <c r="E4890" s="9">
        <v>1732307.5169143677</v>
      </c>
      <c r="F4890" s="257" t="s">
        <v>16294</v>
      </c>
      <c r="G4890" s="9"/>
      <c r="H4890" s="257" t="s">
        <v>22948</v>
      </c>
      <c r="I4890" s="9">
        <v>3</v>
      </c>
    </row>
    <row r="4891" spans="1:9">
      <c r="A4891" s="257" t="s">
        <v>5989</v>
      </c>
      <c r="B4891" s="9">
        <v>10</v>
      </c>
      <c r="C4891" s="257" t="s">
        <v>12417</v>
      </c>
      <c r="D4891" s="9">
        <v>0</v>
      </c>
      <c r="E4891" s="9">
        <v>1732307.5169143677</v>
      </c>
      <c r="F4891" s="257" t="s">
        <v>16294</v>
      </c>
      <c r="G4891" s="9"/>
      <c r="H4891" s="257" t="s">
        <v>22949</v>
      </c>
      <c r="I4891" s="9">
        <v>3</v>
      </c>
    </row>
    <row r="4892" spans="1:9">
      <c r="A4892" s="257" t="s">
        <v>5990</v>
      </c>
      <c r="B4892" s="9">
        <v>10</v>
      </c>
      <c r="C4892" s="257" t="s">
        <v>12418</v>
      </c>
      <c r="D4892" s="9">
        <v>0</v>
      </c>
      <c r="E4892" s="9">
        <v>1732307.5169143677</v>
      </c>
      <c r="F4892" s="257" t="s">
        <v>16294</v>
      </c>
      <c r="G4892" s="9"/>
      <c r="H4892" s="257" t="s">
        <v>22950</v>
      </c>
      <c r="I4892" s="9">
        <v>3</v>
      </c>
    </row>
    <row r="4893" spans="1:9">
      <c r="A4893" s="257" t="s">
        <v>5991</v>
      </c>
      <c r="B4893" s="9">
        <v>10</v>
      </c>
      <c r="C4893" s="257" t="s">
        <v>12419</v>
      </c>
      <c r="D4893" s="9">
        <v>0</v>
      </c>
      <c r="E4893" s="9">
        <v>1732307.5169143677</v>
      </c>
      <c r="F4893" s="257" t="s">
        <v>16294</v>
      </c>
      <c r="G4893" s="9"/>
      <c r="H4893" s="257" t="s">
        <v>22951</v>
      </c>
      <c r="I4893" s="9">
        <v>3</v>
      </c>
    </row>
    <row r="4894" spans="1:9">
      <c r="A4894" s="257" t="s">
        <v>5992</v>
      </c>
      <c r="B4894" s="9">
        <v>10</v>
      </c>
      <c r="C4894" s="257" t="s">
        <v>12420</v>
      </c>
      <c r="D4894" s="9">
        <v>1725587.4099807739</v>
      </c>
      <c r="E4894" s="9">
        <v>1732307.5169143677</v>
      </c>
      <c r="F4894" s="257" t="s">
        <v>16295</v>
      </c>
      <c r="G4894" s="9"/>
      <c r="H4894" s="257" t="s">
        <v>22952</v>
      </c>
      <c r="I4894" s="9">
        <v>3</v>
      </c>
    </row>
    <row r="4895" spans="1:9">
      <c r="A4895" s="257" t="s">
        <v>5993</v>
      </c>
      <c r="B4895" s="9">
        <v>10</v>
      </c>
      <c r="C4895" s="257" t="s">
        <v>12421</v>
      </c>
      <c r="D4895" s="9">
        <v>32850892112.340694</v>
      </c>
      <c r="E4895" s="9">
        <v>1732307.5169143677</v>
      </c>
      <c r="F4895" s="257" t="s">
        <v>16295</v>
      </c>
      <c r="G4895" s="9"/>
      <c r="H4895" s="257" t="s">
        <v>22953</v>
      </c>
      <c r="I4895" s="9">
        <v>3</v>
      </c>
    </row>
    <row r="4896" spans="1:9">
      <c r="A4896" s="257" t="s">
        <v>5994</v>
      </c>
      <c r="B4896" s="9">
        <v>10</v>
      </c>
      <c r="C4896" s="257" t="s">
        <v>12422</v>
      </c>
      <c r="D4896" s="9">
        <v>0.99612071940577629</v>
      </c>
      <c r="E4896" s="9">
        <v>1732307.5169143677</v>
      </c>
      <c r="F4896" s="257" t="s">
        <v>16295</v>
      </c>
      <c r="G4896" s="9"/>
      <c r="H4896" s="257" t="s">
        <v>22954</v>
      </c>
      <c r="I4896" s="9">
        <v>3</v>
      </c>
    </row>
    <row r="4897" spans="1:9">
      <c r="A4897" s="257" t="s">
        <v>5995</v>
      </c>
      <c r="B4897" s="9">
        <v>10</v>
      </c>
      <c r="C4897" s="257" t="s">
        <v>12423</v>
      </c>
      <c r="D4897" s="9">
        <v>18963.660777074718</v>
      </c>
      <c r="E4897" s="9">
        <v>1732307.5169143677</v>
      </c>
      <c r="F4897" s="257" t="s">
        <v>16295</v>
      </c>
      <c r="G4897" s="9"/>
      <c r="H4897" s="257" t="s">
        <v>22955</v>
      </c>
      <c r="I4897" s="9">
        <v>3</v>
      </c>
    </row>
    <row r="4898" spans="1:9">
      <c r="A4898" s="257" t="s">
        <v>5996</v>
      </c>
      <c r="B4898" s="9">
        <v>10</v>
      </c>
      <c r="C4898" s="257" t="s">
        <v>12424</v>
      </c>
      <c r="D4898" s="9">
        <v>1725587.4099807739</v>
      </c>
      <c r="E4898" s="9">
        <v>1732307.5169143677</v>
      </c>
      <c r="F4898" s="257" t="s">
        <v>16296</v>
      </c>
      <c r="G4898" s="9"/>
      <c r="H4898" s="257" t="s">
        <v>22956</v>
      </c>
      <c r="I4898" s="9">
        <v>3</v>
      </c>
    </row>
    <row r="4899" spans="1:9">
      <c r="A4899" s="257" t="s">
        <v>5997</v>
      </c>
      <c r="B4899" s="9">
        <v>10</v>
      </c>
      <c r="C4899" s="257" t="s">
        <v>12425</v>
      </c>
      <c r="D4899" s="9">
        <v>32850892112.340694</v>
      </c>
      <c r="E4899" s="9">
        <v>1732307.5169143677</v>
      </c>
      <c r="F4899" s="257" t="s">
        <v>16296</v>
      </c>
      <c r="G4899" s="9"/>
      <c r="H4899" s="257" t="s">
        <v>22957</v>
      </c>
      <c r="I4899" s="9">
        <v>3</v>
      </c>
    </row>
    <row r="4900" spans="1:9">
      <c r="A4900" s="257" t="s">
        <v>5998</v>
      </c>
      <c r="B4900" s="9">
        <v>10</v>
      </c>
      <c r="C4900" s="257" t="s">
        <v>12426</v>
      </c>
      <c r="D4900" s="9">
        <v>0.99612071940577629</v>
      </c>
      <c r="E4900" s="9">
        <v>1732307.5169143677</v>
      </c>
      <c r="F4900" s="257" t="s">
        <v>16296</v>
      </c>
      <c r="G4900" s="9"/>
      <c r="H4900" s="257" t="s">
        <v>22958</v>
      </c>
      <c r="I4900" s="9">
        <v>3</v>
      </c>
    </row>
    <row r="4901" spans="1:9">
      <c r="A4901" s="257" t="s">
        <v>5999</v>
      </c>
      <c r="B4901" s="9">
        <v>10</v>
      </c>
      <c r="C4901" s="257" t="s">
        <v>12427</v>
      </c>
      <c r="D4901" s="9">
        <v>18963.660777074718</v>
      </c>
      <c r="E4901" s="9">
        <v>1732307.5169143677</v>
      </c>
      <c r="F4901" s="257" t="s">
        <v>16296</v>
      </c>
      <c r="G4901" s="9"/>
      <c r="H4901" s="257" t="s">
        <v>22959</v>
      </c>
      <c r="I4901" s="9">
        <v>3</v>
      </c>
    </row>
    <row r="4902" spans="1:9">
      <c r="A4902" s="257" t="s">
        <v>6000</v>
      </c>
      <c r="B4902" s="9">
        <v>10</v>
      </c>
      <c r="C4902" s="257" t="s">
        <v>12428</v>
      </c>
      <c r="D4902" s="9">
        <v>1725587.4099807739</v>
      </c>
      <c r="E4902" s="9">
        <v>1732307.5169143677</v>
      </c>
      <c r="F4902" s="257" t="s">
        <v>16297</v>
      </c>
      <c r="G4902" s="9"/>
      <c r="H4902" s="257" t="s">
        <v>22960</v>
      </c>
      <c r="I4902" s="9">
        <v>3</v>
      </c>
    </row>
    <row r="4903" spans="1:9">
      <c r="A4903" s="257" t="s">
        <v>6001</v>
      </c>
      <c r="B4903" s="9">
        <v>10</v>
      </c>
      <c r="C4903" s="257" t="s">
        <v>12429</v>
      </c>
      <c r="D4903" s="9">
        <v>32850892112.340694</v>
      </c>
      <c r="E4903" s="9">
        <v>1732307.5169143677</v>
      </c>
      <c r="F4903" s="257" t="s">
        <v>16297</v>
      </c>
      <c r="G4903" s="9"/>
      <c r="H4903" s="257" t="s">
        <v>22961</v>
      </c>
      <c r="I4903" s="9">
        <v>3</v>
      </c>
    </row>
    <row r="4904" spans="1:9">
      <c r="A4904" s="257" t="s">
        <v>6002</v>
      </c>
      <c r="B4904" s="9">
        <v>10</v>
      </c>
      <c r="C4904" s="257" t="s">
        <v>12430</v>
      </c>
      <c r="D4904" s="9">
        <v>0.99612071940577629</v>
      </c>
      <c r="E4904" s="9">
        <v>1732307.5169143677</v>
      </c>
      <c r="F4904" s="257" t="s">
        <v>16297</v>
      </c>
      <c r="G4904" s="9"/>
      <c r="H4904" s="257" t="s">
        <v>22962</v>
      </c>
      <c r="I4904" s="9">
        <v>3</v>
      </c>
    </row>
    <row r="4905" spans="1:9">
      <c r="A4905" s="257" t="s">
        <v>6003</v>
      </c>
      <c r="B4905" s="9">
        <v>10</v>
      </c>
      <c r="C4905" s="257" t="s">
        <v>12431</v>
      </c>
      <c r="D4905" s="9">
        <v>18963.660777074718</v>
      </c>
      <c r="E4905" s="9">
        <v>1732307.5169143677</v>
      </c>
      <c r="F4905" s="257" t="s">
        <v>16297</v>
      </c>
      <c r="G4905" s="9"/>
      <c r="H4905" s="257" t="s">
        <v>22963</v>
      </c>
      <c r="I4905" s="9">
        <v>3</v>
      </c>
    </row>
    <row r="4906" spans="1:9">
      <c r="A4906" s="257" t="s">
        <v>6004</v>
      </c>
      <c r="B4906" s="9">
        <v>10</v>
      </c>
      <c r="C4906" s="257" t="s">
        <v>12432</v>
      </c>
      <c r="D4906" s="9">
        <v>1732307.5169143677</v>
      </c>
      <c r="E4906" s="9">
        <v>1732307.5169143677</v>
      </c>
      <c r="F4906" s="257" t="s">
        <v>16298</v>
      </c>
      <c r="G4906" s="9"/>
      <c r="H4906" s="257" t="s">
        <v>22964</v>
      </c>
      <c r="I4906" s="9">
        <v>3</v>
      </c>
    </row>
    <row r="4907" spans="1:9">
      <c r="A4907" s="257" t="s">
        <v>6005</v>
      </c>
      <c r="B4907" s="9">
        <v>10</v>
      </c>
      <c r="C4907" s="257" t="s">
        <v>12433</v>
      </c>
      <c r="D4907" s="9">
        <v>7261489986.4833231</v>
      </c>
      <c r="E4907" s="9">
        <v>1732307.5169143677</v>
      </c>
      <c r="F4907" s="257" t="s">
        <v>16298</v>
      </c>
      <c r="G4907" s="9"/>
      <c r="H4907" s="257" t="s">
        <v>22965</v>
      </c>
      <c r="I4907" s="9">
        <v>3</v>
      </c>
    </row>
    <row r="4908" spans="1:9">
      <c r="A4908" s="257" t="s">
        <v>6006</v>
      </c>
      <c r="B4908" s="9">
        <v>10</v>
      </c>
      <c r="C4908" s="257" t="s">
        <v>12434</v>
      </c>
      <c r="D4908" s="9">
        <v>1</v>
      </c>
      <c r="E4908" s="9">
        <v>1732307.5169143677</v>
      </c>
      <c r="F4908" s="257" t="s">
        <v>16298</v>
      </c>
      <c r="G4908" s="9"/>
      <c r="H4908" s="257" t="s">
        <v>22966</v>
      </c>
      <c r="I4908" s="9">
        <v>3</v>
      </c>
    </row>
    <row r="4909" spans="1:9">
      <c r="A4909" s="257" t="s">
        <v>6007</v>
      </c>
      <c r="B4909" s="9">
        <v>10</v>
      </c>
      <c r="C4909" s="257" t="s">
        <v>12435</v>
      </c>
      <c r="D4909" s="9">
        <v>4191.8019263794931</v>
      </c>
      <c r="E4909" s="9">
        <v>1732307.5169143677</v>
      </c>
      <c r="F4909" s="257" t="s">
        <v>16298</v>
      </c>
      <c r="G4909" s="9"/>
      <c r="H4909" s="257" t="s">
        <v>22967</v>
      </c>
      <c r="I4909" s="9">
        <v>3</v>
      </c>
    </row>
    <row r="4910" spans="1:9">
      <c r="A4910" s="257" t="s">
        <v>6008</v>
      </c>
      <c r="B4910" s="9">
        <v>10</v>
      </c>
      <c r="C4910" s="257" t="s">
        <v>12436</v>
      </c>
      <c r="D4910" s="9">
        <v>1613816.9870243073</v>
      </c>
      <c r="E4910" s="9">
        <v>1732307.5169143677</v>
      </c>
      <c r="F4910" s="257" t="s">
        <v>16299</v>
      </c>
      <c r="G4910" s="9"/>
      <c r="H4910" s="257" t="s">
        <v>22968</v>
      </c>
      <c r="I4910" s="9">
        <v>3</v>
      </c>
    </row>
    <row r="4911" spans="1:9">
      <c r="A4911" s="257" t="s">
        <v>6009</v>
      </c>
      <c r="B4911" s="9">
        <v>10</v>
      </c>
      <c r="C4911" s="257" t="s">
        <v>12437</v>
      </c>
      <c r="D4911" s="9">
        <v>21293276052.341278</v>
      </c>
      <c r="E4911" s="9">
        <v>1732307.5169143677</v>
      </c>
      <c r="F4911" s="257" t="s">
        <v>16299</v>
      </c>
      <c r="G4911" s="9"/>
      <c r="H4911" s="257" t="s">
        <v>22969</v>
      </c>
      <c r="I4911" s="9">
        <v>3</v>
      </c>
    </row>
    <row r="4912" spans="1:9">
      <c r="A4912" s="257" t="s">
        <v>6010</v>
      </c>
      <c r="B4912" s="9">
        <v>10</v>
      </c>
      <c r="C4912" s="257" t="s">
        <v>12438</v>
      </c>
      <c r="D4912" s="9">
        <v>0.93159959837782214</v>
      </c>
      <c r="E4912" s="9">
        <v>1732307.5169143677</v>
      </c>
      <c r="F4912" s="257" t="s">
        <v>16299</v>
      </c>
      <c r="G4912" s="9"/>
      <c r="H4912" s="257" t="s">
        <v>22970</v>
      </c>
      <c r="I4912" s="9">
        <v>3</v>
      </c>
    </row>
    <row r="4913" spans="1:9">
      <c r="A4913" s="257" t="s">
        <v>6011</v>
      </c>
      <c r="B4913" s="9">
        <v>10</v>
      </c>
      <c r="C4913" s="257" t="s">
        <v>12439</v>
      </c>
      <c r="D4913" s="9">
        <v>12291.856869771846</v>
      </c>
      <c r="E4913" s="9">
        <v>1732307.5169143677</v>
      </c>
      <c r="F4913" s="257" t="s">
        <v>16299</v>
      </c>
      <c r="G4913" s="9"/>
      <c r="H4913" s="257" t="s">
        <v>22971</v>
      </c>
      <c r="I4913" s="9">
        <v>3</v>
      </c>
    </row>
    <row r="4914" spans="1:9">
      <c r="A4914" s="257" t="s">
        <v>6012</v>
      </c>
      <c r="B4914" s="9">
        <v>10</v>
      </c>
      <c r="C4914" s="257" t="s">
        <v>12440</v>
      </c>
      <c r="D4914" s="9">
        <v>1732307.5169143677</v>
      </c>
      <c r="E4914" s="9">
        <v>1732307.5169143677</v>
      </c>
      <c r="F4914" s="257" t="s">
        <v>16300</v>
      </c>
      <c r="G4914" s="9"/>
      <c r="H4914" s="257" t="s">
        <v>22972</v>
      </c>
      <c r="I4914" s="9">
        <v>3</v>
      </c>
    </row>
    <row r="4915" spans="1:9">
      <c r="A4915" s="257" t="s">
        <v>6013</v>
      </c>
      <c r="B4915" s="9">
        <v>10</v>
      </c>
      <c r="C4915" s="257" t="s">
        <v>12441</v>
      </c>
      <c r="D4915" s="9">
        <v>54144168164.681976</v>
      </c>
      <c r="E4915" s="9">
        <v>1732307.5169143677</v>
      </c>
      <c r="F4915" s="257" t="s">
        <v>16300</v>
      </c>
      <c r="G4915" s="9"/>
      <c r="H4915" s="257" t="s">
        <v>22973</v>
      </c>
      <c r="I4915" s="9">
        <v>3</v>
      </c>
    </row>
    <row r="4916" spans="1:9">
      <c r="A4916" s="257" t="s">
        <v>6014</v>
      </c>
      <c r="B4916" s="9">
        <v>10</v>
      </c>
      <c r="C4916" s="257" t="s">
        <v>12442</v>
      </c>
      <c r="D4916" s="9">
        <v>1</v>
      </c>
      <c r="E4916" s="9">
        <v>1732307.5169143677</v>
      </c>
      <c r="F4916" s="257" t="s">
        <v>16300</v>
      </c>
      <c r="G4916" s="9"/>
      <c r="H4916" s="257" t="s">
        <v>22974</v>
      </c>
      <c r="I4916" s="9">
        <v>3</v>
      </c>
    </row>
    <row r="4917" spans="1:9">
      <c r="A4917" s="257" t="s">
        <v>6015</v>
      </c>
      <c r="B4917" s="9">
        <v>10</v>
      </c>
      <c r="C4917" s="257" t="s">
        <v>12443</v>
      </c>
      <c r="D4917" s="9">
        <v>31255.517646846565</v>
      </c>
      <c r="E4917" s="9">
        <v>1732307.5169143677</v>
      </c>
      <c r="F4917" s="257" t="s">
        <v>16300</v>
      </c>
      <c r="G4917" s="9"/>
      <c r="H4917" s="257" t="s">
        <v>22975</v>
      </c>
      <c r="I4917" s="9">
        <v>3</v>
      </c>
    </row>
    <row r="4918" spans="1:9">
      <c r="A4918" s="257" t="s">
        <v>6016</v>
      </c>
      <c r="B4918" s="9">
        <v>10</v>
      </c>
      <c r="C4918" s="257" t="s">
        <v>12444</v>
      </c>
      <c r="D4918" s="9">
        <v>1732307.5169143677</v>
      </c>
      <c r="E4918" s="9">
        <v>1732307.5169143677</v>
      </c>
      <c r="F4918" s="257" t="s">
        <v>16301</v>
      </c>
      <c r="G4918" s="9"/>
      <c r="H4918" s="257" t="s">
        <v>22976</v>
      </c>
      <c r="I4918" s="9">
        <v>3</v>
      </c>
    </row>
    <row r="4919" spans="1:9">
      <c r="A4919" s="257" t="s">
        <v>6017</v>
      </c>
      <c r="B4919" s="9">
        <v>10</v>
      </c>
      <c r="C4919" s="257" t="s">
        <v>12445</v>
      </c>
      <c r="D4919" s="9">
        <v>54144168164.681976</v>
      </c>
      <c r="E4919" s="9">
        <v>1732307.5169143677</v>
      </c>
      <c r="F4919" s="257" t="s">
        <v>16301</v>
      </c>
      <c r="G4919" s="9"/>
      <c r="H4919" s="257" t="s">
        <v>22977</v>
      </c>
      <c r="I4919" s="9">
        <v>3</v>
      </c>
    </row>
    <row r="4920" spans="1:9">
      <c r="A4920" s="257" t="s">
        <v>6018</v>
      </c>
      <c r="B4920" s="9">
        <v>10</v>
      </c>
      <c r="C4920" s="257" t="s">
        <v>12446</v>
      </c>
      <c r="D4920" s="9">
        <v>1</v>
      </c>
      <c r="E4920" s="9">
        <v>1732307.5169143677</v>
      </c>
      <c r="F4920" s="257" t="s">
        <v>16301</v>
      </c>
      <c r="G4920" s="9"/>
      <c r="H4920" s="257" t="s">
        <v>22978</v>
      </c>
      <c r="I4920" s="9">
        <v>3</v>
      </c>
    </row>
    <row r="4921" spans="1:9">
      <c r="A4921" s="257" t="s">
        <v>6019</v>
      </c>
      <c r="B4921" s="9">
        <v>10</v>
      </c>
      <c r="C4921" s="257" t="s">
        <v>12447</v>
      </c>
      <c r="D4921" s="9">
        <v>31255.517646846565</v>
      </c>
      <c r="E4921" s="9">
        <v>1732307.5169143677</v>
      </c>
      <c r="F4921" s="257" t="s">
        <v>16301</v>
      </c>
      <c r="G4921" s="9"/>
      <c r="H4921" s="257" t="s">
        <v>22979</v>
      </c>
      <c r="I4921" s="9">
        <v>3</v>
      </c>
    </row>
    <row r="4922" spans="1:9">
      <c r="A4922" s="257" t="s">
        <v>6020</v>
      </c>
      <c r="B4922" s="9">
        <v>10</v>
      </c>
      <c r="C4922" s="257" t="s">
        <v>12448</v>
      </c>
      <c r="D4922" s="9">
        <v>1601396.2483463287</v>
      </c>
      <c r="E4922" s="9">
        <v>1732307.5169143677</v>
      </c>
      <c r="F4922" s="257" t="s">
        <v>16302</v>
      </c>
      <c r="G4922" s="9"/>
      <c r="H4922" s="257" t="s">
        <v>22980</v>
      </c>
      <c r="I4922" s="9">
        <v>3</v>
      </c>
    </row>
    <row r="4923" spans="1:9">
      <c r="A4923" s="257" t="s">
        <v>6021</v>
      </c>
      <c r="B4923" s="9">
        <v>10</v>
      </c>
      <c r="C4923" s="257" t="s">
        <v>12449</v>
      </c>
      <c r="D4923" s="9">
        <v>17326426117.326069</v>
      </c>
      <c r="E4923" s="9">
        <v>1732307.5169143677</v>
      </c>
      <c r="F4923" s="257" t="s">
        <v>16302</v>
      </c>
      <c r="G4923" s="9"/>
      <c r="H4923" s="257" t="s">
        <v>22981</v>
      </c>
      <c r="I4923" s="9">
        <v>3</v>
      </c>
    </row>
    <row r="4924" spans="1:9">
      <c r="A4924" s="257" t="s">
        <v>6022</v>
      </c>
      <c r="B4924" s="9">
        <v>10</v>
      </c>
      <c r="C4924" s="257" t="s">
        <v>12450</v>
      </c>
      <c r="D4924" s="9">
        <v>0.92442954424095469</v>
      </c>
      <c r="E4924" s="9">
        <v>1732307.5169143677</v>
      </c>
      <c r="F4924" s="257" t="s">
        <v>16302</v>
      </c>
      <c r="G4924" s="9"/>
      <c r="H4924" s="257" t="s">
        <v>22982</v>
      </c>
      <c r="I4924" s="9">
        <v>3</v>
      </c>
    </row>
    <row r="4925" spans="1:9">
      <c r="A4925" s="257" t="s">
        <v>6023</v>
      </c>
      <c r="B4925" s="9">
        <v>10</v>
      </c>
      <c r="C4925" s="257" t="s">
        <v>12451</v>
      </c>
      <c r="D4925" s="9">
        <v>10001.934384137732</v>
      </c>
      <c r="E4925" s="9">
        <v>1732307.5169143677</v>
      </c>
      <c r="F4925" s="257" t="s">
        <v>16302</v>
      </c>
      <c r="G4925" s="9"/>
      <c r="H4925" s="257" t="s">
        <v>22983</v>
      </c>
      <c r="I4925" s="9">
        <v>3</v>
      </c>
    </row>
    <row r="4926" spans="1:9">
      <c r="A4926" s="257" t="s">
        <v>6024</v>
      </c>
      <c r="B4926" s="9">
        <v>10</v>
      </c>
      <c r="C4926" s="257" t="s">
        <v>12452</v>
      </c>
      <c r="D4926" s="9">
        <v>1601396.2483463287</v>
      </c>
      <c r="E4926" s="9">
        <v>1732307.5169143677</v>
      </c>
      <c r="F4926" s="257" t="s">
        <v>16303</v>
      </c>
      <c r="G4926" s="9"/>
      <c r="H4926" s="257" t="s">
        <v>22984</v>
      </c>
      <c r="I4926" s="9">
        <v>3</v>
      </c>
    </row>
    <row r="4927" spans="1:9">
      <c r="A4927" s="257" t="s">
        <v>6025</v>
      </c>
      <c r="B4927" s="9">
        <v>10</v>
      </c>
      <c r="C4927" s="257" t="s">
        <v>12453</v>
      </c>
      <c r="D4927" s="9">
        <v>17326426117.326069</v>
      </c>
      <c r="E4927" s="9">
        <v>1732307.5169143677</v>
      </c>
      <c r="F4927" s="257" t="s">
        <v>16303</v>
      </c>
      <c r="G4927" s="9"/>
      <c r="H4927" s="257" t="s">
        <v>22985</v>
      </c>
      <c r="I4927" s="9">
        <v>3</v>
      </c>
    </row>
    <row r="4928" spans="1:9">
      <c r="A4928" s="257" t="s">
        <v>6026</v>
      </c>
      <c r="B4928" s="9">
        <v>10</v>
      </c>
      <c r="C4928" s="257" t="s">
        <v>12454</v>
      </c>
      <c r="D4928" s="9">
        <v>0.92442954424095469</v>
      </c>
      <c r="E4928" s="9">
        <v>1732307.5169143677</v>
      </c>
      <c r="F4928" s="257" t="s">
        <v>16303</v>
      </c>
      <c r="G4928" s="9"/>
      <c r="H4928" s="257" t="s">
        <v>22986</v>
      </c>
      <c r="I4928" s="9">
        <v>3</v>
      </c>
    </row>
    <row r="4929" spans="1:9">
      <c r="A4929" s="257" t="s">
        <v>6027</v>
      </c>
      <c r="B4929" s="9">
        <v>10</v>
      </c>
      <c r="C4929" s="257" t="s">
        <v>12455</v>
      </c>
      <c r="D4929" s="9">
        <v>10001.934384137732</v>
      </c>
      <c r="E4929" s="9">
        <v>1732307.5169143677</v>
      </c>
      <c r="F4929" s="257" t="s">
        <v>16303</v>
      </c>
      <c r="G4929" s="9"/>
      <c r="H4929" s="257" t="s">
        <v>22987</v>
      </c>
      <c r="I4929" s="9">
        <v>3</v>
      </c>
    </row>
    <row r="4930" spans="1:9">
      <c r="A4930" s="257" t="s">
        <v>6028</v>
      </c>
      <c r="B4930" s="9">
        <v>10</v>
      </c>
      <c r="C4930" s="257" t="s">
        <v>12456</v>
      </c>
      <c r="D4930" s="9">
        <v>1732307.5169143677</v>
      </c>
      <c r="E4930" s="9">
        <v>1732307.5169143677</v>
      </c>
      <c r="F4930" s="257" t="s">
        <v>16304</v>
      </c>
      <c r="G4930" s="9"/>
      <c r="H4930" s="257" t="s">
        <v>22988</v>
      </c>
      <c r="I4930" s="9">
        <v>3</v>
      </c>
    </row>
    <row r="4931" spans="1:9">
      <c r="A4931" s="257" t="s">
        <v>6029</v>
      </c>
      <c r="B4931" s="9">
        <v>10</v>
      </c>
      <c r="C4931" s="257" t="s">
        <v>12457</v>
      </c>
      <c r="D4931" s="9">
        <v>15524465995.014627</v>
      </c>
      <c r="E4931" s="9">
        <v>1732307.5169143677</v>
      </c>
      <c r="F4931" s="257" t="s">
        <v>16304</v>
      </c>
      <c r="G4931" s="9"/>
      <c r="H4931" s="257" t="s">
        <v>22989</v>
      </c>
      <c r="I4931" s="9">
        <v>3</v>
      </c>
    </row>
    <row r="4932" spans="1:9">
      <c r="A4932" s="257" t="s">
        <v>6030</v>
      </c>
      <c r="B4932" s="9">
        <v>10</v>
      </c>
      <c r="C4932" s="257" t="s">
        <v>12458</v>
      </c>
      <c r="D4932" s="9">
        <v>1</v>
      </c>
      <c r="E4932" s="9">
        <v>1732307.5169143677</v>
      </c>
      <c r="F4932" s="257" t="s">
        <v>16304</v>
      </c>
      <c r="G4932" s="9"/>
      <c r="H4932" s="257" t="s">
        <v>22990</v>
      </c>
      <c r="I4932" s="9">
        <v>3</v>
      </c>
    </row>
    <row r="4933" spans="1:9">
      <c r="A4933" s="257" t="s">
        <v>6031</v>
      </c>
      <c r="B4933" s="9">
        <v>10</v>
      </c>
      <c r="C4933" s="257" t="s">
        <v>12459</v>
      </c>
      <c r="D4933" s="9">
        <v>8961.7263929369892</v>
      </c>
      <c r="E4933" s="9">
        <v>1732307.5169143677</v>
      </c>
      <c r="F4933" s="257" t="s">
        <v>16304</v>
      </c>
      <c r="G4933" s="9"/>
      <c r="H4933" s="257" t="s">
        <v>22991</v>
      </c>
      <c r="I4933" s="9">
        <v>3</v>
      </c>
    </row>
    <row r="4934" spans="1:9">
      <c r="A4934" s="257" t="s">
        <v>6032</v>
      </c>
      <c r="B4934" s="9">
        <v>10</v>
      </c>
      <c r="C4934" s="257" t="s">
        <v>12460</v>
      </c>
      <c r="D4934" s="9">
        <v>1732307.5169143677</v>
      </c>
      <c r="E4934" s="9">
        <v>1732307.5169143677</v>
      </c>
      <c r="F4934" s="257" t="s">
        <v>16305</v>
      </c>
      <c r="G4934" s="9"/>
      <c r="H4934" s="257" t="s">
        <v>22992</v>
      </c>
      <c r="I4934" s="9">
        <v>3</v>
      </c>
    </row>
    <row r="4935" spans="1:9">
      <c r="A4935" s="257" t="s">
        <v>6033</v>
      </c>
      <c r="B4935" s="9">
        <v>10</v>
      </c>
      <c r="C4935" s="257" t="s">
        <v>12461</v>
      </c>
      <c r="D4935" s="9">
        <v>31535611033.497555</v>
      </c>
      <c r="E4935" s="9">
        <v>1732307.5169143677</v>
      </c>
      <c r="F4935" s="257" t="s">
        <v>16305</v>
      </c>
      <c r="G4935" s="9"/>
      <c r="H4935" s="257" t="s">
        <v>22993</v>
      </c>
      <c r="I4935" s="9">
        <v>3</v>
      </c>
    </row>
    <row r="4936" spans="1:9">
      <c r="A4936" s="257" t="s">
        <v>6034</v>
      </c>
      <c r="B4936" s="9">
        <v>10</v>
      </c>
      <c r="C4936" s="257" t="s">
        <v>12462</v>
      </c>
      <c r="D4936" s="9">
        <v>1</v>
      </c>
      <c r="E4936" s="9">
        <v>1732307.5169143677</v>
      </c>
      <c r="F4936" s="257" t="s">
        <v>16305</v>
      </c>
      <c r="G4936" s="9"/>
      <c r="H4936" s="257" t="s">
        <v>22994</v>
      </c>
      <c r="I4936" s="9">
        <v>3</v>
      </c>
    </row>
    <row r="4937" spans="1:9">
      <c r="A4937" s="257" t="s">
        <v>6035</v>
      </c>
      <c r="B4937" s="9">
        <v>10</v>
      </c>
      <c r="C4937" s="257" t="s">
        <v>12463</v>
      </c>
      <c r="D4937" s="9">
        <v>18204.395423781123</v>
      </c>
      <c r="E4937" s="9">
        <v>1732307.5169143677</v>
      </c>
      <c r="F4937" s="257" t="s">
        <v>16305</v>
      </c>
      <c r="G4937" s="9"/>
      <c r="H4937" s="257" t="s">
        <v>22995</v>
      </c>
      <c r="I4937" s="9">
        <v>3</v>
      </c>
    </row>
    <row r="4938" spans="1:9">
      <c r="A4938" s="257" t="s">
        <v>6036</v>
      </c>
      <c r="B4938" s="9">
        <v>10</v>
      </c>
      <c r="C4938" s="257" t="s">
        <v>12464</v>
      </c>
      <c r="D4938" s="9">
        <v>1650453.2440738678</v>
      </c>
      <c r="E4938" s="9">
        <v>1732307.5169143677</v>
      </c>
      <c r="F4938" s="257" t="s">
        <v>16306</v>
      </c>
      <c r="G4938" s="9"/>
      <c r="H4938" s="257" t="s">
        <v>22996</v>
      </c>
      <c r="I4938" s="9">
        <v>3</v>
      </c>
    </row>
    <row r="4939" spans="1:9">
      <c r="A4939" s="257" t="s">
        <v>6037</v>
      </c>
      <c r="B4939" s="9">
        <v>10</v>
      </c>
      <c r="C4939" s="257" t="s">
        <v>12465</v>
      </c>
      <c r="D4939" s="9">
        <v>25746762707.765099</v>
      </c>
      <c r="E4939" s="9">
        <v>1732307.5169143677</v>
      </c>
      <c r="F4939" s="257" t="s">
        <v>16306</v>
      </c>
      <c r="G4939" s="9"/>
      <c r="H4939" s="257" t="s">
        <v>22997</v>
      </c>
      <c r="I4939" s="9">
        <v>3</v>
      </c>
    </row>
    <row r="4940" spans="1:9">
      <c r="A4940" s="257" t="s">
        <v>6038</v>
      </c>
      <c r="B4940" s="9">
        <v>10</v>
      </c>
      <c r="C4940" s="257" t="s">
        <v>12466</v>
      </c>
      <c r="D4940" s="9">
        <v>0.95274841675553024</v>
      </c>
      <c r="E4940" s="9">
        <v>1732307.5169143677</v>
      </c>
      <c r="F4940" s="257" t="s">
        <v>16306</v>
      </c>
      <c r="G4940" s="9"/>
      <c r="H4940" s="257" t="s">
        <v>22998</v>
      </c>
      <c r="I4940" s="9">
        <v>3</v>
      </c>
    </row>
    <row r="4941" spans="1:9">
      <c r="A4941" s="257" t="s">
        <v>6039</v>
      </c>
      <c r="B4941" s="9">
        <v>10</v>
      </c>
      <c r="C4941" s="257" t="s">
        <v>12467</v>
      </c>
      <c r="D4941" s="9">
        <v>14862.697561704239</v>
      </c>
      <c r="E4941" s="9">
        <v>1732307.5169143677</v>
      </c>
      <c r="F4941" s="257" t="s">
        <v>16306</v>
      </c>
      <c r="G4941" s="9"/>
      <c r="H4941" s="257" t="s">
        <v>22999</v>
      </c>
      <c r="I4941" s="9">
        <v>3</v>
      </c>
    </row>
    <row r="4942" spans="1:9">
      <c r="A4942" s="257" t="s">
        <v>6040</v>
      </c>
      <c r="B4942" s="9">
        <v>10</v>
      </c>
      <c r="C4942" s="257" t="s">
        <v>12468</v>
      </c>
      <c r="D4942" s="9">
        <v>0</v>
      </c>
      <c r="E4942" s="9">
        <v>1732307.5169143677</v>
      </c>
      <c r="F4942" s="257" t="s">
        <v>16307</v>
      </c>
      <c r="G4942" s="9"/>
      <c r="H4942" s="257" t="s">
        <v>23000</v>
      </c>
      <c r="I4942" s="9">
        <v>3</v>
      </c>
    </row>
    <row r="4943" spans="1:9">
      <c r="A4943" s="257" t="s">
        <v>6041</v>
      </c>
      <c r="B4943" s="9">
        <v>10</v>
      </c>
      <c r="C4943" s="257" t="s">
        <v>12469</v>
      </c>
      <c r="D4943" s="9">
        <v>-3138205576.580678</v>
      </c>
      <c r="E4943" s="9">
        <v>1732307.5169143677</v>
      </c>
      <c r="F4943" s="257" t="s">
        <v>16307</v>
      </c>
      <c r="G4943" s="9"/>
      <c r="H4943" s="257" t="s">
        <v>23001</v>
      </c>
      <c r="I4943" s="9">
        <v>3</v>
      </c>
    </row>
    <row r="4944" spans="1:9">
      <c r="A4944" s="257" t="s">
        <v>6042</v>
      </c>
      <c r="B4944" s="9">
        <v>10</v>
      </c>
      <c r="C4944" s="257" t="s">
        <v>12470</v>
      </c>
      <c r="D4944" s="9">
        <v>0</v>
      </c>
      <c r="E4944" s="9">
        <v>1732307.5169143677</v>
      </c>
      <c r="F4944" s="257" t="s">
        <v>16307</v>
      </c>
      <c r="G4944" s="9"/>
      <c r="H4944" s="257" t="s">
        <v>23002</v>
      </c>
      <c r="I4944" s="9">
        <v>3</v>
      </c>
    </row>
    <row r="4945" spans="1:9">
      <c r="A4945" s="257" t="s">
        <v>6043</v>
      </c>
      <c r="B4945" s="9">
        <v>10</v>
      </c>
      <c r="C4945" s="257" t="s">
        <v>12471</v>
      </c>
      <c r="D4945" s="9">
        <v>-1811.5753386387962</v>
      </c>
      <c r="E4945" s="9">
        <v>1732307.5169143677</v>
      </c>
      <c r="F4945" s="257" t="s">
        <v>16307</v>
      </c>
      <c r="G4945" s="9"/>
      <c r="H4945" s="257" t="s">
        <v>23003</v>
      </c>
      <c r="I4945" s="9">
        <v>3</v>
      </c>
    </row>
    <row r="4946" spans="1:9">
      <c r="A4946" s="257" t="s">
        <v>6044</v>
      </c>
      <c r="B4946" s="9">
        <v>10</v>
      </c>
      <c r="C4946" s="257" t="s">
        <v>12472</v>
      </c>
      <c r="D4946" s="9">
        <v>1636734.1071720123</v>
      </c>
      <c r="E4946" s="9">
        <v>1732307.5169143677</v>
      </c>
      <c r="F4946" s="257" t="s">
        <v>16308</v>
      </c>
      <c r="G4946" s="9"/>
      <c r="H4946" s="257" t="s">
        <v>23004</v>
      </c>
      <c r="I4946" s="9">
        <v>3</v>
      </c>
    </row>
    <row r="4947" spans="1:9">
      <c r="A4947" s="257" t="s">
        <v>6045</v>
      </c>
      <c r="B4947" s="9">
        <v>10</v>
      </c>
      <c r="C4947" s="257" t="s">
        <v>12473</v>
      </c>
      <c r="D4947" s="9">
        <v>22608557131.184422</v>
      </c>
      <c r="E4947" s="9">
        <v>1732307.5169143677</v>
      </c>
      <c r="F4947" s="257" t="s">
        <v>16308</v>
      </c>
      <c r="G4947" s="9"/>
      <c r="H4947" s="257" t="s">
        <v>23005</v>
      </c>
      <c r="I4947" s="9">
        <v>3</v>
      </c>
    </row>
    <row r="4948" spans="1:9">
      <c r="A4948" s="257" t="s">
        <v>6046</v>
      </c>
      <c r="B4948" s="9">
        <v>10</v>
      </c>
      <c r="C4948" s="257" t="s">
        <v>12474</v>
      </c>
      <c r="D4948" s="9">
        <v>0.94482884314178051</v>
      </c>
      <c r="E4948" s="9">
        <v>1732307.5169143677</v>
      </c>
      <c r="F4948" s="257" t="s">
        <v>16308</v>
      </c>
      <c r="G4948" s="9"/>
      <c r="H4948" s="257" t="s">
        <v>23006</v>
      </c>
      <c r="I4948" s="9">
        <v>3</v>
      </c>
    </row>
    <row r="4949" spans="1:9">
      <c r="A4949" s="257" t="s">
        <v>6047</v>
      </c>
      <c r="B4949" s="9">
        <v>10</v>
      </c>
      <c r="C4949" s="257" t="s">
        <v>12475</v>
      </c>
      <c r="D4949" s="9">
        <v>13051.122223065444</v>
      </c>
      <c r="E4949" s="9">
        <v>1732307.5169143677</v>
      </c>
      <c r="F4949" s="257" t="s">
        <v>16308</v>
      </c>
      <c r="G4949" s="9"/>
      <c r="H4949" s="257" t="s">
        <v>23007</v>
      </c>
      <c r="I4949" s="9">
        <v>3</v>
      </c>
    </row>
    <row r="4950" spans="1:9">
      <c r="A4950" s="257" t="s">
        <v>6048</v>
      </c>
      <c r="B4950" s="9">
        <v>10</v>
      </c>
      <c r="C4950" s="257" t="s">
        <v>12476</v>
      </c>
      <c r="D4950" s="9">
        <v>773112.82204818726</v>
      </c>
      <c r="E4950" s="9">
        <v>1732307.5169143677</v>
      </c>
      <c r="F4950" s="257" t="s">
        <v>16309</v>
      </c>
      <c r="G4950" s="9"/>
      <c r="H4950" s="257" t="s">
        <v>23008</v>
      </c>
      <c r="I4950" s="9">
        <v>3</v>
      </c>
    </row>
    <row r="4951" spans="1:9">
      <c r="A4951" s="257" t="s">
        <v>6049</v>
      </c>
      <c r="B4951" s="9">
        <v>10</v>
      </c>
      <c r="C4951" s="257" t="s">
        <v>12477</v>
      </c>
      <c r="D4951" s="9">
        <v>5282131013.8583517</v>
      </c>
      <c r="E4951" s="9">
        <v>1732307.5169143677</v>
      </c>
      <c r="F4951" s="257" t="s">
        <v>16309</v>
      </c>
      <c r="G4951" s="9"/>
      <c r="H4951" s="257" t="s">
        <v>23009</v>
      </c>
      <c r="I4951" s="9">
        <v>3</v>
      </c>
    </row>
    <row r="4952" spans="1:9">
      <c r="A4952" s="257" t="s">
        <v>6050</v>
      </c>
      <c r="B4952" s="9">
        <v>10</v>
      </c>
      <c r="C4952" s="257" t="s">
        <v>12478</v>
      </c>
      <c r="D4952" s="9">
        <v>0.44629075063143314</v>
      </c>
      <c r="E4952" s="9">
        <v>1732307.5169143677</v>
      </c>
      <c r="F4952" s="257" t="s">
        <v>16309</v>
      </c>
      <c r="G4952" s="9"/>
      <c r="H4952" s="257" t="s">
        <v>23010</v>
      </c>
      <c r="I4952" s="9">
        <v>3</v>
      </c>
    </row>
    <row r="4953" spans="1:9">
      <c r="A4953" s="257" t="s">
        <v>6051</v>
      </c>
      <c r="B4953" s="9">
        <v>10</v>
      </c>
      <c r="C4953" s="257" t="s">
        <v>12479</v>
      </c>
      <c r="D4953" s="9">
        <v>3049.1878389277122</v>
      </c>
      <c r="E4953" s="9">
        <v>1732307.5169143677</v>
      </c>
      <c r="F4953" s="257" t="s">
        <v>16309</v>
      </c>
      <c r="G4953" s="9"/>
      <c r="H4953" s="257" t="s">
        <v>23011</v>
      </c>
      <c r="I4953" s="9">
        <v>3</v>
      </c>
    </row>
    <row r="4954" spans="1:9">
      <c r="A4954" s="257" t="s">
        <v>6052</v>
      </c>
      <c r="B4954" s="9">
        <v>10</v>
      </c>
      <c r="C4954" s="257" t="s">
        <v>12480</v>
      </c>
      <c r="D4954" s="9">
        <v>1585486.8079090118</v>
      </c>
      <c r="E4954" s="9">
        <v>1732307.5169143677</v>
      </c>
      <c r="F4954" s="257" t="s">
        <v>16310</v>
      </c>
      <c r="G4954" s="9"/>
      <c r="H4954" s="257" t="s">
        <v>23012</v>
      </c>
      <c r="I4954" s="9">
        <v>3</v>
      </c>
    </row>
    <row r="4955" spans="1:9">
      <c r="A4955" s="257" t="s">
        <v>6053</v>
      </c>
      <c r="B4955" s="9">
        <v>10</v>
      </c>
      <c r="C4955" s="257" t="s">
        <v>12481</v>
      </c>
      <c r="D4955" s="9">
        <v>16011145038.482927</v>
      </c>
      <c r="E4955" s="9">
        <v>1732307.5169143677</v>
      </c>
      <c r="F4955" s="257" t="s">
        <v>16310</v>
      </c>
      <c r="G4955" s="9"/>
      <c r="H4955" s="257" t="s">
        <v>23013</v>
      </c>
      <c r="I4955" s="9">
        <v>3</v>
      </c>
    </row>
    <row r="4956" spans="1:9">
      <c r="A4956" s="257" t="s">
        <v>6054</v>
      </c>
      <c r="B4956" s="9">
        <v>10</v>
      </c>
      <c r="C4956" s="257" t="s">
        <v>12482</v>
      </c>
      <c r="D4956" s="9">
        <v>0.91524558568742065</v>
      </c>
      <c r="E4956" s="9">
        <v>1732307.5169143677</v>
      </c>
      <c r="F4956" s="257" t="s">
        <v>16310</v>
      </c>
      <c r="G4956" s="9"/>
      <c r="H4956" s="257" t="s">
        <v>23014</v>
      </c>
      <c r="I4956" s="9">
        <v>3</v>
      </c>
    </row>
    <row r="4957" spans="1:9">
      <c r="A4957" s="257" t="s">
        <v>6055</v>
      </c>
      <c r="B4957" s="9">
        <v>10</v>
      </c>
      <c r="C4957" s="257" t="s">
        <v>12483</v>
      </c>
      <c r="D4957" s="9">
        <v>9242.6690308441339</v>
      </c>
      <c r="E4957" s="9">
        <v>1732307.5169143677</v>
      </c>
      <c r="F4957" s="257" t="s">
        <v>16310</v>
      </c>
      <c r="G4957" s="9"/>
      <c r="H4957" s="257" t="s">
        <v>23015</v>
      </c>
      <c r="I4957" s="9">
        <v>3</v>
      </c>
    </row>
    <row r="4958" spans="1:9">
      <c r="A4958" s="257" t="s">
        <v>6056</v>
      </c>
      <c r="B4958" s="9">
        <v>10</v>
      </c>
      <c r="C4958" s="257" t="s">
        <v>12484</v>
      </c>
      <c r="D4958" s="9">
        <v>0</v>
      </c>
      <c r="E4958" s="9">
        <v>1732307.5169143677</v>
      </c>
      <c r="F4958" s="257" t="s">
        <v>16311</v>
      </c>
      <c r="G4958" s="9"/>
      <c r="H4958" s="257" t="s">
        <v>23016</v>
      </c>
      <c r="I4958" s="9">
        <v>3</v>
      </c>
    </row>
    <row r="4959" spans="1:9">
      <c r="A4959" s="257" t="s">
        <v>6057</v>
      </c>
      <c r="B4959" s="9">
        <v>10</v>
      </c>
      <c r="C4959" s="257" t="s">
        <v>12485</v>
      </c>
      <c r="D4959" s="9">
        <v>0</v>
      </c>
      <c r="E4959" s="9">
        <v>1732307.5169143677</v>
      </c>
      <c r="F4959" s="257" t="s">
        <v>16311</v>
      </c>
      <c r="G4959" s="9"/>
      <c r="H4959" s="257" t="s">
        <v>23017</v>
      </c>
      <c r="I4959" s="9">
        <v>3</v>
      </c>
    </row>
    <row r="4960" spans="1:9">
      <c r="A4960" s="257" t="s">
        <v>6058</v>
      </c>
      <c r="B4960" s="9">
        <v>10</v>
      </c>
      <c r="C4960" s="257" t="s">
        <v>12486</v>
      </c>
      <c r="D4960" s="9">
        <v>0</v>
      </c>
      <c r="E4960" s="9">
        <v>1732307.5169143677</v>
      </c>
      <c r="F4960" s="257" t="s">
        <v>16311</v>
      </c>
      <c r="G4960" s="9"/>
      <c r="H4960" s="257" t="s">
        <v>23018</v>
      </c>
      <c r="I4960" s="9">
        <v>3</v>
      </c>
    </row>
    <row r="4961" spans="1:9">
      <c r="A4961" s="257" t="s">
        <v>6059</v>
      </c>
      <c r="B4961" s="9">
        <v>10</v>
      </c>
      <c r="C4961" s="257" t="s">
        <v>12487</v>
      </c>
      <c r="D4961" s="9">
        <v>0</v>
      </c>
      <c r="E4961" s="9">
        <v>1732307.5169143677</v>
      </c>
      <c r="F4961" s="257" t="s">
        <v>16311</v>
      </c>
      <c r="G4961" s="9"/>
      <c r="H4961" s="257" t="s">
        <v>23019</v>
      </c>
      <c r="I4961" s="9">
        <v>3</v>
      </c>
    </row>
    <row r="4962" spans="1:9">
      <c r="A4962" s="257" t="s">
        <v>6060</v>
      </c>
      <c r="B4962" s="9">
        <v>1</v>
      </c>
      <c r="C4962" s="257" t="s">
        <v>12488</v>
      </c>
      <c r="D4962" s="9">
        <v>1.30585203685042E-3</v>
      </c>
      <c r="E4962" s="9"/>
      <c r="F4962" s="257" t="s">
        <v>16312</v>
      </c>
      <c r="G4962" s="9"/>
      <c r="H4962" s="257" t="s">
        <v>23020</v>
      </c>
      <c r="I4962" s="9">
        <v>3</v>
      </c>
    </row>
    <row r="4963" spans="1:9">
      <c r="A4963" s="257" t="s">
        <v>6061</v>
      </c>
      <c r="B4963" s="9">
        <v>1</v>
      </c>
      <c r="C4963" s="257" t="s">
        <v>12488</v>
      </c>
      <c r="D4963" s="9">
        <v>1.30585203685042E-3</v>
      </c>
      <c r="E4963" s="9"/>
      <c r="F4963" s="257" t="s">
        <v>16313</v>
      </c>
      <c r="G4963" s="9"/>
      <c r="H4963" s="257" t="s">
        <v>23021</v>
      </c>
      <c r="I4963" s="9">
        <v>3</v>
      </c>
    </row>
    <row r="4964" spans="1:9">
      <c r="A4964" s="257" t="s">
        <v>6062</v>
      </c>
      <c r="B4964" s="9">
        <v>1</v>
      </c>
      <c r="C4964" s="257" t="s">
        <v>12488</v>
      </c>
      <c r="D4964" s="9">
        <v>2.4232546992600931E-3</v>
      </c>
      <c r="E4964" s="9"/>
      <c r="F4964" s="257" t="s">
        <v>16314</v>
      </c>
      <c r="G4964" s="9"/>
      <c r="H4964" s="257" t="s">
        <v>23022</v>
      </c>
      <c r="I4964" s="9">
        <v>3</v>
      </c>
    </row>
    <row r="4965" spans="1:9">
      <c r="A4965" s="257" t="s">
        <v>6063</v>
      </c>
      <c r="B4965" s="9">
        <v>1</v>
      </c>
      <c r="C4965" s="257" t="s">
        <v>12488</v>
      </c>
      <c r="D4965" s="9">
        <v>0</v>
      </c>
      <c r="E4965" s="9"/>
      <c r="F4965" s="257" t="s">
        <v>16315</v>
      </c>
      <c r="G4965" s="9"/>
      <c r="H4965" s="257" t="s">
        <v>23023</v>
      </c>
      <c r="I4965" s="9">
        <v>3</v>
      </c>
    </row>
    <row r="4966" spans="1:9">
      <c r="A4966" s="257" t="s">
        <v>6064</v>
      </c>
      <c r="B4966" s="9">
        <v>1</v>
      </c>
      <c r="C4966" s="257" t="s">
        <v>12488</v>
      </c>
      <c r="D4966" s="9">
        <v>0</v>
      </c>
      <c r="E4966" s="9"/>
      <c r="F4966" s="257" t="s">
        <v>16316</v>
      </c>
      <c r="G4966" s="9"/>
      <c r="H4966" s="257" t="s">
        <v>23024</v>
      </c>
      <c r="I4966" s="9">
        <v>3</v>
      </c>
    </row>
    <row r="4967" spans="1:9">
      <c r="A4967" s="257" t="s">
        <v>6065</v>
      </c>
      <c r="B4967" s="9">
        <v>1</v>
      </c>
      <c r="C4967" s="257" t="s">
        <v>12488</v>
      </c>
      <c r="D4967" s="9">
        <v>3.7291067361105135E-3</v>
      </c>
      <c r="E4967" s="9"/>
      <c r="F4967" s="257" t="s">
        <v>16317</v>
      </c>
      <c r="G4967" s="9"/>
      <c r="H4967" s="257" t="s">
        <v>23025</v>
      </c>
      <c r="I4967" s="9">
        <v>3</v>
      </c>
    </row>
    <row r="4968" spans="1:9">
      <c r="A4968" s="257" t="s">
        <v>6066</v>
      </c>
      <c r="B4968" s="9">
        <v>1</v>
      </c>
      <c r="C4968" s="257" t="s">
        <v>12488</v>
      </c>
      <c r="D4968" s="9">
        <v>3.7291067361105135E-3</v>
      </c>
      <c r="E4968" s="9"/>
      <c r="F4968" s="257" t="s">
        <v>16318</v>
      </c>
      <c r="G4968" s="9"/>
      <c r="H4968" s="257" t="s">
        <v>23026</v>
      </c>
      <c r="I4968" s="9">
        <v>3</v>
      </c>
    </row>
    <row r="4969" spans="1:9">
      <c r="A4969" s="257" t="s">
        <v>6067</v>
      </c>
      <c r="B4969" s="9">
        <v>1</v>
      </c>
      <c r="C4969" s="257" t="s">
        <v>12488</v>
      </c>
      <c r="D4969" s="9">
        <v>3.7291067361105135E-3</v>
      </c>
      <c r="E4969" s="9"/>
      <c r="F4969" s="257" t="s">
        <v>16319</v>
      </c>
      <c r="G4969" s="9"/>
      <c r="H4969" s="257" t="s">
        <v>23027</v>
      </c>
      <c r="I4969" s="9">
        <v>3</v>
      </c>
    </row>
    <row r="4970" spans="1:9">
      <c r="A4970" s="257" t="s">
        <v>6068</v>
      </c>
      <c r="B4970" s="9">
        <v>1</v>
      </c>
      <c r="C4970" s="257" t="s">
        <v>12488</v>
      </c>
      <c r="D4970" s="9">
        <v>5.1554183425532021E-3</v>
      </c>
      <c r="E4970" s="9"/>
      <c r="F4970" s="257" t="s">
        <v>16320</v>
      </c>
      <c r="G4970" s="9"/>
      <c r="H4970" s="257" t="s">
        <v>23028</v>
      </c>
      <c r="I4970" s="9">
        <v>3</v>
      </c>
    </row>
    <row r="4971" spans="1:9">
      <c r="A4971" s="257" t="s">
        <v>6069</v>
      </c>
      <c r="B4971" s="9">
        <v>1</v>
      </c>
      <c r="C4971" s="257" t="s">
        <v>12488</v>
      </c>
      <c r="D4971" s="9">
        <v>5.1554183425532021E-3</v>
      </c>
      <c r="E4971" s="9"/>
      <c r="F4971" s="257" t="s">
        <v>16321</v>
      </c>
      <c r="G4971" s="9"/>
      <c r="H4971" s="257" t="s">
        <v>23029</v>
      </c>
      <c r="I4971" s="9">
        <v>3</v>
      </c>
    </row>
    <row r="4972" spans="1:9">
      <c r="A4972" s="257" t="s">
        <v>6070</v>
      </c>
      <c r="B4972" s="9">
        <v>1</v>
      </c>
      <c r="C4972" s="257" t="s">
        <v>12488</v>
      </c>
      <c r="D4972" s="9">
        <v>-1.4263116064426882E-3</v>
      </c>
      <c r="E4972" s="9"/>
      <c r="F4972" s="257" t="s">
        <v>16322</v>
      </c>
      <c r="G4972" s="9"/>
      <c r="H4972" s="257" t="s">
        <v>23030</v>
      </c>
      <c r="I4972" s="9">
        <v>3</v>
      </c>
    </row>
    <row r="4973" spans="1:9">
      <c r="A4973" s="257" t="s">
        <v>6071</v>
      </c>
      <c r="B4973" s="9">
        <v>1</v>
      </c>
      <c r="C4973" s="257" t="s">
        <v>12488</v>
      </c>
      <c r="D4973" s="9">
        <v>0</v>
      </c>
      <c r="E4973" s="9"/>
      <c r="F4973" s="257" t="s">
        <v>16323</v>
      </c>
      <c r="G4973" s="9"/>
      <c r="H4973" s="257" t="s">
        <v>23031</v>
      </c>
      <c r="I4973" s="9">
        <v>3</v>
      </c>
    </row>
    <row r="4974" spans="1:9">
      <c r="A4974" s="257" t="s">
        <v>6072</v>
      </c>
      <c r="B4974" s="9">
        <v>1</v>
      </c>
      <c r="C4974" s="257" t="s">
        <v>12488</v>
      </c>
      <c r="D4974" s="9">
        <v>0</v>
      </c>
      <c r="E4974" s="9"/>
      <c r="F4974" s="257" t="s">
        <v>16324</v>
      </c>
      <c r="G4974" s="9"/>
      <c r="H4974" s="257" t="s">
        <v>23032</v>
      </c>
      <c r="I4974" s="9">
        <v>3</v>
      </c>
    </row>
    <row r="4975" spans="1:9">
      <c r="A4975" s="257" t="s">
        <v>6073</v>
      </c>
      <c r="B4975" s="9">
        <v>1</v>
      </c>
      <c r="C4975" s="257" t="s">
        <v>12488</v>
      </c>
      <c r="D4975" s="9">
        <v>0</v>
      </c>
      <c r="E4975" s="9"/>
      <c r="F4975" s="257" t="s">
        <v>16325</v>
      </c>
      <c r="G4975" s="9"/>
      <c r="H4975" s="257" t="s">
        <v>23033</v>
      </c>
      <c r="I4975" s="9">
        <v>3</v>
      </c>
    </row>
    <row r="4976" spans="1:9">
      <c r="A4976" s="257" t="s">
        <v>6074</v>
      </c>
      <c r="B4976" s="9">
        <v>1</v>
      </c>
      <c r="C4976" s="257" t="s">
        <v>12488</v>
      </c>
      <c r="D4976" s="9">
        <v>0</v>
      </c>
      <c r="E4976" s="9"/>
      <c r="F4976" s="257" t="s">
        <v>16326</v>
      </c>
      <c r="G4976" s="9"/>
      <c r="H4976" s="257" t="s">
        <v>23034</v>
      </c>
      <c r="I4976" s="9">
        <v>3</v>
      </c>
    </row>
    <row r="4977" spans="1:9">
      <c r="A4977" s="257" t="s">
        <v>6075</v>
      </c>
      <c r="B4977" s="9">
        <v>1</v>
      </c>
      <c r="C4977" s="257" t="s">
        <v>12488</v>
      </c>
      <c r="D4977" s="9">
        <v>0</v>
      </c>
      <c r="E4977" s="9"/>
      <c r="F4977" s="257" t="s">
        <v>16327</v>
      </c>
      <c r="G4977" s="9"/>
      <c r="H4977" s="257" t="s">
        <v>23035</v>
      </c>
      <c r="I4977" s="9">
        <v>3</v>
      </c>
    </row>
    <row r="4978" spans="1:9">
      <c r="A4978" s="257" t="s">
        <v>6076</v>
      </c>
      <c r="B4978" s="9">
        <v>1</v>
      </c>
      <c r="C4978" s="257" t="s">
        <v>12488</v>
      </c>
      <c r="D4978" s="9">
        <v>0</v>
      </c>
      <c r="E4978" s="9"/>
      <c r="F4978" s="257" t="s">
        <v>16328</v>
      </c>
      <c r="G4978" s="9"/>
      <c r="H4978" s="257" t="s">
        <v>23036</v>
      </c>
      <c r="I4978" s="9">
        <v>3</v>
      </c>
    </row>
    <row r="4979" spans="1:9">
      <c r="A4979" s="257" t="s">
        <v>6077</v>
      </c>
      <c r="B4979" s="9">
        <v>1</v>
      </c>
      <c r="C4979" s="257" t="s">
        <v>12488</v>
      </c>
      <c r="D4979" s="9">
        <v>2.1589932237690485E-3</v>
      </c>
      <c r="E4979" s="9"/>
      <c r="F4979" s="257" t="s">
        <v>16329</v>
      </c>
      <c r="G4979" s="9"/>
      <c r="H4979" s="257" t="s">
        <v>23037</v>
      </c>
      <c r="I4979" s="9">
        <v>3</v>
      </c>
    </row>
    <row r="4980" spans="1:9">
      <c r="A4980" s="257" t="s">
        <v>6078</v>
      </c>
      <c r="B4980" s="9">
        <v>1</v>
      </c>
      <c r="C4980" s="257" t="s">
        <v>12488</v>
      </c>
      <c r="D4980" s="9">
        <v>-8.2106312216385544E-4</v>
      </c>
      <c r="E4980" s="9"/>
      <c r="F4980" s="257" t="s">
        <v>16330</v>
      </c>
      <c r="G4980" s="9"/>
      <c r="H4980" s="257" t="s">
        <v>23038</v>
      </c>
      <c r="I4980" s="9">
        <v>3</v>
      </c>
    </row>
    <row r="4981" spans="1:9">
      <c r="A4981" s="257" t="s">
        <v>6079</v>
      </c>
      <c r="B4981" s="9">
        <v>1</v>
      </c>
      <c r="C4981" s="257" t="s">
        <v>12488</v>
      </c>
      <c r="D4981" s="9">
        <v>1.337930101605193E-3</v>
      </c>
      <c r="E4981" s="9"/>
      <c r="F4981" s="257" t="s">
        <v>16331</v>
      </c>
      <c r="G4981" s="9"/>
      <c r="H4981" s="257" t="s">
        <v>23039</v>
      </c>
      <c r="I4981" s="9">
        <v>3</v>
      </c>
    </row>
    <row r="4982" spans="1:9">
      <c r="A4982" s="257" t="s">
        <v>6080</v>
      </c>
      <c r="B4982" s="9">
        <v>1</v>
      </c>
      <c r="C4982" s="257" t="s">
        <v>12488</v>
      </c>
      <c r="D4982" s="9">
        <v>1.935870185192383E-3</v>
      </c>
      <c r="E4982" s="9"/>
      <c r="F4982" s="257" t="s">
        <v>16332</v>
      </c>
      <c r="G4982" s="9"/>
      <c r="H4982" s="257" t="s">
        <v>23040</v>
      </c>
      <c r="I4982" s="9">
        <v>3</v>
      </c>
    </row>
    <row r="4983" spans="1:9">
      <c r="A4983" s="257" t="s">
        <v>6081</v>
      </c>
      <c r="B4983" s="9">
        <v>1</v>
      </c>
      <c r="C4983" s="257" t="s">
        <v>12488</v>
      </c>
      <c r="D4983" s="9">
        <v>1.8816180557556252E-3</v>
      </c>
      <c r="E4983" s="9"/>
      <c r="F4983" s="257" t="s">
        <v>16333</v>
      </c>
      <c r="G4983" s="9"/>
      <c r="H4983" s="257" t="s">
        <v>23041</v>
      </c>
      <c r="I4983" s="9">
        <v>3</v>
      </c>
    </row>
    <row r="4984" spans="1:9">
      <c r="A4984" s="257" t="s">
        <v>6082</v>
      </c>
      <c r="B4984" s="9">
        <v>1</v>
      </c>
      <c r="C4984" s="257" t="s">
        <v>12488</v>
      </c>
      <c r="D4984" s="9">
        <v>3.8174882409480085E-3</v>
      </c>
      <c r="E4984" s="9"/>
      <c r="F4984" s="257" t="s">
        <v>16334</v>
      </c>
      <c r="G4984" s="9"/>
      <c r="H4984" s="257" t="s">
        <v>23042</v>
      </c>
      <c r="I4984" s="9">
        <v>3</v>
      </c>
    </row>
    <row r="4985" spans="1:9">
      <c r="A4985" s="257" t="s">
        <v>6083</v>
      </c>
      <c r="B4985" s="9">
        <v>1</v>
      </c>
      <c r="C4985" s="257" t="s">
        <v>12488</v>
      </c>
      <c r="D4985" s="9">
        <v>-3.2078064754773199E-5</v>
      </c>
      <c r="E4985" s="9"/>
      <c r="F4985" s="257" t="s">
        <v>16335</v>
      </c>
      <c r="G4985" s="9"/>
      <c r="H4985" s="257" t="s">
        <v>23043</v>
      </c>
      <c r="I4985" s="9">
        <v>3</v>
      </c>
    </row>
    <row r="4986" spans="1:9">
      <c r="A4986" s="257" t="s">
        <v>6084</v>
      </c>
      <c r="B4986" s="9">
        <v>1</v>
      </c>
      <c r="C4986" s="257" t="s">
        <v>12488</v>
      </c>
      <c r="D4986" s="9">
        <v>-1.3942335416879149E-3</v>
      </c>
      <c r="E4986" s="9"/>
      <c r="F4986" s="257" t="s">
        <v>16336</v>
      </c>
      <c r="G4986" s="9"/>
      <c r="H4986" s="257" t="s">
        <v>23044</v>
      </c>
      <c r="I4986" s="9">
        <v>3</v>
      </c>
    </row>
    <row r="4987" spans="1:9">
      <c r="A4987" s="257" t="s">
        <v>6085</v>
      </c>
      <c r="B4987" s="9">
        <v>2</v>
      </c>
      <c r="C4987" s="257" t="s">
        <v>12488</v>
      </c>
      <c r="D4987" s="9">
        <v>1.9017827034738578E-3</v>
      </c>
      <c r="E4987" s="9"/>
      <c r="F4987" s="257" t="s">
        <v>16337</v>
      </c>
      <c r="G4987" s="9"/>
      <c r="H4987" s="257" t="s">
        <v>23045</v>
      </c>
      <c r="I4987" s="9">
        <v>3</v>
      </c>
    </row>
    <row r="4988" spans="1:9">
      <c r="A4988" s="257" t="s">
        <v>6086</v>
      </c>
      <c r="B4988" s="9">
        <v>2</v>
      </c>
      <c r="C4988" s="257" t="s">
        <v>12488</v>
      </c>
      <c r="D4988" s="9">
        <v>1.9017827034738578E-3</v>
      </c>
      <c r="E4988" s="9"/>
      <c r="F4988" s="257" t="s">
        <v>16338</v>
      </c>
      <c r="G4988" s="9"/>
      <c r="H4988" s="257" t="s">
        <v>23046</v>
      </c>
      <c r="I4988" s="9">
        <v>3</v>
      </c>
    </row>
    <row r="4989" spans="1:9">
      <c r="A4989" s="257" t="s">
        <v>6087</v>
      </c>
      <c r="B4989" s="9">
        <v>2</v>
      </c>
      <c r="C4989" s="257" t="s">
        <v>12488</v>
      </c>
      <c r="D4989" s="9">
        <v>2.9511846795462243E-3</v>
      </c>
      <c r="E4989" s="9"/>
      <c r="F4989" s="257" t="s">
        <v>16339</v>
      </c>
      <c r="G4989" s="9"/>
      <c r="H4989" s="257" t="s">
        <v>23047</v>
      </c>
      <c r="I4989" s="9">
        <v>3</v>
      </c>
    </row>
    <row r="4990" spans="1:9">
      <c r="A4990" s="257" t="s">
        <v>6088</v>
      </c>
      <c r="B4990" s="9">
        <v>2</v>
      </c>
      <c r="C4990" s="257" t="s">
        <v>12488</v>
      </c>
      <c r="D4990" s="9">
        <v>0</v>
      </c>
      <c r="E4990" s="9"/>
      <c r="F4990" s="257" t="s">
        <v>16340</v>
      </c>
      <c r="G4990" s="9"/>
      <c r="H4990" s="257" t="s">
        <v>23048</v>
      </c>
      <c r="I4990" s="9">
        <v>3</v>
      </c>
    </row>
    <row r="4991" spans="1:9">
      <c r="A4991" s="257" t="s">
        <v>6089</v>
      </c>
      <c r="B4991" s="9">
        <v>2</v>
      </c>
      <c r="C4991" s="257" t="s">
        <v>12488</v>
      </c>
      <c r="D4991" s="9">
        <v>0</v>
      </c>
      <c r="E4991" s="9"/>
      <c r="F4991" s="257" t="s">
        <v>16341</v>
      </c>
      <c r="G4991" s="9"/>
      <c r="H4991" s="257" t="s">
        <v>23049</v>
      </c>
      <c r="I4991" s="9">
        <v>3</v>
      </c>
    </row>
    <row r="4992" spans="1:9">
      <c r="A4992" s="257" t="s">
        <v>6090</v>
      </c>
      <c r="B4992" s="9">
        <v>2</v>
      </c>
      <c r="C4992" s="257" t="s">
        <v>12488</v>
      </c>
      <c r="D4992" s="9">
        <v>4.8529673830200815E-3</v>
      </c>
      <c r="E4992" s="9"/>
      <c r="F4992" s="257" t="s">
        <v>16342</v>
      </c>
      <c r="G4992" s="9"/>
      <c r="H4992" s="257" t="s">
        <v>23050</v>
      </c>
      <c r="I4992" s="9">
        <v>3</v>
      </c>
    </row>
    <row r="4993" spans="1:9">
      <c r="A4993" s="257" t="s">
        <v>6091</v>
      </c>
      <c r="B4993" s="9">
        <v>2</v>
      </c>
      <c r="C4993" s="257" t="s">
        <v>12488</v>
      </c>
      <c r="D4993" s="9">
        <v>4.8529673830200815E-3</v>
      </c>
      <c r="E4993" s="9"/>
      <c r="F4993" s="257" t="s">
        <v>16343</v>
      </c>
      <c r="G4993" s="9"/>
      <c r="H4993" s="257" t="s">
        <v>23051</v>
      </c>
      <c r="I4993" s="9">
        <v>3</v>
      </c>
    </row>
    <row r="4994" spans="1:9">
      <c r="A4994" s="257" t="s">
        <v>6092</v>
      </c>
      <c r="B4994" s="9">
        <v>2</v>
      </c>
      <c r="C4994" s="257" t="s">
        <v>12488</v>
      </c>
      <c r="D4994" s="9">
        <v>4.8529673830200815E-3</v>
      </c>
      <c r="E4994" s="9"/>
      <c r="F4994" s="257" t="s">
        <v>16344</v>
      </c>
      <c r="G4994" s="9"/>
      <c r="H4994" s="257" t="s">
        <v>23052</v>
      </c>
      <c r="I4994" s="9">
        <v>3</v>
      </c>
    </row>
    <row r="4995" spans="1:9">
      <c r="A4995" s="257" t="s">
        <v>6093</v>
      </c>
      <c r="B4995" s="9">
        <v>2</v>
      </c>
      <c r="C4995" s="257" t="s">
        <v>12488</v>
      </c>
      <c r="D4995" s="9">
        <v>6.9599732957501201E-3</v>
      </c>
      <c r="E4995" s="9"/>
      <c r="F4995" s="257" t="s">
        <v>16345</v>
      </c>
      <c r="G4995" s="9"/>
      <c r="H4995" s="257" t="s">
        <v>23053</v>
      </c>
      <c r="I4995" s="9">
        <v>3</v>
      </c>
    </row>
    <row r="4996" spans="1:9">
      <c r="A4996" s="257" t="s">
        <v>6094</v>
      </c>
      <c r="B4996" s="9">
        <v>2</v>
      </c>
      <c r="C4996" s="257" t="s">
        <v>12488</v>
      </c>
      <c r="D4996" s="9">
        <v>6.9599732957501201E-3</v>
      </c>
      <c r="E4996" s="9"/>
      <c r="F4996" s="257" t="s">
        <v>16346</v>
      </c>
      <c r="G4996" s="9"/>
      <c r="H4996" s="257" t="s">
        <v>23054</v>
      </c>
      <c r="I4996" s="9">
        <v>3</v>
      </c>
    </row>
    <row r="4997" spans="1:9">
      <c r="A4997" s="257" t="s">
        <v>6095</v>
      </c>
      <c r="B4997" s="9">
        <v>2</v>
      </c>
      <c r="C4997" s="257" t="s">
        <v>12488</v>
      </c>
      <c r="D4997" s="9">
        <v>-2.1070059127300382E-3</v>
      </c>
      <c r="E4997" s="9"/>
      <c r="F4997" s="257" t="s">
        <v>16347</v>
      </c>
      <c r="G4997" s="9"/>
      <c r="H4997" s="257" t="s">
        <v>23055</v>
      </c>
      <c r="I4997" s="9">
        <v>3</v>
      </c>
    </row>
    <row r="4998" spans="1:9">
      <c r="A4998" s="257" t="s">
        <v>6096</v>
      </c>
      <c r="B4998" s="9">
        <v>2</v>
      </c>
      <c r="C4998" s="257" t="s">
        <v>12488</v>
      </c>
      <c r="D4998" s="9">
        <v>0</v>
      </c>
      <c r="E4998" s="9"/>
      <c r="F4998" s="257" t="s">
        <v>16348</v>
      </c>
      <c r="G4998" s="9"/>
      <c r="H4998" s="257" t="s">
        <v>23056</v>
      </c>
      <c r="I4998" s="9">
        <v>3</v>
      </c>
    </row>
    <row r="4999" spans="1:9">
      <c r="A4999" s="257" t="s">
        <v>6097</v>
      </c>
      <c r="B4999" s="9">
        <v>2</v>
      </c>
      <c r="C4999" s="257" t="s">
        <v>12488</v>
      </c>
      <c r="D4999" s="9">
        <v>0</v>
      </c>
      <c r="E4999" s="9"/>
      <c r="F4999" s="257" t="s">
        <v>16349</v>
      </c>
      <c r="G4999" s="9"/>
      <c r="H4999" s="257" t="s">
        <v>23057</v>
      </c>
      <c r="I4999" s="9">
        <v>3</v>
      </c>
    </row>
    <row r="5000" spans="1:9">
      <c r="A5000" s="257" t="s">
        <v>6098</v>
      </c>
      <c r="B5000" s="9">
        <v>2</v>
      </c>
      <c r="C5000" s="257" t="s">
        <v>12488</v>
      </c>
      <c r="D5000" s="9">
        <v>0</v>
      </c>
      <c r="E5000" s="9"/>
      <c r="F5000" s="257" t="s">
        <v>16350</v>
      </c>
      <c r="G5000" s="9"/>
      <c r="H5000" s="257" t="s">
        <v>23058</v>
      </c>
      <c r="I5000" s="9">
        <v>3</v>
      </c>
    </row>
    <row r="5001" spans="1:9">
      <c r="A5001" s="257" t="s">
        <v>6099</v>
      </c>
      <c r="B5001" s="9">
        <v>2</v>
      </c>
      <c r="C5001" s="257" t="s">
        <v>12488</v>
      </c>
      <c r="D5001" s="9">
        <v>0</v>
      </c>
      <c r="E5001" s="9"/>
      <c r="F5001" s="257" t="s">
        <v>16351</v>
      </c>
      <c r="G5001" s="9"/>
      <c r="H5001" s="257" t="s">
        <v>23059</v>
      </c>
      <c r="I5001" s="9">
        <v>3</v>
      </c>
    </row>
    <row r="5002" spans="1:9">
      <c r="A5002" s="257" t="s">
        <v>6100</v>
      </c>
      <c r="B5002" s="9">
        <v>2</v>
      </c>
      <c r="C5002" s="257" t="s">
        <v>12488</v>
      </c>
      <c r="D5002" s="9">
        <v>0</v>
      </c>
      <c r="E5002" s="9"/>
      <c r="F5002" s="257" t="s">
        <v>16352</v>
      </c>
      <c r="G5002" s="9"/>
      <c r="H5002" s="257" t="s">
        <v>23060</v>
      </c>
      <c r="I5002" s="9">
        <v>3</v>
      </c>
    </row>
    <row r="5003" spans="1:9">
      <c r="A5003" s="257" t="s">
        <v>6101</v>
      </c>
      <c r="B5003" s="9">
        <v>2</v>
      </c>
      <c r="C5003" s="257" t="s">
        <v>12488</v>
      </c>
      <c r="D5003" s="9">
        <v>0</v>
      </c>
      <c r="E5003" s="9"/>
      <c r="F5003" s="257" t="s">
        <v>16353</v>
      </c>
      <c r="G5003" s="9"/>
      <c r="H5003" s="257" t="s">
        <v>23061</v>
      </c>
      <c r="I5003" s="9">
        <v>3</v>
      </c>
    </row>
    <row r="5004" spans="1:9">
      <c r="A5004" s="257" t="s">
        <v>6102</v>
      </c>
      <c r="B5004" s="9">
        <v>2</v>
      </c>
      <c r="C5004" s="257" t="s">
        <v>12488</v>
      </c>
      <c r="D5004" s="9">
        <v>2.9496176720250323E-3</v>
      </c>
      <c r="E5004" s="9"/>
      <c r="F5004" s="257" t="s">
        <v>16354</v>
      </c>
      <c r="G5004" s="9"/>
      <c r="H5004" s="257" t="s">
        <v>23062</v>
      </c>
      <c r="I5004" s="9">
        <v>3</v>
      </c>
    </row>
    <row r="5005" spans="1:9">
      <c r="A5005" s="257" t="s">
        <v>6103</v>
      </c>
      <c r="B5005" s="9">
        <v>2</v>
      </c>
      <c r="C5005" s="257" t="s">
        <v>12488</v>
      </c>
      <c r="D5005" s="9">
        <v>-8.8912283985990786E-4</v>
      </c>
      <c r="E5005" s="9"/>
      <c r="F5005" s="257" t="s">
        <v>16355</v>
      </c>
      <c r="G5005" s="9"/>
      <c r="H5005" s="257" t="s">
        <v>23063</v>
      </c>
      <c r="I5005" s="9">
        <v>3</v>
      </c>
    </row>
    <row r="5006" spans="1:9">
      <c r="A5006" s="257" t="s">
        <v>6104</v>
      </c>
      <c r="B5006" s="9">
        <v>2</v>
      </c>
      <c r="C5006" s="257" t="s">
        <v>12488</v>
      </c>
      <c r="D5006" s="9">
        <v>2.0604948321651241E-3</v>
      </c>
      <c r="E5006" s="9"/>
      <c r="F5006" s="257" t="s">
        <v>16356</v>
      </c>
      <c r="G5006" s="9"/>
      <c r="H5006" s="257" t="s">
        <v>23064</v>
      </c>
      <c r="I5006" s="9">
        <v>3</v>
      </c>
    </row>
    <row r="5007" spans="1:9">
      <c r="A5007" s="257" t="s">
        <v>6105</v>
      </c>
      <c r="B5007" s="9">
        <v>2</v>
      </c>
      <c r="C5007" s="257" t="s">
        <v>12488</v>
      </c>
      <c r="D5007" s="9">
        <v>2.8384549789996832E-3</v>
      </c>
      <c r="E5007" s="9"/>
      <c r="F5007" s="257" t="s">
        <v>16357</v>
      </c>
      <c r="G5007" s="9"/>
      <c r="H5007" s="257" t="s">
        <v>23065</v>
      </c>
      <c r="I5007" s="9">
        <v>3</v>
      </c>
    </row>
    <row r="5008" spans="1:9">
      <c r="A5008" s="257" t="s">
        <v>6106</v>
      </c>
      <c r="B5008" s="9">
        <v>2</v>
      </c>
      <c r="C5008" s="257" t="s">
        <v>12488</v>
      </c>
      <c r="D5008" s="9">
        <v>2.0610234845853132E-3</v>
      </c>
      <c r="E5008" s="9"/>
      <c r="F5008" s="257" t="s">
        <v>16358</v>
      </c>
      <c r="G5008" s="9"/>
      <c r="H5008" s="257" t="s">
        <v>23066</v>
      </c>
      <c r="I5008" s="9">
        <v>3</v>
      </c>
    </row>
    <row r="5009" spans="1:9">
      <c r="A5009" s="257" t="s">
        <v>6107</v>
      </c>
      <c r="B5009" s="9">
        <v>2</v>
      </c>
      <c r="C5009" s="257" t="s">
        <v>12488</v>
      </c>
      <c r="D5009" s="9">
        <v>4.8994784635849964E-3</v>
      </c>
      <c r="E5009" s="9"/>
      <c r="F5009" s="257" t="s">
        <v>16359</v>
      </c>
      <c r="G5009" s="9"/>
      <c r="H5009" s="257" t="s">
        <v>23067</v>
      </c>
      <c r="I5009" s="9">
        <v>3</v>
      </c>
    </row>
    <row r="5010" spans="1:9">
      <c r="A5010" s="257" t="s">
        <v>6108</v>
      </c>
      <c r="B5010" s="9">
        <v>2</v>
      </c>
      <c r="C5010" s="257" t="s">
        <v>12488</v>
      </c>
      <c r="D5010" s="9">
        <v>-1.587121286912665E-4</v>
      </c>
      <c r="E5010" s="9"/>
      <c r="F5010" s="257" t="s">
        <v>16360</v>
      </c>
      <c r="G5010" s="9"/>
      <c r="H5010" s="257" t="s">
        <v>23068</v>
      </c>
      <c r="I5010" s="9">
        <v>3</v>
      </c>
    </row>
    <row r="5011" spans="1:9">
      <c r="A5011" s="257" t="s">
        <v>6109</v>
      </c>
      <c r="B5011" s="9">
        <v>2</v>
      </c>
      <c r="C5011" s="257" t="s">
        <v>12488</v>
      </c>
      <c r="D5011" s="9">
        <v>-1.9482937840387717E-3</v>
      </c>
      <c r="E5011" s="9"/>
      <c r="F5011" s="257" t="s">
        <v>16361</v>
      </c>
      <c r="G5011" s="9"/>
      <c r="H5011" s="257" t="s">
        <v>23069</v>
      </c>
      <c r="I5011" s="9">
        <v>3</v>
      </c>
    </row>
    <row r="5012" spans="1:9">
      <c r="A5012" s="257" t="s">
        <v>6110</v>
      </c>
      <c r="B5012" s="9">
        <v>3</v>
      </c>
      <c r="C5012" s="257" t="s">
        <v>12488</v>
      </c>
      <c r="D5012" s="9">
        <v>2.7661361102826764E-3</v>
      </c>
      <c r="E5012" s="9"/>
      <c r="F5012" s="257" t="s">
        <v>16362</v>
      </c>
      <c r="G5012" s="9"/>
      <c r="H5012" s="257" t="s">
        <v>23070</v>
      </c>
      <c r="I5012" s="9">
        <v>3</v>
      </c>
    </row>
    <row r="5013" spans="1:9">
      <c r="A5013" s="257" t="s">
        <v>6111</v>
      </c>
      <c r="B5013" s="9">
        <v>3</v>
      </c>
      <c r="C5013" s="257" t="s">
        <v>12488</v>
      </c>
      <c r="D5013" s="9">
        <v>2.7661361102826764E-3</v>
      </c>
      <c r="E5013" s="9"/>
      <c r="F5013" s="257" t="s">
        <v>16363</v>
      </c>
      <c r="G5013" s="9"/>
      <c r="H5013" s="257" t="s">
        <v>23071</v>
      </c>
      <c r="I5013" s="9">
        <v>3</v>
      </c>
    </row>
    <row r="5014" spans="1:9">
      <c r="A5014" s="257" t="s">
        <v>6112</v>
      </c>
      <c r="B5014" s="9">
        <v>3</v>
      </c>
      <c r="C5014" s="257" t="s">
        <v>12488</v>
      </c>
      <c r="D5014" s="9">
        <v>2.9871158285149357E-3</v>
      </c>
      <c r="E5014" s="9"/>
      <c r="F5014" s="257" t="s">
        <v>16364</v>
      </c>
      <c r="G5014" s="9"/>
      <c r="H5014" s="257" t="s">
        <v>23072</v>
      </c>
      <c r="I5014" s="9">
        <v>3</v>
      </c>
    </row>
    <row r="5015" spans="1:9">
      <c r="A5015" s="257" t="s">
        <v>6113</v>
      </c>
      <c r="B5015" s="9">
        <v>3</v>
      </c>
      <c r="C5015" s="257" t="s">
        <v>12488</v>
      </c>
      <c r="D5015" s="9">
        <v>0</v>
      </c>
      <c r="E5015" s="9"/>
      <c r="F5015" s="257" t="s">
        <v>16365</v>
      </c>
      <c r="G5015" s="9"/>
      <c r="H5015" s="257" t="s">
        <v>23073</v>
      </c>
      <c r="I5015" s="9">
        <v>3</v>
      </c>
    </row>
    <row r="5016" spans="1:9">
      <c r="A5016" s="257" t="s">
        <v>6114</v>
      </c>
      <c r="B5016" s="9">
        <v>3</v>
      </c>
      <c r="C5016" s="257" t="s">
        <v>12488</v>
      </c>
      <c r="D5016" s="9">
        <v>0</v>
      </c>
      <c r="E5016" s="9"/>
      <c r="F5016" s="257" t="s">
        <v>16366</v>
      </c>
      <c r="G5016" s="9"/>
      <c r="H5016" s="257" t="s">
        <v>23074</v>
      </c>
      <c r="I5016" s="9">
        <v>3</v>
      </c>
    </row>
    <row r="5017" spans="1:9">
      <c r="A5017" s="257" t="s">
        <v>6115</v>
      </c>
      <c r="B5017" s="9">
        <v>3</v>
      </c>
      <c r="C5017" s="257" t="s">
        <v>12488</v>
      </c>
      <c r="D5017" s="9">
        <v>5.7532519387976126E-3</v>
      </c>
      <c r="E5017" s="9"/>
      <c r="F5017" s="257" t="s">
        <v>16367</v>
      </c>
      <c r="G5017" s="9"/>
      <c r="H5017" s="257" t="s">
        <v>23075</v>
      </c>
      <c r="I5017" s="9">
        <v>3</v>
      </c>
    </row>
    <row r="5018" spans="1:9">
      <c r="A5018" s="257" t="s">
        <v>6116</v>
      </c>
      <c r="B5018" s="9">
        <v>3</v>
      </c>
      <c r="C5018" s="257" t="s">
        <v>12488</v>
      </c>
      <c r="D5018" s="9">
        <v>5.7532519387976126E-3</v>
      </c>
      <c r="E5018" s="9"/>
      <c r="F5018" s="257" t="s">
        <v>16368</v>
      </c>
      <c r="G5018" s="9"/>
      <c r="H5018" s="257" t="s">
        <v>23076</v>
      </c>
      <c r="I5018" s="9">
        <v>3</v>
      </c>
    </row>
    <row r="5019" spans="1:9">
      <c r="A5019" s="257" t="s">
        <v>6117</v>
      </c>
      <c r="B5019" s="9">
        <v>3</v>
      </c>
      <c r="C5019" s="257" t="s">
        <v>12488</v>
      </c>
      <c r="D5019" s="9">
        <v>5.7532519387976126E-3</v>
      </c>
      <c r="E5019" s="9"/>
      <c r="F5019" s="257" t="s">
        <v>16369</v>
      </c>
      <c r="G5019" s="9"/>
      <c r="H5019" s="257" t="s">
        <v>23077</v>
      </c>
      <c r="I5019" s="9">
        <v>3</v>
      </c>
    </row>
    <row r="5020" spans="1:9">
      <c r="A5020" s="257" t="s">
        <v>6118</v>
      </c>
      <c r="B5020" s="9">
        <v>3</v>
      </c>
      <c r="C5020" s="257" t="s">
        <v>12488</v>
      </c>
      <c r="D5020" s="9">
        <v>7.6223548756411061E-3</v>
      </c>
      <c r="E5020" s="9"/>
      <c r="F5020" s="257" t="s">
        <v>16370</v>
      </c>
      <c r="G5020" s="9"/>
      <c r="H5020" s="257" t="s">
        <v>23078</v>
      </c>
      <c r="I5020" s="9">
        <v>3</v>
      </c>
    </row>
    <row r="5021" spans="1:9">
      <c r="A5021" s="257" t="s">
        <v>6119</v>
      </c>
      <c r="B5021" s="9">
        <v>3</v>
      </c>
      <c r="C5021" s="257" t="s">
        <v>12488</v>
      </c>
      <c r="D5021" s="9">
        <v>7.6223548756411061E-3</v>
      </c>
      <c r="E5021" s="9"/>
      <c r="F5021" s="257" t="s">
        <v>16371</v>
      </c>
      <c r="G5021" s="9"/>
      <c r="H5021" s="257" t="s">
        <v>23079</v>
      </c>
      <c r="I5021" s="9">
        <v>3</v>
      </c>
    </row>
    <row r="5022" spans="1:9">
      <c r="A5022" s="257" t="s">
        <v>6120</v>
      </c>
      <c r="B5022" s="9">
        <v>3</v>
      </c>
      <c r="C5022" s="257" t="s">
        <v>12488</v>
      </c>
      <c r="D5022" s="9">
        <v>-1.8691029368434935E-3</v>
      </c>
      <c r="E5022" s="9"/>
      <c r="F5022" s="257" t="s">
        <v>16372</v>
      </c>
      <c r="G5022" s="9"/>
      <c r="H5022" s="257" t="s">
        <v>23080</v>
      </c>
      <c r="I5022" s="9">
        <v>3</v>
      </c>
    </row>
    <row r="5023" spans="1:9">
      <c r="A5023" s="257" t="s">
        <v>6121</v>
      </c>
      <c r="B5023" s="9">
        <v>3</v>
      </c>
      <c r="C5023" s="257" t="s">
        <v>12488</v>
      </c>
      <c r="D5023" s="9">
        <v>0</v>
      </c>
      <c r="E5023" s="9"/>
      <c r="F5023" s="257" t="s">
        <v>16373</v>
      </c>
      <c r="G5023" s="9"/>
      <c r="H5023" s="257" t="s">
        <v>23081</v>
      </c>
      <c r="I5023" s="9">
        <v>3</v>
      </c>
    </row>
    <row r="5024" spans="1:9">
      <c r="A5024" s="257" t="s">
        <v>6122</v>
      </c>
      <c r="B5024" s="9">
        <v>3</v>
      </c>
      <c r="C5024" s="257" t="s">
        <v>12488</v>
      </c>
      <c r="D5024" s="9">
        <v>0</v>
      </c>
      <c r="E5024" s="9"/>
      <c r="F5024" s="257" t="s">
        <v>16374</v>
      </c>
      <c r="G5024" s="9"/>
      <c r="H5024" s="257" t="s">
        <v>23082</v>
      </c>
      <c r="I5024" s="9">
        <v>3</v>
      </c>
    </row>
    <row r="5025" spans="1:9">
      <c r="A5025" s="257" t="s">
        <v>6123</v>
      </c>
      <c r="B5025" s="9">
        <v>3</v>
      </c>
      <c r="C5025" s="257" t="s">
        <v>12488</v>
      </c>
      <c r="D5025" s="9">
        <v>0</v>
      </c>
      <c r="E5025" s="9"/>
      <c r="F5025" s="257" t="s">
        <v>16375</v>
      </c>
      <c r="G5025" s="9"/>
      <c r="H5025" s="257" t="s">
        <v>23083</v>
      </c>
      <c r="I5025" s="9">
        <v>3</v>
      </c>
    </row>
    <row r="5026" spans="1:9">
      <c r="A5026" s="257" t="s">
        <v>6124</v>
      </c>
      <c r="B5026" s="9">
        <v>3</v>
      </c>
      <c r="C5026" s="257" t="s">
        <v>12488</v>
      </c>
      <c r="D5026" s="9">
        <v>0</v>
      </c>
      <c r="E5026" s="9"/>
      <c r="F5026" s="257" t="s">
        <v>16376</v>
      </c>
      <c r="G5026" s="9"/>
      <c r="H5026" s="257" t="s">
        <v>23084</v>
      </c>
      <c r="I5026" s="9">
        <v>3</v>
      </c>
    </row>
    <row r="5027" spans="1:9">
      <c r="A5027" s="257" t="s">
        <v>6125</v>
      </c>
      <c r="B5027" s="9">
        <v>3</v>
      </c>
      <c r="C5027" s="257" t="s">
        <v>12488</v>
      </c>
      <c r="D5027" s="9">
        <v>0</v>
      </c>
      <c r="E5027" s="9"/>
      <c r="F5027" s="257" t="s">
        <v>16377</v>
      </c>
      <c r="G5027" s="9"/>
      <c r="H5027" s="257" t="s">
        <v>23085</v>
      </c>
      <c r="I5027" s="9">
        <v>3</v>
      </c>
    </row>
    <row r="5028" spans="1:9">
      <c r="A5028" s="257" t="s">
        <v>6126</v>
      </c>
      <c r="B5028" s="9">
        <v>3</v>
      </c>
      <c r="C5028" s="257" t="s">
        <v>12488</v>
      </c>
      <c r="D5028" s="9">
        <v>0</v>
      </c>
      <c r="E5028" s="9"/>
      <c r="F5028" s="257" t="s">
        <v>16378</v>
      </c>
      <c r="G5028" s="9"/>
      <c r="H5028" s="257" t="s">
        <v>23086</v>
      </c>
      <c r="I5028" s="9">
        <v>3</v>
      </c>
    </row>
    <row r="5029" spans="1:9">
      <c r="A5029" s="257" t="s">
        <v>6127</v>
      </c>
      <c r="B5029" s="9">
        <v>3</v>
      </c>
      <c r="C5029" s="257" t="s">
        <v>12488</v>
      </c>
      <c r="D5029" s="9">
        <v>3.8825979747758041E-3</v>
      </c>
      <c r="E5029" s="9"/>
      <c r="F5029" s="257" t="s">
        <v>16379</v>
      </c>
      <c r="G5029" s="9"/>
      <c r="H5029" s="257" t="s">
        <v>23087</v>
      </c>
      <c r="I5029" s="9">
        <v>3</v>
      </c>
    </row>
    <row r="5030" spans="1:9">
      <c r="A5030" s="257" t="s">
        <v>6128</v>
      </c>
      <c r="B5030" s="9">
        <v>3</v>
      </c>
      <c r="C5030" s="257" t="s">
        <v>12488</v>
      </c>
      <c r="D5030" s="9">
        <v>-8.9397089418065466E-4</v>
      </c>
      <c r="E5030" s="9"/>
      <c r="F5030" s="257" t="s">
        <v>16380</v>
      </c>
      <c r="G5030" s="9"/>
      <c r="H5030" s="257" t="s">
        <v>23088</v>
      </c>
      <c r="I5030" s="9">
        <v>3</v>
      </c>
    </row>
    <row r="5031" spans="1:9">
      <c r="A5031" s="257" t="s">
        <v>6129</v>
      </c>
      <c r="B5031" s="9">
        <v>3</v>
      </c>
      <c r="C5031" s="257" t="s">
        <v>12488</v>
      </c>
      <c r="D5031" s="9">
        <v>2.9886270805951493E-3</v>
      </c>
      <c r="E5031" s="9"/>
      <c r="F5031" s="257" t="s">
        <v>16381</v>
      </c>
      <c r="G5031" s="9"/>
      <c r="H5031" s="257" t="s">
        <v>23089</v>
      </c>
      <c r="I5031" s="9">
        <v>3</v>
      </c>
    </row>
    <row r="5032" spans="1:9">
      <c r="A5032" s="257" t="s">
        <v>6130</v>
      </c>
      <c r="B5032" s="9">
        <v>3</v>
      </c>
      <c r="C5032" s="257" t="s">
        <v>12488</v>
      </c>
      <c r="D5032" s="9">
        <v>2.5339738319654381E-3</v>
      </c>
      <c r="E5032" s="9"/>
      <c r="F5032" s="257" t="s">
        <v>16382</v>
      </c>
      <c r="G5032" s="9"/>
      <c r="H5032" s="257" t="s">
        <v>23090</v>
      </c>
      <c r="I5032" s="9">
        <v>3</v>
      </c>
    </row>
    <row r="5033" spans="1:9">
      <c r="A5033" s="257" t="s">
        <v>6131</v>
      </c>
      <c r="B5033" s="9">
        <v>3</v>
      </c>
      <c r="C5033" s="257" t="s">
        <v>12488</v>
      </c>
      <c r="D5033" s="9">
        <v>2.0997539630805183E-3</v>
      </c>
      <c r="E5033" s="9"/>
      <c r="F5033" s="257" t="s">
        <v>16383</v>
      </c>
      <c r="G5033" s="9"/>
      <c r="H5033" s="257" t="s">
        <v>23091</v>
      </c>
      <c r="I5033" s="9">
        <v>3</v>
      </c>
    </row>
    <row r="5034" spans="1:9">
      <c r="A5034" s="257" t="s">
        <v>6132</v>
      </c>
      <c r="B5034" s="9">
        <v>3</v>
      </c>
      <c r="C5034" s="257" t="s">
        <v>12488</v>
      </c>
      <c r="D5034" s="9">
        <v>4.633727795045956E-3</v>
      </c>
      <c r="E5034" s="9"/>
      <c r="F5034" s="257" t="s">
        <v>16384</v>
      </c>
      <c r="G5034" s="9"/>
      <c r="H5034" s="257" t="s">
        <v>23092</v>
      </c>
      <c r="I5034" s="9">
        <v>3</v>
      </c>
    </row>
    <row r="5035" spans="1:9">
      <c r="A5035" s="257" t="s">
        <v>6133</v>
      </c>
      <c r="B5035" s="9">
        <v>3</v>
      </c>
      <c r="C5035" s="257" t="s">
        <v>12488</v>
      </c>
      <c r="D5035" s="9">
        <v>-2.2249097031247289E-4</v>
      </c>
      <c r="E5035" s="9"/>
      <c r="F5035" s="257" t="s">
        <v>16385</v>
      </c>
      <c r="G5035" s="9"/>
      <c r="H5035" s="257" t="s">
        <v>23093</v>
      </c>
      <c r="I5035" s="9">
        <v>3</v>
      </c>
    </row>
    <row r="5036" spans="1:9">
      <c r="A5036" s="257" t="s">
        <v>6134</v>
      </c>
      <c r="B5036" s="9">
        <v>3</v>
      </c>
      <c r="C5036" s="257" t="s">
        <v>12488</v>
      </c>
      <c r="D5036" s="9">
        <v>-1.6466119665310207E-3</v>
      </c>
      <c r="E5036" s="9"/>
      <c r="F5036" s="257" t="s">
        <v>16386</v>
      </c>
      <c r="G5036" s="9"/>
      <c r="H5036" s="257" t="s">
        <v>23094</v>
      </c>
      <c r="I5036" s="9">
        <v>3</v>
      </c>
    </row>
    <row r="5037" spans="1:9">
      <c r="A5037" s="257" t="s">
        <v>6135</v>
      </c>
      <c r="B5037" s="9">
        <v>4</v>
      </c>
      <c r="C5037" s="257" t="s">
        <v>12488</v>
      </c>
      <c r="D5037" s="9">
        <v>3.9300474091979237E-3</v>
      </c>
      <c r="E5037" s="9"/>
      <c r="F5037" s="257" t="s">
        <v>16387</v>
      </c>
      <c r="G5037" s="9"/>
      <c r="H5037" s="257" t="s">
        <v>23095</v>
      </c>
      <c r="I5037" s="9">
        <v>3</v>
      </c>
    </row>
    <row r="5038" spans="1:9">
      <c r="A5038" s="257" t="s">
        <v>6136</v>
      </c>
      <c r="B5038" s="9">
        <v>4</v>
      </c>
      <c r="C5038" s="257" t="s">
        <v>12488</v>
      </c>
      <c r="D5038" s="9">
        <v>3.9300474091979237E-3</v>
      </c>
      <c r="E5038" s="9"/>
      <c r="F5038" s="257" t="s">
        <v>16388</v>
      </c>
      <c r="G5038" s="9"/>
      <c r="H5038" s="257" t="s">
        <v>23096</v>
      </c>
      <c r="I5038" s="9">
        <v>3</v>
      </c>
    </row>
    <row r="5039" spans="1:9">
      <c r="A5039" s="257" t="s">
        <v>6137</v>
      </c>
      <c r="B5039" s="9">
        <v>4</v>
      </c>
      <c r="C5039" s="257" t="s">
        <v>12488</v>
      </c>
      <c r="D5039" s="9">
        <v>3.2942724857201646E-3</v>
      </c>
      <c r="E5039" s="9"/>
      <c r="F5039" s="257" t="s">
        <v>16389</v>
      </c>
      <c r="G5039" s="9"/>
      <c r="H5039" s="257" t="s">
        <v>23097</v>
      </c>
      <c r="I5039" s="9">
        <v>3</v>
      </c>
    </row>
    <row r="5040" spans="1:9">
      <c r="A5040" s="257" t="s">
        <v>6138</v>
      </c>
      <c r="B5040" s="9">
        <v>4</v>
      </c>
      <c r="C5040" s="257" t="s">
        <v>12488</v>
      </c>
      <c r="D5040" s="9">
        <v>0</v>
      </c>
      <c r="E5040" s="9"/>
      <c r="F5040" s="257" t="s">
        <v>16390</v>
      </c>
      <c r="G5040" s="9"/>
      <c r="H5040" s="257" t="s">
        <v>23098</v>
      </c>
      <c r="I5040" s="9">
        <v>3</v>
      </c>
    </row>
    <row r="5041" spans="1:9">
      <c r="A5041" s="257" t="s">
        <v>6139</v>
      </c>
      <c r="B5041" s="9">
        <v>4</v>
      </c>
      <c r="C5041" s="257" t="s">
        <v>12488</v>
      </c>
      <c r="D5041" s="9">
        <v>0</v>
      </c>
      <c r="E5041" s="9"/>
      <c r="F5041" s="257" t="s">
        <v>16391</v>
      </c>
      <c r="G5041" s="9"/>
      <c r="H5041" s="257" t="s">
        <v>23099</v>
      </c>
      <c r="I5041" s="9">
        <v>3</v>
      </c>
    </row>
    <row r="5042" spans="1:9">
      <c r="A5042" s="257" t="s">
        <v>6140</v>
      </c>
      <c r="B5042" s="9">
        <v>4</v>
      </c>
      <c r="C5042" s="257" t="s">
        <v>12488</v>
      </c>
      <c r="D5042" s="9">
        <v>7.2243198949180883E-3</v>
      </c>
      <c r="E5042" s="9"/>
      <c r="F5042" s="257" t="s">
        <v>16392</v>
      </c>
      <c r="G5042" s="9"/>
      <c r="H5042" s="257" t="s">
        <v>23100</v>
      </c>
      <c r="I5042" s="9">
        <v>3</v>
      </c>
    </row>
    <row r="5043" spans="1:9">
      <c r="A5043" s="257" t="s">
        <v>6141</v>
      </c>
      <c r="B5043" s="9">
        <v>4</v>
      </c>
      <c r="C5043" s="257" t="s">
        <v>12488</v>
      </c>
      <c r="D5043" s="9">
        <v>7.2243198949180883E-3</v>
      </c>
      <c r="E5043" s="9"/>
      <c r="F5043" s="257" t="s">
        <v>16393</v>
      </c>
      <c r="G5043" s="9"/>
      <c r="H5043" s="257" t="s">
        <v>23101</v>
      </c>
      <c r="I5043" s="9">
        <v>3</v>
      </c>
    </row>
    <row r="5044" spans="1:9">
      <c r="A5044" s="257" t="s">
        <v>6142</v>
      </c>
      <c r="B5044" s="9">
        <v>4</v>
      </c>
      <c r="C5044" s="257" t="s">
        <v>12488</v>
      </c>
      <c r="D5044" s="9">
        <v>7.2243198949180883E-3</v>
      </c>
      <c r="E5044" s="9"/>
      <c r="F5044" s="257" t="s">
        <v>16394</v>
      </c>
      <c r="G5044" s="9"/>
      <c r="H5044" s="257" t="s">
        <v>23102</v>
      </c>
      <c r="I5044" s="9">
        <v>3</v>
      </c>
    </row>
    <row r="5045" spans="1:9">
      <c r="A5045" s="257" t="s">
        <v>6143</v>
      </c>
      <c r="B5045" s="9">
        <v>4</v>
      </c>
      <c r="C5045" s="257" t="s">
        <v>12488</v>
      </c>
      <c r="D5045" s="9">
        <v>9.2162641277696716E-3</v>
      </c>
      <c r="E5045" s="9"/>
      <c r="F5045" s="257" t="s">
        <v>16395</v>
      </c>
      <c r="G5045" s="9"/>
      <c r="H5045" s="257" t="s">
        <v>23103</v>
      </c>
      <c r="I5045" s="9">
        <v>3</v>
      </c>
    </row>
    <row r="5046" spans="1:9">
      <c r="A5046" s="257" t="s">
        <v>6144</v>
      </c>
      <c r="B5046" s="9">
        <v>4</v>
      </c>
      <c r="C5046" s="257" t="s">
        <v>12488</v>
      </c>
      <c r="D5046" s="9">
        <v>9.2162641277696716E-3</v>
      </c>
      <c r="E5046" s="9"/>
      <c r="F5046" s="257" t="s">
        <v>16396</v>
      </c>
      <c r="G5046" s="9"/>
      <c r="H5046" s="257" t="s">
        <v>23104</v>
      </c>
      <c r="I5046" s="9">
        <v>3</v>
      </c>
    </row>
    <row r="5047" spans="1:9">
      <c r="A5047" s="257" t="s">
        <v>6145</v>
      </c>
      <c r="B5047" s="9">
        <v>4</v>
      </c>
      <c r="C5047" s="257" t="s">
        <v>12488</v>
      </c>
      <c r="D5047" s="9">
        <v>-1.9919442328515838E-3</v>
      </c>
      <c r="E5047" s="9"/>
      <c r="F5047" s="257" t="s">
        <v>16397</v>
      </c>
      <c r="G5047" s="9"/>
      <c r="H5047" s="257" t="s">
        <v>23105</v>
      </c>
      <c r="I5047" s="9">
        <v>3</v>
      </c>
    </row>
    <row r="5048" spans="1:9">
      <c r="A5048" s="257" t="s">
        <v>6146</v>
      </c>
      <c r="B5048" s="9">
        <v>4</v>
      </c>
      <c r="C5048" s="257" t="s">
        <v>12488</v>
      </c>
      <c r="D5048" s="9">
        <v>0</v>
      </c>
      <c r="E5048" s="9"/>
      <c r="F5048" s="257" t="s">
        <v>16398</v>
      </c>
      <c r="G5048" s="9"/>
      <c r="H5048" s="257" t="s">
        <v>23106</v>
      </c>
      <c r="I5048" s="9">
        <v>3</v>
      </c>
    </row>
    <row r="5049" spans="1:9">
      <c r="A5049" s="257" t="s">
        <v>6147</v>
      </c>
      <c r="B5049" s="9">
        <v>4</v>
      </c>
      <c r="C5049" s="257" t="s">
        <v>12488</v>
      </c>
      <c r="D5049" s="9">
        <v>0</v>
      </c>
      <c r="E5049" s="9"/>
      <c r="F5049" s="257" t="s">
        <v>16399</v>
      </c>
      <c r="G5049" s="9"/>
      <c r="H5049" s="257" t="s">
        <v>23107</v>
      </c>
      <c r="I5049" s="9">
        <v>3</v>
      </c>
    </row>
    <row r="5050" spans="1:9">
      <c r="A5050" s="257" t="s">
        <v>6148</v>
      </c>
      <c r="B5050" s="9">
        <v>4</v>
      </c>
      <c r="C5050" s="257" t="s">
        <v>12488</v>
      </c>
      <c r="D5050" s="9">
        <v>0</v>
      </c>
      <c r="E5050" s="9"/>
      <c r="F5050" s="257" t="s">
        <v>16400</v>
      </c>
      <c r="G5050" s="9"/>
      <c r="H5050" s="257" t="s">
        <v>23108</v>
      </c>
      <c r="I5050" s="9">
        <v>3</v>
      </c>
    </row>
    <row r="5051" spans="1:9">
      <c r="A5051" s="257" t="s">
        <v>6149</v>
      </c>
      <c r="B5051" s="9">
        <v>4</v>
      </c>
      <c r="C5051" s="257" t="s">
        <v>12488</v>
      </c>
      <c r="D5051" s="9">
        <v>0</v>
      </c>
      <c r="E5051" s="9"/>
      <c r="F5051" s="257" t="s">
        <v>16401</v>
      </c>
      <c r="G5051" s="9"/>
      <c r="H5051" s="257" t="s">
        <v>23109</v>
      </c>
      <c r="I5051" s="9">
        <v>3</v>
      </c>
    </row>
    <row r="5052" spans="1:9">
      <c r="A5052" s="257" t="s">
        <v>6150</v>
      </c>
      <c r="B5052" s="9">
        <v>4</v>
      </c>
      <c r="C5052" s="257" t="s">
        <v>12488</v>
      </c>
      <c r="D5052" s="9">
        <v>0</v>
      </c>
      <c r="E5052" s="9"/>
      <c r="F5052" s="257" t="s">
        <v>16402</v>
      </c>
      <c r="G5052" s="9"/>
      <c r="H5052" s="257" t="s">
        <v>23110</v>
      </c>
      <c r="I5052" s="9">
        <v>3</v>
      </c>
    </row>
    <row r="5053" spans="1:9">
      <c r="A5053" s="257" t="s">
        <v>6151</v>
      </c>
      <c r="B5053" s="9">
        <v>4</v>
      </c>
      <c r="C5053" s="257" t="s">
        <v>12488</v>
      </c>
      <c r="D5053" s="9">
        <v>0</v>
      </c>
      <c r="E5053" s="9"/>
      <c r="F5053" s="257" t="s">
        <v>16403</v>
      </c>
      <c r="G5053" s="9"/>
      <c r="H5053" s="257" t="s">
        <v>23111</v>
      </c>
      <c r="I5053" s="9">
        <v>3</v>
      </c>
    </row>
    <row r="5054" spans="1:9">
      <c r="A5054" s="257" t="s">
        <v>6152</v>
      </c>
      <c r="B5054" s="9">
        <v>4</v>
      </c>
      <c r="C5054" s="257" t="s">
        <v>12488</v>
      </c>
      <c r="D5054" s="9">
        <v>4.9924792706824393E-3</v>
      </c>
      <c r="E5054" s="9"/>
      <c r="F5054" s="257" t="s">
        <v>16404</v>
      </c>
      <c r="G5054" s="9"/>
      <c r="H5054" s="257" t="s">
        <v>23112</v>
      </c>
      <c r="I5054" s="9">
        <v>3</v>
      </c>
    </row>
    <row r="5055" spans="1:9">
      <c r="A5055" s="257" t="s">
        <v>6153</v>
      </c>
      <c r="B5055" s="9">
        <v>4</v>
      </c>
      <c r="C5055" s="257" t="s">
        <v>12488</v>
      </c>
      <c r="D5055" s="9">
        <v>-9.1553955325509955E-4</v>
      </c>
      <c r="E5055" s="9"/>
      <c r="F5055" s="257" t="s">
        <v>16405</v>
      </c>
      <c r="G5055" s="9"/>
      <c r="H5055" s="257" t="s">
        <v>23113</v>
      </c>
      <c r="I5055" s="9">
        <v>3</v>
      </c>
    </row>
    <row r="5056" spans="1:9">
      <c r="A5056" s="257" t="s">
        <v>6154</v>
      </c>
      <c r="B5056" s="9">
        <v>4</v>
      </c>
      <c r="C5056" s="257" t="s">
        <v>12488</v>
      </c>
      <c r="D5056" s="9">
        <v>4.0769397174273397E-3</v>
      </c>
      <c r="E5056" s="9"/>
      <c r="F5056" s="257" t="s">
        <v>16406</v>
      </c>
      <c r="G5056" s="9"/>
      <c r="H5056" s="257" t="s">
        <v>23114</v>
      </c>
      <c r="I5056" s="9">
        <v>3</v>
      </c>
    </row>
    <row r="5057" spans="1:9">
      <c r="A5057" s="257" t="s">
        <v>6155</v>
      </c>
      <c r="B5057" s="9">
        <v>4</v>
      </c>
      <c r="C5057" s="257" t="s">
        <v>12488</v>
      </c>
      <c r="D5057" s="9">
        <v>2.9160058561436661E-3</v>
      </c>
      <c r="E5057" s="9"/>
      <c r="F5057" s="257" t="s">
        <v>16407</v>
      </c>
      <c r="G5057" s="9"/>
      <c r="H5057" s="257" t="s">
        <v>23115</v>
      </c>
      <c r="I5057" s="9">
        <v>3</v>
      </c>
    </row>
    <row r="5058" spans="1:9">
      <c r="A5058" s="257" t="s">
        <v>6156</v>
      </c>
      <c r="B5058" s="9">
        <v>4</v>
      </c>
      <c r="C5058" s="257" t="s">
        <v>12488</v>
      </c>
      <c r="D5058" s="9">
        <v>2.2233185541986667E-3</v>
      </c>
      <c r="E5058" s="9"/>
      <c r="F5058" s="257" t="s">
        <v>16408</v>
      </c>
      <c r="G5058" s="9"/>
      <c r="H5058" s="257" t="s">
        <v>23116</v>
      </c>
      <c r="I5058" s="9">
        <v>3</v>
      </c>
    </row>
    <row r="5059" spans="1:9">
      <c r="A5059" s="257" t="s">
        <v>6157</v>
      </c>
      <c r="B5059" s="9">
        <v>4</v>
      </c>
      <c r="C5059" s="257" t="s">
        <v>12488</v>
      </c>
      <c r="D5059" s="9">
        <v>5.1393244103423328E-3</v>
      </c>
      <c r="E5059" s="9"/>
      <c r="F5059" s="257" t="s">
        <v>16409</v>
      </c>
      <c r="G5059" s="9"/>
      <c r="H5059" s="257" t="s">
        <v>23117</v>
      </c>
      <c r="I5059" s="9">
        <v>3</v>
      </c>
    </row>
    <row r="5060" spans="1:9">
      <c r="A5060" s="257" t="s">
        <v>6158</v>
      </c>
      <c r="B5060" s="9">
        <v>4</v>
      </c>
      <c r="C5060" s="257" t="s">
        <v>12488</v>
      </c>
      <c r="D5060" s="9">
        <v>-1.4689230822941571E-4</v>
      </c>
      <c r="E5060" s="9"/>
      <c r="F5060" s="257" t="s">
        <v>16410</v>
      </c>
      <c r="G5060" s="9"/>
      <c r="H5060" s="257" t="s">
        <v>23118</v>
      </c>
      <c r="I5060" s="9">
        <v>3</v>
      </c>
    </row>
    <row r="5061" spans="1:9">
      <c r="A5061" s="257" t="s">
        <v>6159</v>
      </c>
      <c r="B5061" s="9">
        <v>4</v>
      </c>
      <c r="C5061" s="257" t="s">
        <v>12488</v>
      </c>
      <c r="D5061" s="9">
        <v>-1.845051924622168E-3</v>
      </c>
      <c r="E5061" s="9"/>
      <c r="F5061" s="257" t="s">
        <v>16411</v>
      </c>
      <c r="G5061" s="9"/>
      <c r="H5061" s="257" t="s">
        <v>23119</v>
      </c>
      <c r="I5061" s="9">
        <v>3</v>
      </c>
    </row>
    <row r="5062" spans="1:9">
      <c r="A5062" s="257" t="s">
        <v>6160</v>
      </c>
      <c r="B5062" s="9">
        <v>5</v>
      </c>
      <c r="C5062" s="257" t="s">
        <v>12488</v>
      </c>
      <c r="D5062" s="9">
        <v>4.2937031293234307E-3</v>
      </c>
      <c r="E5062" s="9"/>
      <c r="F5062" s="257" t="s">
        <v>16412</v>
      </c>
      <c r="G5062" s="9"/>
      <c r="H5062" s="257" t="s">
        <v>23120</v>
      </c>
      <c r="I5062" s="9">
        <v>3</v>
      </c>
    </row>
    <row r="5063" spans="1:9">
      <c r="A5063" s="257" t="s">
        <v>6161</v>
      </c>
      <c r="B5063" s="9">
        <v>5</v>
      </c>
      <c r="C5063" s="257" t="s">
        <v>12488</v>
      </c>
      <c r="D5063" s="9">
        <v>4.2937031293234307E-3</v>
      </c>
      <c r="E5063" s="9"/>
      <c r="F5063" s="257" t="s">
        <v>16413</v>
      </c>
      <c r="G5063" s="9"/>
      <c r="H5063" s="257" t="s">
        <v>23121</v>
      </c>
      <c r="I5063" s="9">
        <v>3</v>
      </c>
    </row>
    <row r="5064" spans="1:9">
      <c r="A5064" s="257" t="s">
        <v>6162</v>
      </c>
      <c r="B5064" s="9">
        <v>5</v>
      </c>
      <c r="C5064" s="257" t="s">
        <v>12488</v>
      </c>
      <c r="D5064" s="9">
        <v>3.600501282664384E-3</v>
      </c>
      <c r="E5064" s="9"/>
      <c r="F5064" s="257" t="s">
        <v>16414</v>
      </c>
      <c r="G5064" s="9"/>
      <c r="H5064" s="257" t="s">
        <v>23122</v>
      </c>
      <c r="I5064" s="9">
        <v>3</v>
      </c>
    </row>
    <row r="5065" spans="1:9">
      <c r="A5065" s="257" t="s">
        <v>6163</v>
      </c>
      <c r="B5065" s="9">
        <v>5</v>
      </c>
      <c r="C5065" s="257" t="s">
        <v>12488</v>
      </c>
      <c r="D5065" s="9">
        <v>0</v>
      </c>
      <c r="E5065" s="9"/>
      <c r="F5065" s="257" t="s">
        <v>16415</v>
      </c>
      <c r="G5065" s="9"/>
      <c r="H5065" s="257" t="s">
        <v>23123</v>
      </c>
      <c r="I5065" s="9">
        <v>3</v>
      </c>
    </row>
    <row r="5066" spans="1:9">
      <c r="A5066" s="257" t="s">
        <v>6164</v>
      </c>
      <c r="B5066" s="9">
        <v>5</v>
      </c>
      <c r="C5066" s="257" t="s">
        <v>12488</v>
      </c>
      <c r="D5066" s="9">
        <v>0</v>
      </c>
      <c r="E5066" s="9"/>
      <c r="F5066" s="257" t="s">
        <v>16416</v>
      </c>
      <c r="G5066" s="9"/>
      <c r="H5066" s="257" t="s">
        <v>23124</v>
      </c>
      <c r="I5066" s="9">
        <v>3</v>
      </c>
    </row>
    <row r="5067" spans="1:9">
      <c r="A5067" s="257" t="s">
        <v>6165</v>
      </c>
      <c r="B5067" s="9">
        <v>5</v>
      </c>
      <c r="C5067" s="257" t="s">
        <v>12488</v>
      </c>
      <c r="D5067" s="9">
        <v>7.8942044119878138E-3</v>
      </c>
      <c r="E5067" s="9"/>
      <c r="F5067" s="257" t="s">
        <v>16417</v>
      </c>
      <c r="G5067" s="9"/>
      <c r="H5067" s="257" t="s">
        <v>23125</v>
      </c>
      <c r="I5067" s="9">
        <v>3</v>
      </c>
    </row>
    <row r="5068" spans="1:9">
      <c r="A5068" s="257" t="s">
        <v>6166</v>
      </c>
      <c r="B5068" s="9">
        <v>5</v>
      </c>
      <c r="C5068" s="257" t="s">
        <v>12488</v>
      </c>
      <c r="D5068" s="9">
        <v>7.8942044119878138E-3</v>
      </c>
      <c r="E5068" s="9"/>
      <c r="F5068" s="257" t="s">
        <v>16418</v>
      </c>
      <c r="G5068" s="9"/>
      <c r="H5068" s="257" t="s">
        <v>23126</v>
      </c>
      <c r="I5068" s="9">
        <v>3</v>
      </c>
    </row>
    <row r="5069" spans="1:9">
      <c r="A5069" s="257" t="s">
        <v>6167</v>
      </c>
      <c r="B5069" s="9">
        <v>5</v>
      </c>
      <c r="C5069" s="257" t="s">
        <v>12488</v>
      </c>
      <c r="D5069" s="9">
        <v>7.8942044119878138E-3</v>
      </c>
      <c r="E5069" s="9"/>
      <c r="F5069" s="257" t="s">
        <v>16419</v>
      </c>
      <c r="G5069" s="9"/>
      <c r="H5069" s="257" t="s">
        <v>23127</v>
      </c>
      <c r="I5069" s="9">
        <v>3</v>
      </c>
    </row>
    <row r="5070" spans="1:9">
      <c r="A5070" s="257" t="s">
        <v>6168</v>
      </c>
      <c r="B5070" s="9">
        <v>5</v>
      </c>
      <c r="C5070" s="257" t="s">
        <v>12488</v>
      </c>
      <c r="D5070" s="9">
        <v>1.0275779629262289E-2</v>
      </c>
      <c r="E5070" s="9"/>
      <c r="F5070" s="257" t="s">
        <v>16420</v>
      </c>
      <c r="G5070" s="9"/>
      <c r="H5070" s="257" t="s">
        <v>23128</v>
      </c>
      <c r="I5070" s="9">
        <v>3</v>
      </c>
    </row>
    <row r="5071" spans="1:9">
      <c r="A5071" s="257" t="s">
        <v>6169</v>
      </c>
      <c r="B5071" s="9">
        <v>5</v>
      </c>
      <c r="C5071" s="257" t="s">
        <v>12488</v>
      </c>
      <c r="D5071" s="9">
        <v>1.0275779629262289E-2</v>
      </c>
      <c r="E5071" s="9"/>
      <c r="F5071" s="257" t="s">
        <v>16421</v>
      </c>
      <c r="G5071" s="9"/>
      <c r="H5071" s="257" t="s">
        <v>23129</v>
      </c>
      <c r="I5071" s="9">
        <v>3</v>
      </c>
    </row>
    <row r="5072" spans="1:9">
      <c r="A5072" s="257" t="s">
        <v>6170</v>
      </c>
      <c r="B5072" s="9">
        <v>5</v>
      </c>
      <c r="C5072" s="257" t="s">
        <v>12488</v>
      </c>
      <c r="D5072" s="9">
        <v>-2.3815752172744722E-3</v>
      </c>
      <c r="E5072" s="9"/>
      <c r="F5072" s="257" t="s">
        <v>16422</v>
      </c>
      <c r="G5072" s="9"/>
      <c r="H5072" s="257" t="s">
        <v>23130</v>
      </c>
      <c r="I5072" s="9">
        <v>3</v>
      </c>
    </row>
    <row r="5073" spans="1:9">
      <c r="A5073" s="257" t="s">
        <v>6171</v>
      </c>
      <c r="B5073" s="9">
        <v>5</v>
      </c>
      <c r="C5073" s="257" t="s">
        <v>12488</v>
      </c>
      <c r="D5073" s="9">
        <v>0</v>
      </c>
      <c r="E5073" s="9"/>
      <c r="F5073" s="257" t="s">
        <v>16423</v>
      </c>
      <c r="G5073" s="9"/>
      <c r="H5073" s="257" t="s">
        <v>23131</v>
      </c>
      <c r="I5073" s="9">
        <v>3</v>
      </c>
    </row>
    <row r="5074" spans="1:9">
      <c r="A5074" s="257" t="s">
        <v>6172</v>
      </c>
      <c r="B5074" s="9">
        <v>5</v>
      </c>
      <c r="C5074" s="257" t="s">
        <v>12488</v>
      </c>
      <c r="D5074" s="9">
        <v>0</v>
      </c>
      <c r="E5074" s="9"/>
      <c r="F5074" s="257" t="s">
        <v>16424</v>
      </c>
      <c r="G5074" s="9"/>
      <c r="H5074" s="257" t="s">
        <v>23132</v>
      </c>
      <c r="I5074" s="9">
        <v>3</v>
      </c>
    </row>
    <row r="5075" spans="1:9">
      <c r="A5075" s="257" t="s">
        <v>6173</v>
      </c>
      <c r="B5075" s="9">
        <v>5</v>
      </c>
      <c r="C5075" s="257" t="s">
        <v>12488</v>
      </c>
      <c r="D5075" s="9">
        <v>0</v>
      </c>
      <c r="E5075" s="9"/>
      <c r="F5075" s="257" t="s">
        <v>16425</v>
      </c>
      <c r="G5075" s="9"/>
      <c r="H5075" s="257" t="s">
        <v>23133</v>
      </c>
      <c r="I5075" s="9">
        <v>3</v>
      </c>
    </row>
    <row r="5076" spans="1:9">
      <c r="A5076" s="257" t="s">
        <v>6174</v>
      </c>
      <c r="B5076" s="9">
        <v>5</v>
      </c>
      <c r="C5076" s="257" t="s">
        <v>12488</v>
      </c>
      <c r="D5076" s="9">
        <v>0</v>
      </c>
      <c r="E5076" s="9"/>
      <c r="F5076" s="257" t="s">
        <v>16426</v>
      </c>
      <c r="G5076" s="9"/>
      <c r="H5076" s="257" t="s">
        <v>23134</v>
      </c>
      <c r="I5076" s="9">
        <v>3</v>
      </c>
    </row>
    <row r="5077" spans="1:9">
      <c r="A5077" s="257" t="s">
        <v>6175</v>
      </c>
      <c r="B5077" s="9">
        <v>5</v>
      </c>
      <c r="C5077" s="257" t="s">
        <v>12488</v>
      </c>
      <c r="D5077" s="9">
        <v>0</v>
      </c>
      <c r="E5077" s="9"/>
      <c r="F5077" s="257" t="s">
        <v>16427</v>
      </c>
      <c r="G5077" s="9"/>
      <c r="H5077" s="257" t="s">
        <v>23135</v>
      </c>
      <c r="I5077" s="9">
        <v>3</v>
      </c>
    </row>
    <row r="5078" spans="1:9">
      <c r="A5078" s="257" t="s">
        <v>6176</v>
      </c>
      <c r="B5078" s="9">
        <v>5</v>
      </c>
      <c r="C5078" s="257" t="s">
        <v>12488</v>
      </c>
      <c r="D5078" s="9">
        <v>0</v>
      </c>
      <c r="E5078" s="9"/>
      <c r="F5078" s="257" t="s">
        <v>16428</v>
      </c>
      <c r="G5078" s="9"/>
      <c r="H5078" s="257" t="s">
        <v>23136</v>
      </c>
      <c r="I5078" s="9">
        <v>3</v>
      </c>
    </row>
    <row r="5079" spans="1:9">
      <c r="A5079" s="257" t="s">
        <v>6177</v>
      </c>
      <c r="B5079" s="9">
        <v>5</v>
      </c>
      <c r="C5079" s="257" t="s">
        <v>12488</v>
      </c>
      <c r="D5079" s="9">
        <v>5.3533965802005402E-3</v>
      </c>
      <c r="E5079" s="9"/>
      <c r="F5079" s="257" t="s">
        <v>16429</v>
      </c>
      <c r="G5079" s="9"/>
      <c r="H5079" s="257" t="s">
        <v>23137</v>
      </c>
      <c r="I5079" s="9">
        <v>3</v>
      </c>
    </row>
    <row r="5080" spans="1:9">
      <c r="A5080" s="257" t="s">
        <v>6178</v>
      </c>
      <c r="B5080" s="9">
        <v>5</v>
      </c>
      <c r="C5080" s="257" t="s">
        <v>12488</v>
      </c>
      <c r="D5080" s="9">
        <v>-9.5472539431190248E-4</v>
      </c>
      <c r="E5080" s="9"/>
      <c r="F5080" s="257" t="s">
        <v>16430</v>
      </c>
      <c r="G5080" s="9"/>
      <c r="H5080" s="257" t="s">
        <v>23138</v>
      </c>
      <c r="I5080" s="9">
        <v>3</v>
      </c>
    </row>
    <row r="5081" spans="1:9">
      <c r="A5081" s="257" t="s">
        <v>6179</v>
      </c>
      <c r="B5081" s="9">
        <v>5</v>
      </c>
      <c r="C5081" s="257" t="s">
        <v>12488</v>
      </c>
      <c r="D5081" s="9">
        <v>4.3986711858886376E-3</v>
      </c>
      <c r="E5081" s="9"/>
      <c r="F5081" s="257" t="s">
        <v>16431</v>
      </c>
      <c r="G5081" s="9"/>
      <c r="H5081" s="257" t="s">
        <v>23139</v>
      </c>
      <c r="I5081" s="9">
        <v>3</v>
      </c>
    </row>
    <row r="5082" spans="1:9">
      <c r="A5082" s="257" t="s">
        <v>6180</v>
      </c>
      <c r="B5082" s="9">
        <v>5</v>
      </c>
      <c r="C5082" s="257" t="s">
        <v>12488</v>
      </c>
      <c r="D5082" s="9">
        <v>3.6227345035110014E-3</v>
      </c>
      <c r="E5082" s="9"/>
      <c r="F5082" s="257" t="s">
        <v>16432</v>
      </c>
      <c r="G5082" s="9"/>
      <c r="H5082" s="257" t="s">
        <v>23140</v>
      </c>
      <c r="I5082" s="9">
        <v>3</v>
      </c>
    </row>
    <row r="5083" spans="1:9">
      <c r="A5083" s="257" t="s">
        <v>6181</v>
      </c>
      <c r="B5083" s="9">
        <v>5</v>
      </c>
      <c r="C5083" s="257" t="s">
        <v>12488</v>
      </c>
      <c r="D5083" s="9">
        <v>2.2543739398626483E-3</v>
      </c>
      <c r="E5083" s="9"/>
      <c r="F5083" s="257" t="s">
        <v>16433</v>
      </c>
      <c r="G5083" s="9"/>
      <c r="H5083" s="257" t="s">
        <v>23141</v>
      </c>
      <c r="I5083" s="9">
        <v>3</v>
      </c>
    </row>
    <row r="5084" spans="1:9">
      <c r="A5084" s="257" t="s">
        <v>6182</v>
      </c>
      <c r="B5084" s="9">
        <v>5</v>
      </c>
      <c r="C5084" s="257" t="s">
        <v>12488</v>
      </c>
      <c r="D5084" s="9">
        <v>5.8771084433736501E-3</v>
      </c>
      <c r="E5084" s="9"/>
      <c r="F5084" s="257" t="s">
        <v>16434</v>
      </c>
      <c r="G5084" s="9"/>
      <c r="H5084" s="257" t="s">
        <v>23142</v>
      </c>
      <c r="I5084" s="9">
        <v>3</v>
      </c>
    </row>
    <row r="5085" spans="1:9">
      <c r="A5085" s="257" t="s">
        <v>6183</v>
      </c>
      <c r="B5085" s="9">
        <v>5</v>
      </c>
      <c r="C5085" s="257" t="s">
        <v>12488</v>
      </c>
      <c r="D5085" s="9">
        <v>-1.0496805656520665E-4</v>
      </c>
      <c r="E5085" s="9"/>
      <c r="F5085" s="257" t="s">
        <v>16435</v>
      </c>
      <c r="G5085" s="9"/>
      <c r="H5085" s="257" t="s">
        <v>23143</v>
      </c>
      <c r="I5085" s="9">
        <v>3</v>
      </c>
    </row>
    <row r="5086" spans="1:9">
      <c r="A5086" s="257" t="s">
        <v>6184</v>
      </c>
      <c r="B5086" s="9">
        <v>5</v>
      </c>
      <c r="C5086" s="257" t="s">
        <v>12488</v>
      </c>
      <c r="D5086" s="9">
        <v>-2.2766071607092657E-3</v>
      </c>
      <c r="E5086" s="9"/>
      <c r="F5086" s="257" t="s">
        <v>16436</v>
      </c>
      <c r="G5086" s="9"/>
      <c r="H5086" s="257" t="s">
        <v>23144</v>
      </c>
      <c r="I5086" s="9">
        <v>3</v>
      </c>
    </row>
    <row r="5087" spans="1:9">
      <c r="A5087" s="257" t="s">
        <v>6185</v>
      </c>
      <c r="B5087" s="9">
        <v>6</v>
      </c>
      <c r="C5087" s="257" t="s">
        <v>12488</v>
      </c>
      <c r="D5087" s="9">
        <v>5.2282485809836063E-3</v>
      </c>
      <c r="E5087" s="9"/>
      <c r="F5087" s="257" t="s">
        <v>16437</v>
      </c>
      <c r="G5087" s="9"/>
      <c r="H5087" s="257" t="s">
        <v>23145</v>
      </c>
      <c r="I5087" s="9">
        <v>3</v>
      </c>
    </row>
    <row r="5088" spans="1:9">
      <c r="A5088" s="257" t="s">
        <v>6186</v>
      </c>
      <c r="B5088" s="9">
        <v>6</v>
      </c>
      <c r="C5088" s="257" t="s">
        <v>12488</v>
      </c>
      <c r="D5088" s="9">
        <v>5.2282485809836063E-3</v>
      </c>
      <c r="E5088" s="9"/>
      <c r="F5088" s="257" t="s">
        <v>16438</v>
      </c>
      <c r="G5088" s="9"/>
      <c r="H5088" s="257" t="s">
        <v>23146</v>
      </c>
      <c r="I5088" s="9">
        <v>3</v>
      </c>
    </row>
    <row r="5089" spans="1:9">
      <c r="A5089" s="257" t="s">
        <v>6187</v>
      </c>
      <c r="B5089" s="9">
        <v>6</v>
      </c>
      <c r="C5089" s="257" t="s">
        <v>12488</v>
      </c>
      <c r="D5089" s="9">
        <v>3.8816475085760179E-3</v>
      </c>
      <c r="E5089" s="9"/>
      <c r="F5089" s="257" t="s">
        <v>16439</v>
      </c>
      <c r="G5089" s="9"/>
      <c r="H5089" s="257" t="s">
        <v>23147</v>
      </c>
      <c r="I5089" s="9">
        <v>3</v>
      </c>
    </row>
    <row r="5090" spans="1:9">
      <c r="A5090" s="257" t="s">
        <v>6188</v>
      </c>
      <c r="B5090" s="9">
        <v>6</v>
      </c>
      <c r="C5090" s="257" t="s">
        <v>12488</v>
      </c>
      <c r="D5090" s="9">
        <v>0</v>
      </c>
      <c r="E5090" s="9"/>
      <c r="F5090" s="257" t="s">
        <v>16440</v>
      </c>
      <c r="G5090" s="9"/>
      <c r="H5090" s="257" t="s">
        <v>23148</v>
      </c>
      <c r="I5090" s="9">
        <v>3</v>
      </c>
    </row>
    <row r="5091" spans="1:9">
      <c r="A5091" s="257" t="s">
        <v>6189</v>
      </c>
      <c r="B5091" s="9">
        <v>6</v>
      </c>
      <c r="C5091" s="257" t="s">
        <v>12488</v>
      </c>
      <c r="D5091" s="9">
        <v>0</v>
      </c>
      <c r="E5091" s="9"/>
      <c r="F5091" s="257" t="s">
        <v>16441</v>
      </c>
      <c r="G5091" s="9"/>
      <c r="H5091" s="257" t="s">
        <v>23149</v>
      </c>
      <c r="I5091" s="9">
        <v>3</v>
      </c>
    </row>
    <row r="5092" spans="1:9">
      <c r="A5092" s="257" t="s">
        <v>6190</v>
      </c>
      <c r="B5092" s="9">
        <v>6</v>
      </c>
      <c r="C5092" s="257" t="s">
        <v>12488</v>
      </c>
      <c r="D5092" s="9">
        <v>9.1098960895596246E-3</v>
      </c>
      <c r="E5092" s="9"/>
      <c r="F5092" s="257" t="s">
        <v>16442</v>
      </c>
      <c r="G5092" s="9"/>
      <c r="H5092" s="257" t="s">
        <v>23150</v>
      </c>
      <c r="I5092" s="9">
        <v>3</v>
      </c>
    </row>
    <row r="5093" spans="1:9">
      <c r="A5093" s="257" t="s">
        <v>6191</v>
      </c>
      <c r="B5093" s="9">
        <v>6</v>
      </c>
      <c r="C5093" s="257" t="s">
        <v>12488</v>
      </c>
      <c r="D5093" s="9">
        <v>9.1098960895596246E-3</v>
      </c>
      <c r="E5093" s="9"/>
      <c r="F5093" s="257" t="s">
        <v>16443</v>
      </c>
      <c r="G5093" s="9"/>
      <c r="H5093" s="257" t="s">
        <v>23151</v>
      </c>
      <c r="I5093" s="9">
        <v>3</v>
      </c>
    </row>
    <row r="5094" spans="1:9">
      <c r="A5094" s="257" t="s">
        <v>6192</v>
      </c>
      <c r="B5094" s="9">
        <v>6</v>
      </c>
      <c r="C5094" s="257" t="s">
        <v>12488</v>
      </c>
      <c r="D5094" s="9">
        <v>9.1098960895596246E-3</v>
      </c>
      <c r="E5094" s="9"/>
      <c r="F5094" s="257" t="s">
        <v>16444</v>
      </c>
      <c r="G5094" s="9"/>
      <c r="H5094" s="257" t="s">
        <v>23152</v>
      </c>
      <c r="I5094" s="9">
        <v>3</v>
      </c>
    </row>
    <row r="5095" spans="1:9">
      <c r="A5095" s="257" t="s">
        <v>6193</v>
      </c>
      <c r="B5095" s="9">
        <v>6</v>
      </c>
      <c r="C5095" s="257" t="s">
        <v>12488</v>
      </c>
      <c r="D5095" s="9">
        <v>1.2101601860419874E-2</v>
      </c>
      <c r="E5095" s="9"/>
      <c r="F5095" s="257" t="s">
        <v>16445</v>
      </c>
      <c r="G5095" s="9"/>
      <c r="H5095" s="257" t="s">
        <v>23153</v>
      </c>
      <c r="I5095" s="9">
        <v>3</v>
      </c>
    </row>
    <row r="5096" spans="1:9">
      <c r="A5096" s="257" t="s">
        <v>6194</v>
      </c>
      <c r="B5096" s="9">
        <v>6</v>
      </c>
      <c r="C5096" s="257" t="s">
        <v>12488</v>
      </c>
      <c r="D5096" s="9">
        <v>1.2101601860419874E-2</v>
      </c>
      <c r="E5096" s="9"/>
      <c r="F5096" s="257" t="s">
        <v>16446</v>
      </c>
      <c r="G5096" s="9"/>
      <c r="H5096" s="257" t="s">
        <v>23154</v>
      </c>
      <c r="I5096" s="9">
        <v>3</v>
      </c>
    </row>
    <row r="5097" spans="1:9">
      <c r="A5097" s="257" t="s">
        <v>6195</v>
      </c>
      <c r="B5097" s="9">
        <v>6</v>
      </c>
      <c r="C5097" s="257" t="s">
        <v>12488</v>
      </c>
      <c r="D5097" s="9">
        <v>-2.991705770860251E-3</v>
      </c>
      <c r="E5097" s="9"/>
      <c r="F5097" s="257" t="s">
        <v>16447</v>
      </c>
      <c r="G5097" s="9"/>
      <c r="H5097" s="257" t="s">
        <v>23155</v>
      </c>
      <c r="I5097" s="9">
        <v>3</v>
      </c>
    </row>
    <row r="5098" spans="1:9">
      <c r="A5098" s="257" t="s">
        <v>6196</v>
      </c>
      <c r="B5098" s="9">
        <v>6</v>
      </c>
      <c r="C5098" s="257" t="s">
        <v>12488</v>
      </c>
      <c r="D5098" s="9">
        <v>0</v>
      </c>
      <c r="E5098" s="9"/>
      <c r="F5098" s="257" t="s">
        <v>16448</v>
      </c>
      <c r="G5098" s="9"/>
      <c r="H5098" s="257" t="s">
        <v>23156</v>
      </c>
      <c r="I5098" s="9">
        <v>3</v>
      </c>
    </row>
    <row r="5099" spans="1:9">
      <c r="A5099" s="257" t="s">
        <v>6197</v>
      </c>
      <c r="B5099" s="9">
        <v>6</v>
      </c>
      <c r="C5099" s="257" t="s">
        <v>12488</v>
      </c>
      <c r="D5099" s="9">
        <v>0</v>
      </c>
      <c r="E5099" s="9"/>
      <c r="F5099" s="257" t="s">
        <v>16449</v>
      </c>
      <c r="G5099" s="9"/>
      <c r="H5099" s="257" t="s">
        <v>23157</v>
      </c>
      <c r="I5099" s="9">
        <v>3</v>
      </c>
    </row>
    <row r="5100" spans="1:9">
      <c r="A5100" s="257" t="s">
        <v>6198</v>
      </c>
      <c r="B5100" s="9">
        <v>6</v>
      </c>
      <c r="C5100" s="257" t="s">
        <v>12488</v>
      </c>
      <c r="D5100" s="9">
        <v>0</v>
      </c>
      <c r="E5100" s="9"/>
      <c r="F5100" s="257" t="s">
        <v>16450</v>
      </c>
      <c r="G5100" s="9"/>
      <c r="H5100" s="257" t="s">
        <v>23158</v>
      </c>
      <c r="I5100" s="9">
        <v>3</v>
      </c>
    </row>
    <row r="5101" spans="1:9">
      <c r="A5101" s="257" t="s">
        <v>6199</v>
      </c>
      <c r="B5101" s="9">
        <v>6</v>
      </c>
      <c r="C5101" s="257" t="s">
        <v>12488</v>
      </c>
      <c r="D5101" s="9">
        <v>0</v>
      </c>
      <c r="E5101" s="9"/>
      <c r="F5101" s="257" t="s">
        <v>16451</v>
      </c>
      <c r="G5101" s="9"/>
      <c r="H5101" s="257" t="s">
        <v>23159</v>
      </c>
      <c r="I5101" s="9">
        <v>3</v>
      </c>
    </row>
    <row r="5102" spans="1:9">
      <c r="A5102" s="257" t="s">
        <v>6200</v>
      </c>
      <c r="B5102" s="9">
        <v>6</v>
      </c>
      <c r="C5102" s="257" t="s">
        <v>12488</v>
      </c>
      <c r="D5102" s="9">
        <v>0</v>
      </c>
      <c r="E5102" s="9"/>
      <c r="F5102" s="257" t="s">
        <v>16452</v>
      </c>
      <c r="G5102" s="9"/>
      <c r="H5102" s="257" t="s">
        <v>23160</v>
      </c>
      <c r="I5102" s="9">
        <v>3</v>
      </c>
    </row>
    <row r="5103" spans="1:9">
      <c r="A5103" s="257" t="s">
        <v>6201</v>
      </c>
      <c r="B5103" s="9">
        <v>6</v>
      </c>
      <c r="C5103" s="257" t="s">
        <v>12488</v>
      </c>
      <c r="D5103" s="9">
        <v>0</v>
      </c>
      <c r="E5103" s="9"/>
      <c r="F5103" s="257" t="s">
        <v>16453</v>
      </c>
      <c r="G5103" s="9"/>
      <c r="H5103" s="257" t="s">
        <v>23161</v>
      </c>
      <c r="I5103" s="9">
        <v>3</v>
      </c>
    </row>
    <row r="5104" spans="1:9">
      <c r="A5104" s="257" t="s">
        <v>6202</v>
      </c>
      <c r="B5104" s="9">
        <v>6</v>
      </c>
      <c r="C5104" s="257" t="s">
        <v>12488</v>
      </c>
      <c r="D5104" s="9">
        <v>6.5489334569723391E-3</v>
      </c>
      <c r="E5104" s="9"/>
      <c r="F5104" s="257" t="s">
        <v>16454</v>
      </c>
      <c r="G5104" s="9"/>
      <c r="H5104" s="257" t="s">
        <v>23162</v>
      </c>
      <c r="I5104" s="9">
        <v>3</v>
      </c>
    </row>
    <row r="5105" spans="1:9">
      <c r="A5105" s="257" t="s">
        <v>6203</v>
      </c>
      <c r="B5105" s="9">
        <v>6</v>
      </c>
      <c r="C5105" s="257" t="s">
        <v>12488</v>
      </c>
      <c r="D5105" s="9">
        <v>-9.5218722395925084E-4</v>
      </c>
      <c r="E5105" s="9"/>
      <c r="F5105" s="257" t="s">
        <v>16455</v>
      </c>
      <c r="G5105" s="9"/>
      <c r="H5105" s="257" t="s">
        <v>23163</v>
      </c>
      <c r="I5105" s="9">
        <v>3</v>
      </c>
    </row>
    <row r="5106" spans="1:9">
      <c r="A5106" s="257" t="s">
        <v>6204</v>
      </c>
      <c r="B5106" s="9">
        <v>6</v>
      </c>
      <c r="C5106" s="257" t="s">
        <v>12488</v>
      </c>
      <c r="D5106" s="9">
        <v>5.5967462330130885E-3</v>
      </c>
      <c r="E5106" s="9"/>
      <c r="F5106" s="257" t="s">
        <v>16456</v>
      </c>
      <c r="G5106" s="9"/>
      <c r="H5106" s="257" t="s">
        <v>23164</v>
      </c>
      <c r="I5106" s="9">
        <v>3</v>
      </c>
    </row>
    <row r="5107" spans="1:9">
      <c r="A5107" s="257" t="s">
        <v>6205</v>
      </c>
      <c r="B5107" s="9">
        <v>6</v>
      </c>
      <c r="C5107" s="257" t="s">
        <v>12488</v>
      </c>
      <c r="D5107" s="9">
        <v>4.2532348968863229E-3</v>
      </c>
      <c r="E5107" s="9"/>
      <c r="F5107" s="257" t="s">
        <v>16457</v>
      </c>
      <c r="G5107" s="9"/>
      <c r="H5107" s="257" t="s">
        <v>23165</v>
      </c>
      <c r="I5107" s="9">
        <v>3</v>
      </c>
    </row>
    <row r="5108" spans="1:9">
      <c r="A5108" s="257" t="s">
        <v>6206</v>
      </c>
      <c r="B5108" s="9">
        <v>6</v>
      </c>
      <c r="C5108" s="257" t="s">
        <v>12488</v>
      </c>
      <c r="D5108" s="9">
        <v>2.2516207305204629E-3</v>
      </c>
      <c r="E5108" s="9"/>
      <c r="F5108" s="257" t="s">
        <v>16458</v>
      </c>
      <c r="G5108" s="9"/>
      <c r="H5108" s="257" t="s">
        <v>23166</v>
      </c>
      <c r="I5108" s="9">
        <v>3</v>
      </c>
    </row>
    <row r="5109" spans="1:9">
      <c r="A5109" s="257" t="s">
        <v>6207</v>
      </c>
      <c r="B5109" s="9">
        <v>6</v>
      </c>
      <c r="C5109" s="257" t="s">
        <v>12488</v>
      </c>
      <c r="D5109" s="9">
        <v>6.5048556274067857E-3</v>
      </c>
      <c r="E5109" s="9"/>
      <c r="F5109" s="257" t="s">
        <v>16459</v>
      </c>
      <c r="G5109" s="9"/>
      <c r="H5109" s="257" t="s">
        <v>23167</v>
      </c>
      <c r="I5109" s="9">
        <v>3</v>
      </c>
    </row>
    <row r="5110" spans="1:9">
      <c r="A5110" s="257" t="s">
        <v>6208</v>
      </c>
      <c r="B5110" s="9">
        <v>6</v>
      </c>
      <c r="C5110" s="257" t="s">
        <v>12488</v>
      </c>
      <c r="D5110" s="9">
        <v>-3.6849765202948256E-4</v>
      </c>
      <c r="E5110" s="9"/>
      <c r="F5110" s="257" t="s">
        <v>16460</v>
      </c>
      <c r="G5110" s="9"/>
      <c r="H5110" s="257" t="s">
        <v>23168</v>
      </c>
      <c r="I5110" s="9">
        <v>3</v>
      </c>
    </row>
    <row r="5111" spans="1:9">
      <c r="A5111" s="257" t="s">
        <v>6209</v>
      </c>
      <c r="B5111" s="9">
        <v>6</v>
      </c>
      <c r="C5111" s="257" t="s">
        <v>12488</v>
      </c>
      <c r="D5111" s="9">
        <v>-2.6232081188307683E-3</v>
      </c>
      <c r="E5111" s="9"/>
      <c r="F5111" s="257" t="s">
        <v>16461</v>
      </c>
      <c r="G5111" s="9"/>
      <c r="H5111" s="257" t="s">
        <v>23169</v>
      </c>
      <c r="I5111" s="9">
        <v>3</v>
      </c>
    </row>
    <row r="5112" spans="1:9">
      <c r="A5112" s="257" t="s">
        <v>6210</v>
      </c>
      <c r="B5112" s="9">
        <v>7</v>
      </c>
      <c r="C5112" s="257" t="s">
        <v>12488</v>
      </c>
      <c r="D5112" s="9">
        <v>6.3792174412339048E-3</v>
      </c>
      <c r="E5112" s="9"/>
      <c r="F5112" s="257" t="s">
        <v>16462</v>
      </c>
      <c r="G5112" s="9"/>
      <c r="H5112" s="257" t="s">
        <v>23170</v>
      </c>
      <c r="I5112" s="9">
        <v>3</v>
      </c>
    </row>
    <row r="5113" spans="1:9">
      <c r="A5113" s="257" t="s">
        <v>6211</v>
      </c>
      <c r="B5113" s="9">
        <v>7</v>
      </c>
      <c r="C5113" s="257" t="s">
        <v>12488</v>
      </c>
      <c r="D5113" s="9">
        <v>6.3792174412339048E-3</v>
      </c>
      <c r="E5113" s="9"/>
      <c r="F5113" s="257" t="s">
        <v>16463</v>
      </c>
      <c r="G5113" s="9"/>
      <c r="H5113" s="257" t="s">
        <v>23171</v>
      </c>
      <c r="I5113" s="9">
        <v>3</v>
      </c>
    </row>
    <row r="5114" spans="1:9">
      <c r="A5114" s="257" t="s">
        <v>6212</v>
      </c>
      <c r="B5114" s="9">
        <v>7</v>
      </c>
      <c r="C5114" s="257" t="s">
        <v>12488</v>
      </c>
      <c r="D5114" s="9">
        <v>4.1496544814371671E-3</v>
      </c>
      <c r="E5114" s="9"/>
      <c r="F5114" s="257" t="s">
        <v>16464</v>
      </c>
      <c r="G5114" s="9"/>
      <c r="H5114" s="257" t="s">
        <v>23172</v>
      </c>
      <c r="I5114" s="9">
        <v>3</v>
      </c>
    </row>
    <row r="5115" spans="1:9">
      <c r="A5115" s="257" t="s">
        <v>6213</v>
      </c>
      <c r="B5115" s="9">
        <v>7</v>
      </c>
      <c r="C5115" s="257" t="s">
        <v>12488</v>
      </c>
      <c r="D5115" s="9">
        <v>0</v>
      </c>
      <c r="E5115" s="9"/>
      <c r="F5115" s="257" t="s">
        <v>16465</v>
      </c>
      <c r="G5115" s="9"/>
      <c r="H5115" s="257" t="s">
        <v>23173</v>
      </c>
      <c r="I5115" s="9">
        <v>3</v>
      </c>
    </row>
    <row r="5116" spans="1:9">
      <c r="A5116" s="257" t="s">
        <v>6214</v>
      </c>
      <c r="B5116" s="9">
        <v>7</v>
      </c>
      <c r="C5116" s="257" t="s">
        <v>12488</v>
      </c>
      <c r="D5116" s="9">
        <v>0</v>
      </c>
      <c r="E5116" s="9"/>
      <c r="F5116" s="257" t="s">
        <v>16466</v>
      </c>
      <c r="G5116" s="9"/>
      <c r="H5116" s="257" t="s">
        <v>23174</v>
      </c>
      <c r="I5116" s="9">
        <v>3</v>
      </c>
    </row>
    <row r="5117" spans="1:9">
      <c r="A5117" s="257" t="s">
        <v>6215</v>
      </c>
      <c r="B5117" s="9">
        <v>7</v>
      </c>
      <c r="C5117" s="257" t="s">
        <v>12488</v>
      </c>
      <c r="D5117" s="9">
        <v>1.0528871922671074E-2</v>
      </c>
      <c r="E5117" s="9"/>
      <c r="F5117" s="257" t="s">
        <v>16467</v>
      </c>
      <c r="G5117" s="9"/>
      <c r="H5117" s="257" t="s">
        <v>23175</v>
      </c>
      <c r="I5117" s="9">
        <v>3</v>
      </c>
    </row>
    <row r="5118" spans="1:9">
      <c r="A5118" s="257" t="s">
        <v>6216</v>
      </c>
      <c r="B5118" s="9">
        <v>7</v>
      </c>
      <c r="C5118" s="257" t="s">
        <v>12488</v>
      </c>
      <c r="D5118" s="9">
        <v>1.0528871922671074E-2</v>
      </c>
      <c r="E5118" s="9"/>
      <c r="F5118" s="257" t="s">
        <v>16468</v>
      </c>
      <c r="G5118" s="9"/>
      <c r="H5118" s="257" t="s">
        <v>23176</v>
      </c>
      <c r="I5118" s="9">
        <v>3</v>
      </c>
    </row>
    <row r="5119" spans="1:9">
      <c r="A5119" s="257" t="s">
        <v>6217</v>
      </c>
      <c r="B5119" s="9">
        <v>7</v>
      </c>
      <c r="C5119" s="257" t="s">
        <v>12488</v>
      </c>
      <c r="D5119" s="9">
        <v>1.0528871922671074E-2</v>
      </c>
      <c r="E5119" s="9"/>
      <c r="F5119" s="257" t="s">
        <v>16469</v>
      </c>
      <c r="G5119" s="9"/>
      <c r="H5119" s="257" t="s">
        <v>23177</v>
      </c>
      <c r="I5119" s="9">
        <v>3</v>
      </c>
    </row>
    <row r="5120" spans="1:9">
      <c r="A5120" s="257" t="s">
        <v>6218</v>
      </c>
      <c r="B5120" s="9">
        <v>7</v>
      </c>
      <c r="C5120" s="257" t="s">
        <v>12488</v>
      </c>
      <c r="D5120" s="9">
        <v>1.369556961559713E-2</v>
      </c>
      <c r="E5120" s="9"/>
      <c r="F5120" s="257" t="s">
        <v>16470</v>
      </c>
      <c r="G5120" s="9"/>
      <c r="H5120" s="257" t="s">
        <v>23178</v>
      </c>
      <c r="I5120" s="9">
        <v>3</v>
      </c>
    </row>
    <row r="5121" spans="1:9">
      <c r="A5121" s="257" t="s">
        <v>6219</v>
      </c>
      <c r="B5121" s="9">
        <v>7</v>
      </c>
      <c r="C5121" s="257" t="s">
        <v>12488</v>
      </c>
      <c r="D5121" s="9">
        <v>1.369556961559713E-2</v>
      </c>
      <c r="E5121" s="9"/>
      <c r="F5121" s="257" t="s">
        <v>16471</v>
      </c>
      <c r="G5121" s="9"/>
      <c r="H5121" s="257" t="s">
        <v>23179</v>
      </c>
      <c r="I5121" s="9">
        <v>3</v>
      </c>
    </row>
    <row r="5122" spans="1:9">
      <c r="A5122" s="257" t="s">
        <v>6220</v>
      </c>
      <c r="B5122" s="9">
        <v>7</v>
      </c>
      <c r="C5122" s="257" t="s">
        <v>12488</v>
      </c>
      <c r="D5122" s="9">
        <v>-3.1666976929260581E-3</v>
      </c>
      <c r="E5122" s="9"/>
      <c r="F5122" s="257" t="s">
        <v>16472</v>
      </c>
      <c r="G5122" s="9"/>
      <c r="H5122" s="257" t="s">
        <v>23180</v>
      </c>
      <c r="I5122" s="9">
        <v>3</v>
      </c>
    </row>
    <row r="5123" spans="1:9">
      <c r="A5123" s="257" t="s">
        <v>6221</v>
      </c>
      <c r="B5123" s="9">
        <v>7</v>
      </c>
      <c r="C5123" s="257" t="s">
        <v>12488</v>
      </c>
      <c r="D5123" s="9">
        <v>0</v>
      </c>
      <c r="E5123" s="9"/>
      <c r="F5123" s="257" t="s">
        <v>16473</v>
      </c>
      <c r="G5123" s="9"/>
      <c r="H5123" s="257" t="s">
        <v>23181</v>
      </c>
      <c r="I5123" s="9">
        <v>3</v>
      </c>
    </row>
    <row r="5124" spans="1:9">
      <c r="A5124" s="257" t="s">
        <v>6222</v>
      </c>
      <c r="B5124" s="9">
        <v>7</v>
      </c>
      <c r="C5124" s="257" t="s">
        <v>12488</v>
      </c>
      <c r="D5124" s="9">
        <v>0</v>
      </c>
      <c r="E5124" s="9"/>
      <c r="F5124" s="257" t="s">
        <v>16474</v>
      </c>
      <c r="G5124" s="9"/>
      <c r="H5124" s="257" t="s">
        <v>23182</v>
      </c>
      <c r="I5124" s="9">
        <v>3</v>
      </c>
    </row>
    <row r="5125" spans="1:9">
      <c r="A5125" s="257" t="s">
        <v>6223</v>
      </c>
      <c r="B5125" s="9">
        <v>7</v>
      </c>
      <c r="C5125" s="257" t="s">
        <v>12488</v>
      </c>
      <c r="D5125" s="9">
        <v>0</v>
      </c>
      <c r="E5125" s="9"/>
      <c r="F5125" s="257" t="s">
        <v>16475</v>
      </c>
      <c r="G5125" s="9"/>
      <c r="H5125" s="257" t="s">
        <v>23183</v>
      </c>
      <c r="I5125" s="9">
        <v>3</v>
      </c>
    </row>
    <row r="5126" spans="1:9">
      <c r="A5126" s="257" t="s">
        <v>6224</v>
      </c>
      <c r="B5126" s="9">
        <v>7</v>
      </c>
      <c r="C5126" s="257" t="s">
        <v>12488</v>
      </c>
      <c r="D5126" s="9">
        <v>0</v>
      </c>
      <c r="E5126" s="9"/>
      <c r="F5126" s="257" t="s">
        <v>16476</v>
      </c>
      <c r="G5126" s="9"/>
      <c r="H5126" s="257" t="s">
        <v>23184</v>
      </c>
      <c r="I5126" s="9">
        <v>3</v>
      </c>
    </row>
    <row r="5127" spans="1:9">
      <c r="A5127" s="257" t="s">
        <v>6225</v>
      </c>
      <c r="B5127" s="9">
        <v>7</v>
      </c>
      <c r="C5127" s="257" t="s">
        <v>12488</v>
      </c>
      <c r="D5127" s="9">
        <v>0</v>
      </c>
      <c r="E5127" s="9"/>
      <c r="F5127" s="257" t="s">
        <v>16477</v>
      </c>
      <c r="G5127" s="9"/>
      <c r="H5127" s="257" t="s">
        <v>23185</v>
      </c>
      <c r="I5127" s="9">
        <v>3</v>
      </c>
    </row>
    <row r="5128" spans="1:9">
      <c r="A5128" s="257" t="s">
        <v>6226</v>
      </c>
      <c r="B5128" s="9">
        <v>7</v>
      </c>
      <c r="C5128" s="257" t="s">
        <v>12488</v>
      </c>
      <c r="D5128" s="9">
        <v>0</v>
      </c>
      <c r="E5128" s="9"/>
      <c r="F5128" s="257" t="s">
        <v>16478</v>
      </c>
      <c r="G5128" s="9"/>
      <c r="H5128" s="257" t="s">
        <v>23186</v>
      </c>
      <c r="I5128" s="9">
        <v>3</v>
      </c>
    </row>
    <row r="5129" spans="1:9">
      <c r="A5129" s="257" t="s">
        <v>6227</v>
      </c>
      <c r="B5129" s="9">
        <v>7</v>
      </c>
      <c r="C5129" s="257" t="s">
        <v>12488</v>
      </c>
      <c r="D5129" s="9">
        <v>7.7398927042950649E-3</v>
      </c>
      <c r="E5129" s="9"/>
      <c r="F5129" s="257" t="s">
        <v>16479</v>
      </c>
      <c r="G5129" s="9"/>
      <c r="H5129" s="257" t="s">
        <v>23187</v>
      </c>
      <c r="I5129" s="9">
        <v>3</v>
      </c>
    </row>
    <row r="5130" spans="1:9">
      <c r="A5130" s="257" t="s">
        <v>6228</v>
      </c>
      <c r="B5130" s="9">
        <v>7</v>
      </c>
      <c r="C5130" s="257" t="s">
        <v>12488</v>
      </c>
      <c r="D5130" s="9">
        <v>-9.7194412448732993E-4</v>
      </c>
      <c r="E5130" s="9"/>
      <c r="F5130" s="257" t="s">
        <v>16480</v>
      </c>
      <c r="G5130" s="9"/>
      <c r="H5130" s="257" t="s">
        <v>23188</v>
      </c>
      <c r="I5130" s="9">
        <v>3</v>
      </c>
    </row>
    <row r="5131" spans="1:9">
      <c r="A5131" s="257" t="s">
        <v>6229</v>
      </c>
      <c r="B5131" s="9">
        <v>7</v>
      </c>
      <c r="C5131" s="257" t="s">
        <v>12488</v>
      </c>
      <c r="D5131" s="9">
        <v>6.767948579807735E-3</v>
      </c>
      <c r="E5131" s="9"/>
      <c r="F5131" s="257" t="s">
        <v>16481</v>
      </c>
      <c r="G5131" s="9"/>
      <c r="H5131" s="257" t="s">
        <v>23189</v>
      </c>
      <c r="I5131" s="9">
        <v>3</v>
      </c>
    </row>
    <row r="5132" spans="1:9">
      <c r="A5132" s="257" t="s">
        <v>6230</v>
      </c>
      <c r="B5132" s="9">
        <v>7</v>
      </c>
      <c r="C5132" s="257" t="s">
        <v>12488</v>
      </c>
      <c r="D5132" s="9">
        <v>4.6246910764876333E-3</v>
      </c>
      <c r="E5132" s="9"/>
      <c r="F5132" s="257" t="s">
        <v>16482</v>
      </c>
      <c r="G5132" s="9"/>
      <c r="H5132" s="257" t="s">
        <v>23190</v>
      </c>
      <c r="I5132" s="9">
        <v>3</v>
      </c>
    </row>
    <row r="5133" spans="1:9">
      <c r="A5133" s="257" t="s">
        <v>6231</v>
      </c>
      <c r="B5133" s="9">
        <v>7</v>
      </c>
      <c r="C5133" s="257" t="s">
        <v>12488</v>
      </c>
      <c r="D5133" s="9">
        <v>2.3029299593017617E-3</v>
      </c>
      <c r="E5133" s="9"/>
      <c r="F5133" s="257" t="s">
        <v>16483</v>
      </c>
      <c r="G5133" s="9"/>
      <c r="H5133" s="257" t="s">
        <v>23191</v>
      </c>
      <c r="I5133" s="9">
        <v>3</v>
      </c>
    </row>
    <row r="5134" spans="1:9">
      <c r="A5134" s="257" t="s">
        <v>6232</v>
      </c>
      <c r="B5134" s="9">
        <v>7</v>
      </c>
      <c r="C5134" s="257" t="s">
        <v>12488</v>
      </c>
      <c r="D5134" s="9">
        <v>6.9276210357893959E-3</v>
      </c>
      <c r="E5134" s="9"/>
      <c r="F5134" s="257" t="s">
        <v>16484</v>
      </c>
      <c r="G5134" s="9"/>
      <c r="H5134" s="257" t="s">
        <v>23192</v>
      </c>
      <c r="I5134" s="9">
        <v>3</v>
      </c>
    </row>
    <row r="5135" spans="1:9">
      <c r="A5135" s="257" t="s">
        <v>6233</v>
      </c>
      <c r="B5135" s="9">
        <v>7</v>
      </c>
      <c r="C5135" s="257" t="s">
        <v>12488</v>
      </c>
      <c r="D5135" s="9">
        <v>-3.8873113857383E-4</v>
      </c>
      <c r="E5135" s="9"/>
      <c r="F5135" s="257" t="s">
        <v>16485</v>
      </c>
      <c r="G5135" s="9"/>
      <c r="H5135" s="257" t="s">
        <v>23193</v>
      </c>
      <c r="I5135" s="9">
        <v>3</v>
      </c>
    </row>
    <row r="5136" spans="1:9">
      <c r="A5136" s="257" t="s">
        <v>6234</v>
      </c>
      <c r="B5136" s="9">
        <v>7</v>
      </c>
      <c r="C5136" s="257" t="s">
        <v>12488</v>
      </c>
      <c r="D5136" s="9">
        <v>-2.777966554352228E-3</v>
      </c>
      <c r="E5136" s="9"/>
      <c r="F5136" s="257" t="s">
        <v>16486</v>
      </c>
      <c r="G5136" s="9"/>
      <c r="H5136" s="257" t="s">
        <v>23194</v>
      </c>
      <c r="I5136" s="9">
        <v>3</v>
      </c>
    </row>
    <row r="5137" spans="1:9">
      <c r="A5137" s="257" t="s">
        <v>6235</v>
      </c>
      <c r="B5137" s="9">
        <v>8</v>
      </c>
      <c r="C5137" s="257" t="s">
        <v>12488</v>
      </c>
      <c r="D5137" s="9">
        <v>6.5623940160153575E-3</v>
      </c>
      <c r="E5137" s="9"/>
      <c r="F5137" s="257" t="s">
        <v>16487</v>
      </c>
      <c r="G5137" s="9"/>
      <c r="H5137" s="257" t="s">
        <v>23195</v>
      </c>
      <c r="I5137" s="9">
        <v>3</v>
      </c>
    </row>
    <row r="5138" spans="1:9">
      <c r="A5138" s="257" t="s">
        <v>6236</v>
      </c>
      <c r="B5138" s="9">
        <v>8</v>
      </c>
      <c r="C5138" s="257" t="s">
        <v>12488</v>
      </c>
      <c r="D5138" s="9">
        <v>6.5623940160153575E-3</v>
      </c>
      <c r="E5138" s="9"/>
      <c r="F5138" s="257" t="s">
        <v>16488</v>
      </c>
      <c r="G5138" s="9"/>
      <c r="H5138" s="257" t="s">
        <v>23196</v>
      </c>
      <c r="I5138" s="9">
        <v>3</v>
      </c>
    </row>
    <row r="5139" spans="1:9">
      <c r="A5139" s="257" t="s">
        <v>6237</v>
      </c>
      <c r="B5139" s="9">
        <v>8</v>
      </c>
      <c r="C5139" s="257" t="s">
        <v>12488</v>
      </c>
      <c r="D5139" s="9">
        <v>4.6117304519982154E-3</v>
      </c>
      <c r="E5139" s="9"/>
      <c r="F5139" s="257" t="s">
        <v>16489</v>
      </c>
      <c r="G5139" s="9"/>
      <c r="H5139" s="257" t="s">
        <v>23197</v>
      </c>
      <c r="I5139" s="9">
        <v>3</v>
      </c>
    </row>
    <row r="5140" spans="1:9">
      <c r="A5140" s="257" t="s">
        <v>6238</v>
      </c>
      <c r="B5140" s="9">
        <v>8</v>
      </c>
      <c r="C5140" s="257" t="s">
        <v>12488</v>
      </c>
      <c r="D5140" s="9">
        <v>0</v>
      </c>
      <c r="E5140" s="9"/>
      <c r="F5140" s="257" t="s">
        <v>16490</v>
      </c>
      <c r="G5140" s="9"/>
      <c r="H5140" s="257" t="s">
        <v>23198</v>
      </c>
      <c r="I5140" s="9">
        <v>3</v>
      </c>
    </row>
    <row r="5141" spans="1:9">
      <c r="A5141" s="257" t="s">
        <v>6239</v>
      </c>
      <c r="B5141" s="9">
        <v>8</v>
      </c>
      <c r="C5141" s="257" t="s">
        <v>12488</v>
      </c>
      <c r="D5141" s="9">
        <v>0</v>
      </c>
      <c r="E5141" s="9"/>
      <c r="F5141" s="257" t="s">
        <v>16491</v>
      </c>
      <c r="G5141" s="9"/>
      <c r="H5141" s="257" t="s">
        <v>23199</v>
      </c>
      <c r="I5141" s="9">
        <v>3</v>
      </c>
    </row>
    <row r="5142" spans="1:9">
      <c r="A5142" s="257" t="s">
        <v>6240</v>
      </c>
      <c r="B5142" s="9">
        <v>8</v>
      </c>
      <c r="C5142" s="257" t="s">
        <v>12488</v>
      </c>
      <c r="D5142" s="9">
        <v>1.1174124468013573E-2</v>
      </c>
      <c r="E5142" s="9"/>
      <c r="F5142" s="257" t="s">
        <v>16492</v>
      </c>
      <c r="G5142" s="9"/>
      <c r="H5142" s="257" t="s">
        <v>23200</v>
      </c>
      <c r="I5142" s="9">
        <v>3</v>
      </c>
    </row>
    <row r="5143" spans="1:9">
      <c r="A5143" s="257" t="s">
        <v>6241</v>
      </c>
      <c r="B5143" s="9">
        <v>8</v>
      </c>
      <c r="C5143" s="257" t="s">
        <v>12488</v>
      </c>
      <c r="D5143" s="9">
        <v>1.1174124468013573E-2</v>
      </c>
      <c r="E5143" s="9"/>
      <c r="F5143" s="257" t="s">
        <v>16493</v>
      </c>
      <c r="G5143" s="9"/>
      <c r="H5143" s="257" t="s">
        <v>23201</v>
      </c>
      <c r="I5143" s="9">
        <v>3</v>
      </c>
    </row>
    <row r="5144" spans="1:9">
      <c r="A5144" s="257" t="s">
        <v>6242</v>
      </c>
      <c r="B5144" s="9">
        <v>8</v>
      </c>
      <c r="C5144" s="257" t="s">
        <v>12488</v>
      </c>
      <c r="D5144" s="9">
        <v>1.1174124468013573E-2</v>
      </c>
      <c r="E5144" s="9"/>
      <c r="F5144" s="257" t="s">
        <v>16494</v>
      </c>
      <c r="G5144" s="9"/>
      <c r="H5144" s="257" t="s">
        <v>23202</v>
      </c>
      <c r="I5144" s="9">
        <v>3</v>
      </c>
    </row>
    <row r="5145" spans="1:9">
      <c r="A5145" s="257" t="s">
        <v>6243</v>
      </c>
      <c r="B5145" s="9">
        <v>8</v>
      </c>
      <c r="C5145" s="257" t="s">
        <v>12488</v>
      </c>
      <c r="D5145" s="9">
        <v>1.5369076066696142E-2</v>
      </c>
      <c r="E5145" s="9"/>
      <c r="F5145" s="257" t="s">
        <v>16495</v>
      </c>
      <c r="G5145" s="9"/>
      <c r="H5145" s="257" t="s">
        <v>23203</v>
      </c>
      <c r="I5145" s="9">
        <v>3</v>
      </c>
    </row>
    <row r="5146" spans="1:9">
      <c r="A5146" s="257" t="s">
        <v>6244</v>
      </c>
      <c r="B5146" s="9">
        <v>8</v>
      </c>
      <c r="C5146" s="257" t="s">
        <v>12488</v>
      </c>
      <c r="D5146" s="9">
        <v>1.5369076066696142E-2</v>
      </c>
      <c r="E5146" s="9"/>
      <c r="F5146" s="257" t="s">
        <v>16496</v>
      </c>
      <c r="G5146" s="9"/>
      <c r="H5146" s="257" t="s">
        <v>23204</v>
      </c>
      <c r="I5146" s="9">
        <v>3</v>
      </c>
    </row>
    <row r="5147" spans="1:9">
      <c r="A5147" s="257" t="s">
        <v>6245</v>
      </c>
      <c r="B5147" s="9">
        <v>8</v>
      </c>
      <c r="C5147" s="257" t="s">
        <v>12488</v>
      </c>
      <c r="D5147" s="9">
        <v>-4.1949515986825685E-3</v>
      </c>
      <c r="E5147" s="9"/>
      <c r="F5147" s="257" t="s">
        <v>16497</v>
      </c>
      <c r="G5147" s="9"/>
      <c r="H5147" s="257" t="s">
        <v>23205</v>
      </c>
      <c r="I5147" s="9">
        <v>3</v>
      </c>
    </row>
    <row r="5148" spans="1:9">
      <c r="A5148" s="257" t="s">
        <v>6246</v>
      </c>
      <c r="B5148" s="9">
        <v>8</v>
      </c>
      <c r="C5148" s="257" t="s">
        <v>12488</v>
      </c>
      <c r="D5148" s="9">
        <v>0</v>
      </c>
      <c r="E5148" s="9"/>
      <c r="F5148" s="257" t="s">
        <v>16498</v>
      </c>
      <c r="G5148" s="9"/>
      <c r="H5148" s="257" t="s">
        <v>23206</v>
      </c>
      <c r="I5148" s="9">
        <v>3</v>
      </c>
    </row>
    <row r="5149" spans="1:9">
      <c r="A5149" s="257" t="s">
        <v>6247</v>
      </c>
      <c r="B5149" s="9">
        <v>8</v>
      </c>
      <c r="C5149" s="257" t="s">
        <v>12488</v>
      </c>
      <c r="D5149" s="9">
        <v>0</v>
      </c>
      <c r="E5149" s="9"/>
      <c r="F5149" s="257" t="s">
        <v>16499</v>
      </c>
      <c r="G5149" s="9"/>
      <c r="H5149" s="257" t="s">
        <v>23207</v>
      </c>
      <c r="I5149" s="9">
        <v>3</v>
      </c>
    </row>
    <row r="5150" spans="1:9">
      <c r="A5150" s="257" t="s">
        <v>6248</v>
      </c>
      <c r="B5150" s="9">
        <v>8</v>
      </c>
      <c r="C5150" s="257" t="s">
        <v>12488</v>
      </c>
      <c r="D5150" s="9">
        <v>0</v>
      </c>
      <c r="E5150" s="9"/>
      <c r="F5150" s="257" t="s">
        <v>16500</v>
      </c>
      <c r="G5150" s="9"/>
      <c r="H5150" s="257" t="s">
        <v>23208</v>
      </c>
      <c r="I5150" s="9">
        <v>3</v>
      </c>
    </row>
    <row r="5151" spans="1:9">
      <c r="A5151" s="257" t="s">
        <v>6249</v>
      </c>
      <c r="B5151" s="9">
        <v>8</v>
      </c>
      <c r="C5151" s="257" t="s">
        <v>12488</v>
      </c>
      <c r="D5151" s="9">
        <v>0</v>
      </c>
      <c r="E5151" s="9"/>
      <c r="F5151" s="257" t="s">
        <v>16501</v>
      </c>
      <c r="G5151" s="9"/>
      <c r="H5151" s="257" t="s">
        <v>23209</v>
      </c>
      <c r="I5151" s="9">
        <v>3</v>
      </c>
    </row>
    <row r="5152" spans="1:9">
      <c r="A5152" s="257" t="s">
        <v>6250</v>
      </c>
      <c r="B5152" s="9">
        <v>8</v>
      </c>
      <c r="C5152" s="257" t="s">
        <v>12488</v>
      </c>
      <c r="D5152" s="9">
        <v>0</v>
      </c>
      <c r="E5152" s="9"/>
      <c r="F5152" s="257" t="s">
        <v>16502</v>
      </c>
      <c r="G5152" s="9"/>
      <c r="H5152" s="257" t="s">
        <v>23210</v>
      </c>
      <c r="I5152" s="9">
        <v>3</v>
      </c>
    </row>
    <row r="5153" spans="1:9">
      <c r="A5153" s="257" t="s">
        <v>6251</v>
      </c>
      <c r="B5153" s="9">
        <v>8</v>
      </c>
      <c r="C5153" s="257" t="s">
        <v>12488</v>
      </c>
      <c r="D5153" s="9">
        <v>0</v>
      </c>
      <c r="E5153" s="9"/>
      <c r="F5153" s="257" t="s">
        <v>16503</v>
      </c>
      <c r="G5153" s="9"/>
      <c r="H5153" s="257" t="s">
        <v>23211</v>
      </c>
      <c r="I5153" s="9">
        <v>3</v>
      </c>
    </row>
    <row r="5154" spans="1:9">
      <c r="A5154" s="257" t="s">
        <v>6252</v>
      </c>
      <c r="B5154" s="9">
        <v>8</v>
      </c>
      <c r="C5154" s="257" t="s">
        <v>12488</v>
      </c>
      <c r="D5154" s="9">
        <v>8.0943295178420097E-3</v>
      </c>
      <c r="E5154" s="9"/>
      <c r="F5154" s="257" t="s">
        <v>16504</v>
      </c>
      <c r="G5154" s="9"/>
      <c r="H5154" s="257" t="s">
        <v>23212</v>
      </c>
      <c r="I5154" s="9">
        <v>3</v>
      </c>
    </row>
    <row r="5155" spans="1:9">
      <c r="A5155" s="257" t="s">
        <v>6253</v>
      </c>
      <c r="B5155" s="9">
        <v>8</v>
      </c>
      <c r="C5155" s="257" t="s">
        <v>12488</v>
      </c>
      <c r="D5155" s="9">
        <v>-1.0123594608372857E-3</v>
      </c>
      <c r="E5155" s="9"/>
      <c r="F5155" s="257" t="s">
        <v>16505</v>
      </c>
      <c r="G5155" s="9"/>
      <c r="H5155" s="257" t="s">
        <v>23213</v>
      </c>
      <c r="I5155" s="9">
        <v>3</v>
      </c>
    </row>
    <row r="5156" spans="1:9">
      <c r="A5156" s="257" t="s">
        <v>6254</v>
      </c>
      <c r="B5156" s="9">
        <v>8</v>
      </c>
      <c r="C5156" s="257" t="s">
        <v>12488</v>
      </c>
      <c r="D5156" s="9">
        <v>7.0819700570047247E-3</v>
      </c>
      <c r="E5156" s="9"/>
      <c r="F5156" s="257" t="s">
        <v>16506</v>
      </c>
      <c r="G5156" s="9"/>
      <c r="H5156" s="257" t="s">
        <v>23214</v>
      </c>
      <c r="I5156" s="9">
        <v>3</v>
      </c>
    </row>
    <row r="5157" spans="1:9">
      <c r="A5157" s="257" t="s">
        <v>6255</v>
      </c>
      <c r="B5157" s="9">
        <v>8</v>
      </c>
      <c r="C5157" s="257" t="s">
        <v>12488</v>
      </c>
      <c r="D5157" s="9">
        <v>5.9848878683870562E-3</v>
      </c>
      <c r="E5157" s="9"/>
      <c r="F5157" s="257" t="s">
        <v>16507</v>
      </c>
      <c r="G5157" s="9"/>
      <c r="H5157" s="257" t="s">
        <v>23215</v>
      </c>
      <c r="I5157" s="9">
        <v>3</v>
      </c>
    </row>
    <row r="5158" spans="1:9">
      <c r="A5158" s="257" t="s">
        <v>6256</v>
      </c>
      <c r="B5158" s="9">
        <v>8</v>
      </c>
      <c r="C5158" s="257" t="s">
        <v>12488</v>
      </c>
      <c r="D5158" s="9">
        <v>2.3022181413043623E-3</v>
      </c>
      <c r="E5158" s="9"/>
      <c r="F5158" s="257" t="s">
        <v>16508</v>
      </c>
      <c r="G5158" s="9"/>
      <c r="H5158" s="257" t="s">
        <v>23216</v>
      </c>
      <c r="I5158" s="9">
        <v>3</v>
      </c>
    </row>
    <row r="5159" spans="1:9">
      <c r="A5159" s="257" t="s">
        <v>6257</v>
      </c>
      <c r="B5159" s="9">
        <v>8</v>
      </c>
      <c r="C5159" s="257" t="s">
        <v>12488</v>
      </c>
      <c r="D5159" s="9">
        <v>8.2871060096914168E-3</v>
      </c>
      <c r="E5159" s="9"/>
      <c r="F5159" s="257" t="s">
        <v>16509</v>
      </c>
      <c r="G5159" s="9"/>
      <c r="H5159" s="257" t="s">
        <v>23217</v>
      </c>
      <c r="I5159" s="9">
        <v>3</v>
      </c>
    </row>
    <row r="5160" spans="1:9">
      <c r="A5160" s="257" t="s">
        <v>6258</v>
      </c>
      <c r="B5160" s="9">
        <v>8</v>
      </c>
      <c r="C5160" s="257" t="s">
        <v>12488</v>
      </c>
      <c r="D5160" s="9">
        <v>-5.1957604098936631E-4</v>
      </c>
      <c r="E5160" s="9"/>
      <c r="F5160" s="257" t="s">
        <v>16510</v>
      </c>
      <c r="G5160" s="9"/>
      <c r="H5160" s="257" t="s">
        <v>23218</v>
      </c>
      <c r="I5160" s="9">
        <v>3</v>
      </c>
    </row>
    <row r="5161" spans="1:9">
      <c r="A5161" s="257" t="s">
        <v>6259</v>
      </c>
      <c r="B5161" s="9">
        <v>8</v>
      </c>
      <c r="C5161" s="257" t="s">
        <v>12488</v>
      </c>
      <c r="D5161" s="9">
        <v>-3.6753755576932022E-3</v>
      </c>
      <c r="E5161" s="9"/>
      <c r="F5161" s="257" t="s">
        <v>16511</v>
      </c>
      <c r="G5161" s="9"/>
      <c r="H5161" s="257" t="s">
        <v>23219</v>
      </c>
      <c r="I5161" s="9">
        <v>3</v>
      </c>
    </row>
    <row r="5162" spans="1:9">
      <c r="A5162" s="257" t="s">
        <v>6260</v>
      </c>
      <c r="B5162" s="9">
        <v>9</v>
      </c>
      <c r="C5162" s="257" t="s">
        <v>12488</v>
      </c>
      <c r="D5162" s="9">
        <v>6.9943111212212297E-3</v>
      </c>
      <c r="E5162" s="9"/>
      <c r="F5162" s="257" t="s">
        <v>16512</v>
      </c>
      <c r="G5162" s="9"/>
      <c r="H5162" s="257" t="s">
        <v>23220</v>
      </c>
      <c r="I5162" s="9">
        <v>3</v>
      </c>
    </row>
    <row r="5163" spans="1:9">
      <c r="A5163" s="257" t="s">
        <v>6261</v>
      </c>
      <c r="B5163" s="9">
        <v>9</v>
      </c>
      <c r="C5163" s="257" t="s">
        <v>12488</v>
      </c>
      <c r="D5163" s="9">
        <v>6.9943111212212297E-3</v>
      </c>
      <c r="E5163" s="9"/>
      <c r="F5163" s="257" t="s">
        <v>16513</v>
      </c>
      <c r="G5163" s="9"/>
      <c r="H5163" s="257" t="s">
        <v>23221</v>
      </c>
      <c r="I5163" s="9">
        <v>3</v>
      </c>
    </row>
    <row r="5164" spans="1:9">
      <c r="A5164" s="257" t="s">
        <v>6262</v>
      </c>
      <c r="B5164" s="9">
        <v>9</v>
      </c>
      <c r="C5164" s="257" t="s">
        <v>12488</v>
      </c>
      <c r="D5164" s="9">
        <v>4.7370832644419488E-3</v>
      </c>
      <c r="E5164" s="9"/>
      <c r="F5164" s="257" t="s">
        <v>16514</v>
      </c>
      <c r="G5164" s="9"/>
      <c r="H5164" s="257" t="s">
        <v>23222</v>
      </c>
      <c r="I5164" s="9">
        <v>3</v>
      </c>
    </row>
    <row r="5165" spans="1:9">
      <c r="A5165" s="257" t="s">
        <v>6263</v>
      </c>
      <c r="B5165" s="9">
        <v>9</v>
      </c>
      <c r="C5165" s="257" t="s">
        <v>12488</v>
      </c>
      <c r="D5165" s="9">
        <v>0</v>
      </c>
      <c r="E5165" s="9"/>
      <c r="F5165" s="257" t="s">
        <v>16515</v>
      </c>
      <c r="G5165" s="9"/>
      <c r="H5165" s="257" t="s">
        <v>23223</v>
      </c>
      <c r="I5165" s="9">
        <v>3</v>
      </c>
    </row>
    <row r="5166" spans="1:9">
      <c r="A5166" s="257" t="s">
        <v>6264</v>
      </c>
      <c r="B5166" s="9">
        <v>9</v>
      </c>
      <c r="C5166" s="257" t="s">
        <v>12488</v>
      </c>
      <c r="D5166" s="9">
        <v>0</v>
      </c>
      <c r="E5166" s="9"/>
      <c r="F5166" s="257" t="s">
        <v>16516</v>
      </c>
      <c r="G5166" s="9"/>
      <c r="H5166" s="257" t="s">
        <v>23224</v>
      </c>
      <c r="I5166" s="9">
        <v>3</v>
      </c>
    </row>
    <row r="5167" spans="1:9">
      <c r="A5167" s="257" t="s">
        <v>6265</v>
      </c>
      <c r="B5167" s="9">
        <v>9</v>
      </c>
      <c r="C5167" s="257" t="s">
        <v>12488</v>
      </c>
      <c r="D5167" s="9">
        <v>1.1731394385663179E-2</v>
      </c>
      <c r="E5167" s="9"/>
      <c r="F5167" s="257" t="s">
        <v>16517</v>
      </c>
      <c r="G5167" s="9"/>
      <c r="H5167" s="257" t="s">
        <v>23225</v>
      </c>
      <c r="I5167" s="9">
        <v>3</v>
      </c>
    </row>
    <row r="5168" spans="1:9">
      <c r="A5168" s="257" t="s">
        <v>6266</v>
      </c>
      <c r="B5168" s="9">
        <v>9</v>
      </c>
      <c r="C5168" s="257" t="s">
        <v>12488</v>
      </c>
      <c r="D5168" s="9">
        <v>1.1731394385663179E-2</v>
      </c>
      <c r="E5168" s="9"/>
      <c r="F5168" s="257" t="s">
        <v>16518</v>
      </c>
      <c r="G5168" s="9"/>
      <c r="H5168" s="257" t="s">
        <v>23226</v>
      </c>
      <c r="I5168" s="9">
        <v>3</v>
      </c>
    </row>
    <row r="5169" spans="1:9">
      <c r="A5169" s="257" t="s">
        <v>6267</v>
      </c>
      <c r="B5169" s="9">
        <v>9</v>
      </c>
      <c r="C5169" s="257" t="s">
        <v>12488</v>
      </c>
      <c r="D5169" s="9">
        <v>1.1731394385663179E-2</v>
      </c>
      <c r="E5169" s="9"/>
      <c r="F5169" s="257" t="s">
        <v>16519</v>
      </c>
      <c r="G5169" s="9"/>
      <c r="H5169" s="257" t="s">
        <v>23227</v>
      </c>
      <c r="I5169" s="9">
        <v>3</v>
      </c>
    </row>
    <row r="5170" spans="1:9">
      <c r="A5170" s="257" t="s">
        <v>6268</v>
      </c>
      <c r="B5170" s="9">
        <v>9</v>
      </c>
      <c r="C5170" s="257" t="s">
        <v>12488</v>
      </c>
      <c r="D5170" s="9">
        <v>1.623366830930888E-2</v>
      </c>
      <c r="E5170" s="9"/>
      <c r="F5170" s="257" t="s">
        <v>16520</v>
      </c>
      <c r="G5170" s="9"/>
      <c r="H5170" s="257" t="s">
        <v>23228</v>
      </c>
      <c r="I5170" s="9">
        <v>3</v>
      </c>
    </row>
    <row r="5171" spans="1:9">
      <c r="A5171" s="257" t="s">
        <v>6269</v>
      </c>
      <c r="B5171" s="9">
        <v>9</v>
      </c>
      <c r="C5171" s="257" t="s">
        <v>12488</v>
      </c>
      <c r="D5171" s="9">
        <v>1.623366830930888E-2</v>
      </c>
      <c r="E5171" s="9"/>
      <c r="F5171" s="257" t="s">
        <v>16521</v>
      </c>
      <c r="G5171" s="9"/>
      <c r="H5171" s="257" t="s">
        <v>23229</v>
      </c>
      <c r="I5171" s="9">
        <v>3</v>
      </c>
    </row>
    <row r="5172" spans="1:9">
      <c r="A5172" s="257" t="s">
        <v>6270</v>
      </c>
      <c r="B5172" s="9">
        <v>9</v>
      </c>
      <c r="C5172" s="257" t="s">
        <v>12488</v>
      </c>
      <c r="D5172" s="9">
        <v>-4.5022739236457027E-3</v>
      </c>
      <c r="E5172" s="9"/>
      <c r="F5172" s="257" t="s">
        <v>16522</v>
      </c>
      <c r="G5172" s="9"/>
      <c r="H5172" s="257" t="s">
        <v>23230</v>
      </c>
      <c r="I5172" s="9">
        <v>3</v>
      </c>
    </row>
    <row r="5173" spans="1:9">
      <c r="A5173" s="257" t="s">
        <v>6271</v>
      </c>
      <c r="B5173" s="9">
        <v>9</v>
      </c>
      <c r="C5173" s="257" t="s">
        <v>12488</v>
      </c>
      <c r="D5173" s="9">
        <v>0</v>
      </c>
      <c r="E5173" s="9"/>
      <c r="F5173" s="257" t="s">
        <v>16523</v>
      </c>
      <c r="G5173" s="9"/>
      <c r="H5173" s="257" t="s">
        <v>23231</v>
      </c>
      <c r="I5173" s="9">
        <v>3</v>
      </c>
    </row>
    <row r="5174" spans="1:9">
      <c r="A5174" s="257" t="s">
        <v>6272</v>
      </c>
      <c r="B5174" s="9">
        <v>9</v>
      </c>
      <c r="C5174" s="257" t="s">
        <v>12488</v>
      </c>
      <c r="D5174" s="9">
        <v>0</v>
      </c>
      <c r="E5174" s="9"/>
      <c r="F5174" s="257" t="s">
        <v>16524</v>
      </c>
      <c r="G5174" s="9"/>
      <c r="H5174" s="257" t="s">
        <v>23232</v>
      </c>
      <c r="I5174" s="9">
        <v>3</v>
      </c>
    </row>
    <row r="5175" spans="1:9">
      <c r="A5175" s="257" t="s">
        <v>6273</v>
      </c>
      <c r="B5175" s="9">
        <v>9</v>
      </c>
      <c r="C5175" s="257" t="s">
        <v>12488</v>
      </c>
      <c r="D5175" s="9">
        <v>0</v>
      </c>
      <c r="E5175" s="9"/>
      <c r="F5175" s="257" t="s">
        <v>16525</v>
      </c>
      <c r="G5175" s="9"/>
      <c r="H5175" s="257" t="s">
        <v>23233</v>
      </c>
      <c r="I5175" s="9">
        <v>3</v>
      </c>
    </row>
    <row r="5176" spans="1:9">
      <c r="A5176" s="257" t="s">
        <v>6274</v>
      </c>
      <c r="B5176" s="9">
        <v>9</v>
      </c>
      <c r="C5176" s="257" t="s">
        <v>12488</v>
      </c>
      <c r="D5176" s="9">
        <v>0</v>
      </c>
      <c r="E5176" s="9"/>
      <c r="F5176" s="257" t="s">
        <v>16526</v>
      </c>
      <c r="G5176" s="9"/>
      <c r="H5176" s="257" t="s">
        <v>23234</v>
      </c>
      <c r="I5176" s="9">
        <v>3</v>
      </c>
    </row>
    <row r="5177" spans="1:9">
      <c r="A5177" s="257" t="s">
        <v>6275</v>
      </c>
      <c r="B5177" s="9">
        <v>9</v>
      </c>
      <c r="C5177" s="257" t="s">
        <v>12488</v>
      </c>
      <c r="D5177" s="9">
        <v>0</v>
      </c>
      <c r="E5177" s="9"/>
      <c r="F5177" s="257" t="s">
        <v>16527</v>
      </c>
      <c r="G5177" s="9"/>
      <c r="H5177" s="257" t="s">
        <v>23235</v>
      </c>
      <c r="I5177" s="9">
        <v>3</v>
      </c>
    </row>
    <row r="5178" spans="1:9">
      <c r="A5178" s="257" t="s">
        <v>6276</v>
      </c>
      <c r="B5178" s="9">
        <v>9</v>
      </c>
      <c r="C5178" s="257" t="s">
        <v>12488</v>
      </c>
      <c r="D5178" s="9">
        <v>0</v>
      </c>
      <c r="E5178" s="9"/>
      <c r="F5178" s="257" t="s">
        <v>16528</v>
      </c>
      <c r="G5178" s="9"/>
      <c r="H5178" s="257" t="s">
        <v>23236</v>
      </c>
      <c r="I5178" s="9">
        <v>3</v>
      </c>
    </row>
    <row r="5179" spans="1:9">
      <c r="A5179" s="257" t="s">
        <v>6277</v>
      </c>
      <c r="B5179" s="9">
        <v>9</v>
      </c>
      <c r="C5179" s="257" t="s">
        <v>12488</v>
      </c>
      <c r="D5179" s="9">
        <v>8.6331194615306035E-3</v>
      </c>
      <c r="E5179" s="9"/>
      <c r="F5179" s="257" t="s">
        <v>16529</v>
      </c>
      <c r="G5179" s="9"/>
      <c r="H5179" s="257" t="s">
        <v>23237</v>
      </c>
      <c r="I5179" s="9">
        <v>3</v>
      </c>
    </row>
    <row r="5180" spans="1:9">
      <c r="A5180" s="257" t="s">
        <v>6278</v>
      </c>
      <c r="B5180" s="9">
        <v>9</v>
      </c>
      <c r="C5180" s="257" t="s">
        <v>12488</v>
      </c>
      <c r="D5180" s="9">
        <v>-1.0019129186776272E-3</v>
      </c>
      <c r="E5180" s="9"/>
      <c r="F5180" s="257" t="s">
        <v>16530</v>
      </c>
      <c r="G5180" s="9"/>
      <c r="H5180" s="257" t="s">
        <v>23238</v>
      </c>
      <c r="I5180" s="9">
        <v>3</v>
      </c>
    </row>
    <row r="5181" spans="1:9">
      <c r="A5181" s="257" t="s">
        <v>6279</v>
      </c>
      <c r="B5181" s="9">
        <v>9</v>
      </c>
      <c r="C5181" s="257" t="s">
        <v>12488</v>
      </c>
      <c r="D5181" s="9">
        <v>7.6312065428529767E-3</v>
      </c>
      <c r="E5181" s="9"/>
      <c r="F5181" s="257" t="s">
        <v>16531</v>
      </c>
      <c r="G5181" s="9"/>
      <c r="H5181" s="257" t="s">
        <v>23239</v>
      </c>
      <c r="I5181" s="9">
        <v>3</v>
      </c>
    </row>
    <row r="5182" spans="1:9">
      <c r="A5182" s="257" t="s">
        <v>6280</v>
      </c>
      <c r="B5182" s="9">
        <v>9</v>
      </c>
      <c r="C5182" s="257" t="s">
        <v>12488</v>
      </c>
      <c r="D5182" s="9">
        <v>6.3218076193164927E-3</v>
      </c>
      <c r="E5182" s="9"/>
      <c r="F5182" s="257" t="s">
        <v>16532</v>
      </c>
      <c r="G5182" s="9"/>
      <c r="H5182" s="257" t="s">
        <v>23240</v>
      </c>
      <c r="I5182" s="9">
        <v>3</v>
      </c>
    </row>
    <row r="5183" spans="1:9">
      <c r="A5183" s="257" t="s">
        <v>6281</v>
      </c>
      <c r="B5183" s="9">
        <v>9</v>
      </c>
      <c r="C5183" s="257" t="s">
        <v>12488</v>
      </c>
      <c r="D5183" s="9">
        <v>2.2806541471394118E-3</v>
      </c>
      <c r="E5183" s="9"/>
      <c r="F5183" s="257" t="s">
        <v>16533</v>
      </c>
      <c r="G5183" s="9"/>
      <c r="H5183" s="257" t="s">
        <v>23241</v>
      </c>
      <c r="I5183" s="9">
        <v>3</v>
      </c>
    </row>
    <row r="5184" spans="1:9">
      <c r="A5184" s="257" t="s">
        <v>6282</v>
      </c>
      <c r="B5184" s="9">
        <v>9</v>
      </c>
      <c r="C5184" s="257" t="s">
        <v>12488</v>
      </c>
      <c r="D5184" s="9">
        <v>8.6024617664559044E-3</v>
      </c>
      <c r="E5184" s="9"/>
      <c r="F5184" s="257" t="s">
        <v>16534</v>
      </c>
      <c r="G5184" s="9"/>
      <c r="H5184" s="257" t="s">
        <v>23242</v>
      </c>
      <c r="I5184" s="9">
        <v>3</v>
      </c>
    </row>
    <row r="5185" spans="1:9">
      <c r="A5185" s="257" t="s">
        <v>6283</v>
      </c>
      <c r="B5185" s="9">
        <v>9</v>
      </c>
      <c r="C5185" s="257" t="s">
        <v>12488</v>
      </c>
      <c r="D5185" s="9">
        <v>-6.3689542163174726E-4</v>
      </c>
      <c r="E5185" s="9"/>
      <c r="F5185" s="257" t="s">
        <v>16535</v>
      </c>
      <c r="G5185" s="9"/>
      <c r="H5185" s="257" t="s">
        <v>23243</v>
      </c>
      <c r="I5185" s="9">
        <v>3</v>
      </c>
    </row>
    <row r="5186" spans="1:9">
      <c r="A5186" s="257" t="s">
        <v>6284</v>
      </c>
      <c r="B5186" s="9">
        <v>9</v>
      </c>
      <c r="C5186" s="257" t="s">
        <v>12488</v>
      </c>
      <c r="D5186" s="9">
        <v>-3.8653785020139556E-3</v>
      </c>
      <c r="E5186" s="9"/>
      <c r="F5186" s="257" t="s">
        <v>16536</v>
      </c>
      <c r="G5186" s="9"/>
      <c r="H5186" s="257" t="s">
        <v>23244</v>
      </c>
      <c r="I5186" s="9">
        <v>3</v>
      </c>
    </row>
    <row r="5187" spans="1:9">
      <c r="A5187" s="257" t="s">
        <v>6285</v>
      </c>
      <c r="B5187" s="9">
        <v>10</v>
      </c>
      <c r="C5187" s="257" t="s">
        <v>12488</v>
      </c>
      <c r="D5187" s="9">
        <v>5.890374133252667E-3</v>
      </c>
      <c r="E5187" s="9"/>
      <c r="F5187" s="257" t="s">
        <v>16537</v>
      </c>
      <c r="G5187" s="9"/>
      <c r="H5187" s="257" t="s">
        <v>23245</v>
      </c>
      <c r="I5187" s="9">
        <v>3</v>
      </c>
    </row>
    <row r="5188" spans="1:9">
      <c r="A5188" s="257" t="s">
        <v>6286</v>
      </c>
      <c r="B5188" s="9">
        <v>10</v>
      </c>
      <c r="C5188" s="257" t="s">
        <v>12488</v>
      </c>
      <c r="D5188" s="9">
        <v>5.890374133252667E-3</v>
      </c>
      <c r="E5188" s="9"/>
      <c r="F5188" s="257" t="s">
        <v>16538</v>
      </c>
      <c r="G5188" s="9"/>
      <c r="H5188" s="257" t="s">
        <v>23246</v>
      </c>
      <c r="I5188" s="9">
        <v>3</v>
      </c>
    </row>
    <row r="5189" spans="1:9">
      <c r="A5189" s="257" t="s">
        <v>6287</v>
      </c>
      <c r="B5189" s="9">
        <v>10</v>
      </c>
      <c r="C5189" s="257" t="s">
        <v>12488</v>
      </c>
      <c r="D5189" s="9">
        <v>4.9036105591507752E-3</v>
      </c>
      <c r="E5189" s="9"/>
      <c r="F5189" s="257" t="s">
        <v>16539</v>
      </c>
      <c r="G5189" s="9"/>
      <c r="H5189" s="257" t="s">
        <v>23247</v>
      </c>
      <c r="I5189" s="9">
        <v>3</v>
      </c>
    </row>
    <row r="5190" spans="1:9">
      <c r="A5190" s="257" t="s">
        <v>6288</v>
      </c>
      <c r="B5190" s="9">
        <v>10</v>
      </c>
      <c r="C5190" s="257" t="s">
        <v>12488</v>
      </c>
      <c r="D5190" s="9">
        <v>0</v>
      </c>
      <c r="E5190" s="9"/>
      <c r="F5190" s="257" t="s">
        <v>16540</v>
      </c>
      <c r="G5190" s="9"/>
      <c r="H5190" s="257" t="s">
        <v>23248</v>
      </c>
      <c r="I5190" s="9">
        <v>3</v>
      </c>
    </row>
    <row r="5191" spans="1:9">
      <c r="A5191" s="257" t="s">
        <v>6289</v>
      </c>
      <c r="B5191" s="9">
        <v>10</v>
      </c>
      <c r="C5191" s="257" t="s">
        <v>12488</v>
      </c>
      <c r="D5191" s="9">
        <v>0</v>
      </c>
      <c r="E5191" s="9"/>
      <c r="F5191" s="257" t="s">
        <v>16541</v>
      </c>
      <c r="G5191" s="9"/>
      <c r="H5191" s="257" t="s">
        <v>23249</v>
      </c>
      <c r="I5191" s="9">
        <v>3</v>
      </c>
    </row>
    <row r="5192" spans="1:9">
      <c r="A5192" s="257" t="s">
        <v>6290</v>
      </c>
      <c r="B5192" s="9">
        <v>10</v>
      </c>
      <c r="C5192" s="257" t="s">
        <v>12488</v>
      </c>
      <c r="D5192" s="9">
        <v>1.0793984692403441E-2</v>
      </c>
      <c r="E5192" s="9"/>
      <c r="F5192" s="257" t="s">
        <v>16542</v>
      </c>
      <c r="G5192" s="9"/>
      <c r="H5192" s="257" t="s">
        <v>23250</v>
      </c>
      <c r="I5192" s="9">
        <v>3</v>
      </c>
    </row>
    <row r="5193" spans="1:9">
      <c r="A5193" s="257" t="s">
        <v>6291</v>
      </c>
      <c r="B5193" s="9">
        <v>10</v>
      </c>
      <c r="C5193" s="257" t="s">
        <v>12488</v>
      </c>
      <c r="D5193" s="9">
        <v>1.0793984692403441E-2</v>
      </c>
      <c r="E5193" s="9"/>
      <c r="F5193" s="257" t="s">
        <v>16543</v>
      </c>
      <c r="G5193" s="9"/>
      <c r="H5193" s="257" t="s">
        <v>23251</v>
      </c>
      <c r="I5193" s="9">
        <v>3</v>
      </c>
    </row>
    <row r="5194" spans="1:9">
      <c r="A5194" s="257" t="s">
        <v>6292</v>
      </c>
      <c r="B5194" s="9">
        <v>10</v>
      </c>
      <c r="C5194" s="257" t="s">
        <v>12488</v>
      </c>
      <c r="D5194" s="9">
        <v>1.0793984692403441E-2</v>
      </c>
      <c r="E5194" s="9"/>
      <c r="F5194" s="257" t="s">
        <v>16544</v>
      </c>
      <c r="G5194" s="9"/>
      <c r="H5194" s="257" t="s">
        <v>23252</v>
      </c>
      <c r="I5194" s="9">
        <v>3</v>
      </c>
    </row>
    <row r="5195" spans="1:9">
      <c r="A5195" s="257" t="s">
        <v>6293</v>
      </c>
      <c r="B5195" s="9">
        <v>10</v>
      </c>
      <c r="C5195" s="257" t="s">
        <v>12488</v>
      </c>
      <c r="D5195" s="9">
        <v>1.6677287220055414E-2</v>
      </c>
      <c r="E5195" s="9"/>
      <c r="F5195" s="257" t="s">
        <v>16545</v>
      </c>
      <c r="G5195" s="9"/>
      <c r="H5195" s="257" t="s">
        <v>23253</v>
      </c>
      <c r="I5195" s="9">
        <v>3</v>
      </c>
    </row>
    <row r="5196" spans="1:9">
      <c r="A5196" s="257" t="s">
        <v>6294</v>
      </c>
      <c r="B5196" s="9">
        <v>10</v>
      </c>
      <c r="C5196" s="257" t="s">
        <v>12488</v>
      </c>
      <c r="D5196" s="9">
        <v>1.6677287220055414E-2</v>
      </c>
      <c r="E5196" s="9"/>
      <c r="F5196" s="257" t="s">
        <v>16546</v>
      </c>
      <c r="G5196" s="9"/>
      <c r="H5196" s="257" t="s">
        <v>23254</v>
      </c>
      <c r="I5196" s="9">
        <v>3</v>
      </c>
    </row>
    <row r="5197" spans="1:9">
      <c r="A5197" s="257" t="s">
        <v>6295</v>
      </c>
      <c r="B5197" s="9">
        <v>10</v>
      </c>
      <c r="C5197" s="257" t="s">
        <v>12488</v>
      </c>
      <c r="D5197" s="9">
        <v>-5.8833025276519716E-3</v>
      </c>
      <c r="E5197" s="9"/>
      <c r="F5197" s="257" t="s">
        <v>16547</v>
      </c>
      <c r="G5197" s="9"/>
      <c r="H5197" s="257" t="s">
        <v>23255</v>
      </c>
      <c r="I5197" s="9">
        <v>3</v>
      </c>
    </row>
    <row r="5198" spans="1:9">
      <c r="A5198" s="257" t="s">
        <v>6296</v>
      </c>
      <c r="B5198" s="9">
        <v>10</v>
      </c>
      <c r="C5198" s="257" t="s">
        <v>12488</v>
      </c>
      <c r="D5198" s="9">
        <v>0</v>
      </c>
      <c r="E5198" s="9"/>
      <c r="F5198" s="257" t="s">
        <v>16548</v>
      </c>
      <c r="G5198" s="9"/>
      <c r="H5198" s="257" t="s">
        <v>23256</v>
      </c>
      <c r="I5198" s="9">
        <v>3</v>
      </c>
    </row>
    <row r="5199" spans="1:9">
      <c r="A5199" s="257" t="s">
        <v>6297</v>
      </c>
      <c r="B5199" s="9">
        <v>10</v>
      </c>
      <c r="C5199" s="257" t="s">
        <v>12488</v>
      </c>
      <c r="D5199" s="9">
        <v>0</v>
      </c>
      <c r="E5199" s="9"/>
      <c r="F5199" s="257" t="s">
        <v>16549</v>
      </c>
      <c r="G5199" s="9"/>
      <c r="H5199" s="257" t="s">
        <v>23257</v>
      </c>
      <c r="I5199" s="9">
        <v>3</v>
      </c>
    </row>
    <row r="5200" spans="1:9">
      <c r="A5200" s="257" t="s">
        <v>6298</v>
      </c>
      <c r="B5200" s="9">
        <v>10</v>
      </c>
      <c r="C5200" s="257" t="s">
        <v>12488</v>
      </c>
      <c r="D5200" s="9">
        <v>0</v>
      </c>
      <c r="E5200" s="9"/>
      <c r="F5200" s="257" t="s">
        <v>16550</v>
      </c>
      <c r="G5200" s="9"/>
      <c r="H5200" s="257" t="s">
        <v>23258</v>
      </c>
      <c r="I5200" s="9">
        <v>3</v>
      </c>
    </row>
    <row r="5201" spans="1:9">
      <c r="A5201" s="257" t="s">
        <v>6299</v>
      </c>
      <c r="B5201" s="9">
        <v>10</v>
      </c>
      <c r="C5201" s="257" t="s">
        <v>12488</v>
      </c>
      <c r="D5201" s="9">
        <v>0</v>
      </c>
      <c r="E5201" s="9"/>
      <c r="F5201" s="257" t="s">
        <v>16551</v>
      </c>
      <c r="G5201" s="9"/>
      <c r="H5201" s="257" t="s">
        <v>23259</v>
      </c>
      <c r="I5201" s="9">
        <v>3</v>
      </c>
    </row>
    <row r="5202" spans="1:9">
      <c r="A5202" s="257" t="s">
        <v>6300</v>
      </c>
      <c r="B5202" s="9">
        <v>10</v>
      </c>
      <c r="C5202" s="257" t="s">
        <v>12488</v>
      </c>
      <c r="D5202" s="9">
        <v>0</v>
      </c>
      <c r="E5202" s="9"/>
      <c r="F5202" s="257" t="s">
        <v>16552</v>
      </c>
      <c r="G5202" s="9"/>
      <c r="H5202" s="257" t="s">
        <v>23260</v>
      </c>
      <c r="I5202" s="9">
        <v>3</v>
      </c>
    </row>
    <row r="5203" spans="1:9">
      <c r="A5203" s="257" t="s">
        <v>6301</v>
      </c>
      <c r="B5203" s="9">
        <v>10</v>
      </c>
      <c r="C5203" s="257" t="s">
        <v>12488</v>
      </c>
      <c r="D5203" s="9">
        <v>0</v>
      </c>
      <c r="E5203" s="9"/>
      <c r="F5203" s="257" t="s">
        <v>16553</v>
      </c>
      <c r="G5203" s="9"/>
      <c r="H5203" s="257" t="s">
        <v>23261</v>
      </c>
      <c r="I5203" s="9">
        <v>3</v>
      </c>
    </row>
    <row r="5204" spans="1:9">
      <c r="A5204" s="257" t="s">
        <v>6302</v>
      </c>
      <c r="B5204" s="9">
        <v>10</v>
      </c>
      <c r="C5204" s="257" t="s">
        <v>12488</v>
      </c>
      <c r="D5204" s="9">
        <v>8.0935518192611598E-3</v>
      </c>
      <c r="E5204" s="9"/>
      <c r="F5204" s="257" t="s">
        <v>16554</v>
      </c>
      <c r="G5204" s="9"/>
      <c r="H5204" s="257" t="s">
        <v>23262</v>
      </c>
      <c r="I5204" s="9">
        <v>3</v>
      </c>
    </row>
    <row r="5205" spans="1:9">
      <c r="A5205" s="257" t="s">
        <v>6303</v>
      </c>
      <c r="B5205" s="9">
        <v>10</v>
      </c>
      <c r="C5205" s="257" t="s">
        <v>12488</v>
      </c>
      <c r="D5205" s="9">
        <v>-9.9999336005324006E-4</v>
      </c>
      <c r="E5205" s="9"/>
      <c r="F5205" s="257" t="s">
        <v>16555</v>
      </c>
      <c r="G5205" s="9"/>
      <c r="H5205" s="257" t="s">
        <v>23263</v>
      </c>
      <c r="I5205" s="9">
        <v>3</v>
      </c>
    </row>
    <row r="5206" spans="1:9">
      <c r="A5206" s="257" t="s">
        <v>6304</v>
      </c>
      <c r="B5206" s="9">
        <v>10</v>
      </c>
      <c r="C5206" s="257" t="s">
        <v>12488</v>
      </c>
      <c r="D5206" s="9">
        <v>7.0935584592079206E-3</v>
      </c>
      <c r="E5206" s="9"/>
      <c r="F5206" s="257" t="s">
        <v>16556</v>
      </c>
      <c r="G5206" s="9"/>
      <c r="H5206" s="257" t="s">
        <v>23264</v>
      </c>
      <c r="I5206" s="9">
        <v>3</v>
      </c>
    </row>
    <row r="5207" spans="1:9">
      <c r="A5207" s="257" t="s">
        <v>6305</v>
      </c>
      <c r="B5207" s="9">
        <v>10</v>
      </c>
      <c r="C5207" s="257" t="s">
        <v>12488</v>
      </c>
      <c r="D5207" s="9">
        <v>7.239424036093468E-3</v>
      </c>
      <c r="E5207" s="9"/>
      <c r="F5207" s="257" t="s">
        <v>16557</v>
      </c>
      <c r="G5207" s="9"/>
      <c r="H5207" s="257" t="s">
        <v>23265</v>
      </c>
      <c r="I5207" s="9">
        <v>3</v>
      </c>
    </row>
    <row r="5208" spans="1:9">
      <c r="A5208" s="257" t="s">
        <v>6306</v>
      </c>
      <c r="B5208" s="9">
        <v>10</v>
      </c>
      <c r="C5208" s="257" t="s">
        <v>12488</v>
      </c>
      <c r="D5208" s="9">
        <v>2.3443047247540243E-3</v>
      </c>
      <c r="E5208" s="9"/>
      <c r="F5208" s="257" t="s">
        <v>16558</v>
      </c>
      <c r="G5208" s="9"/>
      <c r="H5208" s="257" t="s">
        <v>23266</v>
      </c>
      <c r="I5208" s="9">
        <v>3</v>
      </c>
    </row>
    <row r="5209" spans="1:9">
      <c r="A5209" s="257" t="s">
        <v>6307</v>
      </c>
      <c r="B5209" s="9">
        <v>10</v>
      </c>
      <c r="C5209" s="257" t="s">
        <v>12488</v>
      </c>
      <c r="D5209" s="9">
        <v>9.5837287608474923E-3</v>
      </c>
      <c r="E5209" s="9"/>
      <c r="F5209" s="257" t="s">
        <v>16559</v>
      </c>
      <c r="G5209" s="9"/>
      <c r="H5209" s="257" t="s">
        <v>23267</v>
      </c>
      <c r="I5209" s="9">
        <v>3</v>
      </c>
    </row>
    <row r="5210" spans="1:9">
      <c r="A5210" s="257" t="s">
        <v>6308</v>
      </c>
      <c r="B5210" s="9">
        <v>10</v>
      </c>
      <c r="C5210" s="257" t="s">
        <v>12488</v>
      </c>
      <c r="D5210" s="9">
        <v>-1.203184325955254E-3</v>
      </c>
      <c r="E5210" s="9"/>
      <c r="F5210" s="257" t="s">
        <v>16560</v>
      </c>
      <c r="G5210" s="9"/>
      <c r="H5210" s="257" t="s">
        <v>23268</v>
      </c>
      <c r="I5210" s="9">
        <v>3</v>
      </c>
    </row>
    <row r="5211" spans="1:9">
      <c r="A5211" s="257" t="s">
        <v>6309</v>
      </c>
      <c r="B5211" s="9">
        <v>10</v>
      </c>
      <c r="C5211" s="257" t="s">
        <v>12488</v>
      </c>
      <c r="D5211" s="9">
        <v>-4.680118201696718E-3</v>
      </c>
      <c r="E5211" s="9"/>
      <c r="F5211" s="257" t="s">
        <v>16561</v>
      </c>
      <c r="G5211" s="9"/>
      <c r="H5211" s="257" t="s">
        <v>23269</v>
      </c>
      <c r="I5211" s="9">
        <v>3</v>
      </c>
    </row>
    <row r="5212" spans="1:9">
      <c r="A5212" s="257" t="s">
        <v>6310</v>
      </c>
      <c r="B5212" s="9">
        <v>1</v>
      </c>
      <c r="C5212" s="257" t="s">
        <v>12489</v>
      </c>
      <c r="D5212" s="9">
        <v>1.1995567056023636E-2</v>
      </c>
      <c r="E5212" s="9"/>
      <c r="F5212" s="257" t="s">
        <v>16562</v>
      </c>
      <c r="G5212" s="9"/>
      <c r="H5212" s="257" t="s">
        <v>23270</v>
      </c>
      <c r="I5212" s="9">
        <v>3</v>
      </c>
    </row>
    <row r="5213" spans="1:9">
      <c r="A5213" s="257" t="s">
        <v>6311</v>
      </c>
      <c r="B5213" s="9">
        <v>1</v>
      </c>
      <c r="C5213" s="257" t="s">
        <v>12489</v>
      </c>
      <c r="D5213" s="9">
        <v>1.1995567056023636E-2</v>
      </c>
      <c r="E5213" s="9"/>
      <c r="F5213" s="257" t="s">
        <v>16563</v>
      </c>
      <c r="G5213" s="9"/>
      <c r="H5213" s="257" t="s">
        <v>23271</v>
      </c>
      <c r="I5213" s="9">
        <v>3</v>
      </c>
    </row>
    <row r="5214" spans="1:9">
      <c r="A5214" s="257" t="s">
        <v>6312</v>
      </c>
      <c r="B5214" s="9">
        <v>1</v>
      </c>
      <c r="C5214" s="257" t="s">
        <v>12489</v>
      </c>
      <c r="D5214" s="9">
        <v>2.4232546992600931E-3</v>
      </c>
      <c r="E5214" s="9"/>
      <c r="F5214" s="257" t="s">
        <v>16564</v>
      </c>
      <c r="G5214" s="9"/>
      <c r="H5214" s="257" t="s">
        <v>23272</v>
      </c>
      <c r="I5214" s="9">
        <v>3</v>
      </c>
    </row>
    <row r="5215" spans="1:9">
      <c r="A5215" s="257" t="s">
        <v>6313</v>
      </c>
      <c r="B5215" s="9">
        <v>1</v>
      </c>
      <c r="C5215" s="257" t="s">
        <v>12489</v>
      </c>
      <c r="D5215" s="9"/>
      <c r="E5215" s="9"/>
      <c r="F5215" s="257" t="s">
        <v>16565</v>
      </c>
      <c r="G5215" s="9"/>
      <c r="H5215" s="257" t="s">
        <v>23273</v>
      </c>
      <c r="I5215" s="9">
        <v>3</v>
      </c>
    </row>
    <row r="5216" spans="1:9">
      <c r="A5216" s="257" t="s">
        <v>6314</v>
      </c>
      <c r="B5216" s="9">
        <v>1</v>
      </c>
      <c r="C5216" s="257" t="s">
        <v>12489</v>
      </c>
      <c r="D5216" s="9"/>
      <c r="E5216" s="9"/>
      <c r="F5216" s="257" t="s">
        <v>16566</v>
      </c>
      <c r="G5216" s="9"/>
      <c r="H5216" s="257" t="s">
        <v>23274</v>
      </c>
      <c r="I5216" s="9">
        <v>3</v>
      </c>
    </row>
    <row r="5217" spans="1:9">
      <c r="A5217" s="257" t="s">
        <v>6315</v>
      </c>
      <c r="B5217" s="9">
        <v>1</v>
      </c>
      <c r="C5217" s="257" t="s">
        <v>12489</v>
      </c>
      <c r="D5217" s="9">
        <v>3.7291067361105135E-3</v>
      </c>
      <c r="E5217" s="9"/>
      <c r="F5217" s="257" t="s">
        <v>16567</v>
      </c>
      <c r="G5217" s="9"/>
      <c r="H5217" s="257" t="s">
        <v>23275</v>
      </c>
      <c r="I5217" s="9">
        <v>3</v>
      </c>
    </row>
    <row r="5218" spans="1:9">
      <c r="A5218" s="257" t="s">
        <v>6316</v>
      </c>
      <c r="B5218" s="9">
        <v>1</v>
      </c>
      <c r="C5218" s="257" t="s">
        <v>12489</v>
      </c>
      <c r="D5218" s="9">
        <v>3.7291067361105135E-3</v>
      </c>
      <c r="E5218" s="9"/>
      <c r="F5218" s="257" t="s">
        <v>16568</v>
      </c>
      <c r="G5218" s="9"/>
      <c r="H5218" s="257" t="s">
        <v>23276</v>
      </c>
      <c r="I5218" s="9">
        <v>3</v>
      </c>
    </row>
    <row r="5219" spans="1:9">
      <c r="A5219" s="257" t="s">
        <v>6317</v>
      </c>
      <c r="B5219" s="9">
        <v>1</v>
      </c>
      <c r="C5219" s="257" t="s">
        <v>12489</v>
      </c>
      <c r="D5219" s="9">
        <v>3.7291067361105135E-3</v>
      </c>
      <c r="E5219" s="9"/>
      <c r="F5219" s="257" t="s">
        <v>16569</v>
      </c>
      <c r="G5219" s="9"/>
      <c r="H5219" s="257" t="s">
        <v>23277</v>
      </c>
      <c r="I5219" s="9">
        <v>3</v>
      </c>
    </row>
    <row r="5220" spans="1:9">
      <c r="A5220" s="257" t="s">
        <v>6318</v>
      </c>
      <c r="B5220" s="9">
        <v>1</v>
      </c>
      <c r="C5220" s="257" t="s">
        <v>12489</v>
      </c>
      <c r="D5220" s="9">
        <v>5.1554183425532021E-3</v>
      </c>
      <c r="E5220" s="9"/>
      <c r="F5220" s="257" t="s">
        <v>16570</v>
      </c>
      <c r="G5220" s="9"/>
      <c r="H5220" s="257" t="s">
        <v>23278</v>
      </c>
      <c r="I5220" s="9">
        <v>3</v>
      </c>
    </row>
    <row r="5221" spans="1:9">
      <c r="A5221" s="257" t="s">
        <v>6319</v>
      </c>
      <c r="B5221" s="9">
        <v>1</v>
      </c>
      <c r="C5221" s="257" t="s">
        <v>12489</v>
      </c>
      <c r="D5221" s="9">
        <v>5.1554183425532021E-3</v>
      </c>
      <c r="E5221" s="9"/>
      <c r="F5221" s="257" t="s">
        <v>16571</v>
      </c>
      <c r="G5221" s="9"/>
      <c r="H5221" s="257" t="s">
        <v>23279</v>
      </c>
      <c r="I5221" s="9">
        <v>3</v>
      </c>
    </row>
    <row r="5222" spans="1:9">
      <c r="A5222" s="257" t="s">
        <v>6320</v>
      </c>
      <c r="B5222" s="9">
        <v>1</v>
      </c>
      <c r="C5222" s="257" t="s">
        <v>12489</v>
      </c>
      <c r="D5222" s="9">
        <v>-1.0216832321536997E-2</v>
      </c>
      <c r="E5222" s="9"/>
      <c r="F5222" s="257" t="s">
        <v>16572</v>
      </c>
      <c r="G5222" s="9"/>
      <c r="H5222" s="257" t="s">
        <v>23280</v>
      </c>
      <c r="I5222" s="9">
        <v>3</v>
      </c>
    </row>
    <row r="5223" spans="1:9">
      <c r="A5223" s="257" t="s">
        <v>6321</v>
      </c>
      <c r="B5223" s="9">
        <v>1</v>
      </c>
      <c r="C5223" s="257" t="s">
        <v>12489</v>
      </c>
      <c r="D5223" s="9"/>
      <c r="E5223" s="9"/>
      <c r="F5223" s="257" t="s">
        <v>16573</v>
      </c>
      <c r="G5223" s="9"/>
      <c r="H5223" s="257" t="s">
        <v>23281</v>
      </c>
      <c r="I5223" s="9">
        <v>3</v>
      </c>
    </row>
    <row r="5224" spans="1:9">
      <c r="A5224" s="257" t="s">
        <v>6322</v>
      </c>
      <c r="B5224" s="9">
        <v>1</v>
      </c>
      <c r="C5224" s="257" t="s">
        <v>12489</v>
      </c>
      <c r="D5224" s="9"/>
      <c r="E5224" s="9"/>
      <c r="F5224" s="257" t="s">
        <v>16574</v>
      </c>
      <c r="G5224" s="9"/>
      <c r="H5224" s="257" t="s">
        <v>23282</v>
      </c>
      <c r="I5224" s="9">
        <v>3</v>
      </c>
    </row>
    <row r="5225" spans="1:9">
      <c r="A5225" s="257" t="s">
        <v>6323</v>
      </c>
      <c r="B5225" s="9">
        <v>1</v>
      </c>
      <c r="C5225" s="257" t="s">
        <v>12489</v>
      </c>
      <c r="D5225" s="9"/>
      <c r="E5225" s="9"/>
      <c r="F5225" s="257" t="s">
        <v>16575</v>
      </c>
      <c r="G5225" s="9"/>
      <c r="H5225" s="257" t="s">
        <v>23283</v>
      </c>
      <c r="I5225" s="9">
        <v>3</v>
      </c>
    </row>
    <row r="5226" spans="1:9">
      <c r="A5226" s="257" t="s">
        <v>6324</v>
      </c>
      <c r="B5226" s="9">
        <v>1</v>
      </c>
      <c r="C5226" s="257" t="s">
        <v>12489</v>
      </c>
      <c r="D5226" s="9"/>
      <c r="E5226" s="9"/>
      <c r="F5226" s="257" t="s">
        <v>16576</v>
      </c>
      <c r="G5226" s="9"/>
      <c r="H5226" s="257" t="s">
        <v>23284</v>
      </c>
      <c r="I5226" s="9">
        <v>3</v>
      </c>
    </row>
    <row r="5227" spans="1:9">
      <c r="A5227" s="257" t="s">
        <v>6325</v>
      </c>
      <c r="B5227" s="9">
        <v>1</v>
      </c>
      <c r="C5227" s="257" t="s">
        <v>12489</v>
      </c>
      <c r="D5227" s="9"/>
      <c r="E5227" s="9"/>
      <c r="F5227" s="257" t="s">
        <v>16577</v>
      </c>
      <c r="G5227" s="9"/>
      <c r="H5227" s="257" t="s">
        <v>23285</v>
      </c>
      <c r="I5227" s="9">
        <v>3</v>
      </c>
    </row>
    <row r="5228" spans="1:9">
      <c r="A5228" s="257" t="s">
        <v>6326</v>
      </c>
      <c r="B5228" s="9">
        <v>1</v>
      </c>
      <c r="C5228" s="257" t="s">
        <v>12489</v>
      </c>
      <c r="D5228" s="9"/>
      <c r="E5228" s="9"/>
      <c r="F5228" s="257" t="s">
        <v>16578</v>
      </c>
      <c r="G5228" s="9"/>
      <c r="H5228" s="257" t="s">
        <v>23286</v>
      </c>
      <c r="I5228" s="9">
        <v>3</v>
      </c>
    </row>
    <row r="5229" spans="1:9">
      <c r="A5229" s="257" t="s">
        <v>6327</v>
      </c>
      <c r="B5229" s="9">
        <v>1</v>
      </c>
      <c r="C5229" s="257" t="s">
        <v>12489</v>
      </c>
      <c r="D5229" s="9">
        <v>1.2912474584108989E-2</v>
      </c>
      <c r="E5229" s="9"/>
      <c r="F5229" s="257" t="s">
        <v>16579</v>
      </c>
      <c r="G5229" s="9"/>
      <c r="H5229" s="257" t="s">
        <v>23287</v>
      </c>
      <c r="I5229" s="9">
        <v>3</v>
      </c>
    </row>
    <row r="5230" spans="1:9">
      <c r="A5230" s="257" t="s">
        <v>6328</v>
      </c>
      <c r="B5230" s="9">
        <v>1</v>
      </c>
      <c r="C5230" s="257" t="s">
        <v>12489</v>
      </c>
      <c r="D5230" s="9"/>
      <c r="E5230" s="9"/>
      <c r="F5230" s="257" t="s">
        <v>16580</v>
      </c>
      <c r="G5230" s="9"/>
      <c r="H5230" s="257" t="s">
        <v>23288</v>
      </c>
      <c r="I5230" s="9">
        <v>3</v>
      </c>
    </row>
    <row r="5231" spans="1:9">
      <c r="A5231" s="257" t="s">
        <v>6329</v>
      </c>
      <c r="B5231" s="9">
        <v>1</v>
      </c>
      <c r="C5231" s="257" t="s">
        <v>12489</v>
      </c>
      <c r="D5231" s="9">
        <v>1.2188810410636587E-2</v>
      </c>
      <c r="E5231" s="9"/>
      <c r="F5231" s="257" t="s">
        <v>16581</v>
      </c>
      <c r="G5231" s="9"/>
      <c r="H5231" s="257" t="s">
        <v>23289</v>
      </c>
      <c r="I5231" s="9">
        <v>3</v>
      </c>
    </row>
    <row r="5232" spans="1:9">
      <c r="A5232" s="257" t="s">
        <v>6330</v>
      </c>
      <c r="B5232" s="9">
        <v>1</v>
      </c>
      <c r="C5232" s="257" t="s">
        <v>12489</v>
      </c>
      <c r="D5232" s="9">
        <v>1.4404134110567899E-2</v>
      </c>
      <c r="E5232" s="9"/>
      <c r="F5232" s="257" t="s">
        <v>16582</v>
      </c>
      <c r="G5232" s="9"/>
      <c r="H5232" s="257" t="s">
        <v>23290</v>
      </c>
      <c r="I5232" s="9">
        <v>3</v>
      </c>
    </row>
    <row r="5233" spans="1:9">
      <c r="A5233" s="257" t="s">
        <v>6331</v>
      </c>
      <c r="B5233" s="9">
        <v>1</v>
      </c>
      <c r="C5233" s="257" t="s">
        <v>12489</v>
      </c>
      <c r="D5233" s="9">
        <v>1.8816180557556252E-3</v>
      </c>
      <c r="E5233" s="9"/>
      <c r="F5233" s="257" t="s">
        <v>16583</v>
      </c>
      <c r="G5233" s="9"/>
      <c r="H5233" s="257" t="s">
        <v>23291</v>
      </c>
      <c r="I5233" s="9">
        <v>3</v>
      </c>
    </row>
    <row r="5234" spans="1:9">
      <c r="A5234" s="257" t="s">
        <v>6332</v>
      </c>
      <c r="B5234" s="9">
        <v>1</v>
      </c>
      <c r="C5234" s="257" t="s">
        <v>12489</v>
      </c>
      <c r="D5234" s="9">
        <v>3.8174882409480085E-3</v>
      </c>
      <c r="E5234" s="9"/>
      <c r="F5234" s="257" t="s">
        <v>16584</v>
      </c>
      <c r="G5234" s="9"/>
      <c r="H5234" s="257" t="s">
        <v>23292</v>
      </c>
      <c r="I5234" s="9">
        <v>3</v>
      </c>
    </row>
    <row r="5235" spans="1:9">
      <c r="A5235" s="257" t="s">
        <v>6333</v>
      </c>
      <c r="B5235" s="9">
        <v>1</v>
      </c>
      <c r="C5235" s="257" t="s">
        <v>12489</v>
      </c>
      <c r="D5235" s="9">
        <v>-4.1811396696295501E-3</v>
      </c>
      <c r="E5235" s="9"/>
      <c r="F5235" s="257" t="s">
        <v>16585</v>
      </c>
      <c r="G5235" s="9"/>
      <c r="H5235" s="257" t="s">
        <v>23293</v>
      </c>
      <c r="I5235" s="9">
        <v>3</v>
      </c>
    </row>
    <row r="5236" spans="1:9">
      <c r="A5236" s="257" t="s">
        <v>6334</v>
      </c>
      <c r="B5236" s="9">
        <v>1</v>
      </c>
      <c r="C5236" s="257" t="s">
        <v>12489</v>
      </c>
      <c r="D5236" s="9">
        <v>-1.0374004966623836E-2</v>
      </c>
      <c r="E5236" s="9"/>
      <c r="F5236" s="257" t="s">
        <v>16586</v>
      </c>
      <c r="G5236" s="9"/>
      <c r="H5236" s="257" t="s">
        <v>23294</v>
      </c>
      <c r="I5236" s="9">
        <v>3</v>
      </c>
    </row>
    <row r="5237" spans="1:9">
      <c r="A5237" s="257" t="s">
        <v>6335</v>
      </c>
      <c r="B5237" s="9">
        <v>2</v>
      </c>
      <c r="C5237" s="257" t="s">
        <v>12489</v>
      </c>
      <c r="D5237" s="9">
        <v>9.6084925379697848E-3</v>
      </c>
      <c r="E5237" s="9"/>
      <c r="F5237" s="257" t="s">
        <v>16587</v>
      </c>
      <c r="G5237" s="9"/>
      <c r="H5237" s="257" t="s">
        <v>23295</v>
      </c>
      <c r="I5237" s="9">
        <v>3</v>
      </c>
    </row>
    <row r="5238" spans="1:9">
      <c r="A5238" s="257" t="s">
        <v>6336</v>
      </c>
      <c r="B5238" s="9">
        <v>2</v>
      </c>
      <c r="C5238" s="257" t="s">
        <v>12489</v>
      </c>
      <c r="D5238" s="9">
        <v>9.6084925379697848E-3</v>
      </c>
      <c r="E5238" s="9"/>
      <c r="F5238" s="257" t="s">
        <v>16588</v>
      </c>
      <c r="G5238" s="9"/>
      <c r="H5238" s="257" t="s">
        <v>23296</v>
      </c>
      <c r="I5238" s="9">
        <v>3</v>
      </c>
    </row>
    <row r="5239" spans="1:9">
      <c r="A5239" s="257" t="s">
        <v>6337</v>
      </c>
      <c r="B5239" s="9">
        <v>2</v>
      </c>
      <c r="C5239" s="257" t="s">
        <v>12489</v>
      </c>
      <c r="D5239" s="9">
        <v>2.9511846795462243E-3</v>
      </c>
      <c r="E5239" s="9"/>
      <c r="F5239" s="257" t="s">
        <v>16589</v>
      </c>
      <c r="G5239" s="9"/>
      <c r="H5239" s="257" t="s">
        <v>23297</v>
      </c>
      <c r="I5239" s="9">
        <v>3</v>
      </c>
    </row>
    <row r="5240" spans="1:9">
      <c r="A5240" s="257" t="s">
        <v>6338</v>
      </c>
      <c r="B5240" s="9">
        <v>2</v>
      </c>
      <c r="C5240" s="257" t="s">
        <v>12489</v>
      </c>
      <c r="D5240" s="9"/>
      <c r="E5240" s="9"/>
      <c r="F5240" s="257" t="s">
        <v>16590</v>
      </c>
      <c r="G5240" s="9"/>
      <c r="H5240" s="257" t="s">
        <v>23298</v>
      </c>
      <c r="I5240" s="9">
        <v>3</v>
      </c>
    </row>
    <row r="5241" spans="1:9">
      <c r="A5241" s="257" t="s">
        <v>6339</v>
      </c>
      <c r="B5241" s="9">
        <v>2</v>
      </c>
      <c r="C5241" s="257" t="s">
        <v>12489</v>
      </c>
      <c r="D5241" s="9"/>
      <c r="E5241" s="9"/>
      <c r="F5241" s="257" t="s">
        <v>16591</v>
      </c>
      <c r="G5241" s="9"/>
      <c r="H5241" s="257" t="s">
        <v>23299</v>
      </c>
      <c r="I5241" s="9">
        <v>3</v>
      </c>
    </row>
    <row r="5242" spans="1:9">
      <c r="A5242" s="257" t="s">
        <v>6340</v>
      </c>
      <c r="B5242" s="9">
        <v>2</v>
      </c>
      <c r="C5242" s="257" t="s">
        <v>12489</v>
      </c>
      <c r="D5242" s="9">
        <v>4.8529673830200815E-3</v>
      </c>
      <c r="E5242" s="9"/>
      <c r="F5242" s="257" t="s">
        <v>16592</v>
      </c>
      <c r="G5242" s="9"/>
      <c r="H5242" s="257" t="s">
        <v>23300</v>
      </c>
      <c r="I5242" s="9">
        <v>3</v>
      </c>
    </row>
    <row r="5243" spans="1:9">
      <c r="A5243" s="257" t="s">
        <v>6341</v>
      </c>
      <c r="B5243" s="9">
        <v>2</v>
      </c>
      <c r="C5243" s="257" t="s">
        <v>12489</v>
      </c>
      <c r="D5243" s="9">
        <v>4.8529673830200815E-3</v>
      </c>
      <c r="E5243" s="9"/>
      <c r="F5243" s="257" t="s">
        <v>16593</v>
      </c>
      <c r="G5243" s="9"/>
      <c r="H5243" s="257" t="s">
        <v>23301</v>
      </c>
      <c r="I5243" s="9">
        <v>3</v>
      </c>
    </row>
    <row r="5244" spans="1:9">
      <c r="A5244" s="257" t="s">
        <v>6342</v>
      </c>
      <c r="B5244" s="9">
        <v>2</v>
      </c>
      <c r="C5244" s="257" t="s">
        <v>12489</v>
      </c>
      <c r="D5244" s="9">
        <v>4.8529673830200815E-3</v>
      </c>
      <c r="E5244" s="9"/>
      <c r="F5244" s="257" t="s">
        <v>16594</v>
      </c>
      <c r="G5244" s="9"/>
      <c r="H5244" s="257" t="s">
        <v>23302</v>
      </c>
      <c r="I5244" s="9">
        <v>3</v>
      </c>
    </row>
    <row r="5245" spans="1:9">
      <c r="A5245" s="257" t="s">
        <v>6343</v>
      </c>
      <c r="B5245" s="9">
        <v>2</v>
      </c>
      <c r="C5245" s="257" t="s">
        <v>12489</v>
      </c>
      <c r="D5245" s="9">
        <v>6.9599732957501201E-3</v>
      </c>
      <c r="E5245" s="9"/>
      <c r="F5245" s="257" t="s">
        <v>16595</v>
      </c>
      <c r="G5245" s="9"/>
      <c r="H5245" s="257" t="s">
        <v>23303</v>
      </c>
      <c r="I5245" s="9">
        <v>3</v>
      </c>
    </row>
    <row r="5246" spans="1:9">
      <c r="A5246" s="257" t="s">
        <v>6344</v>
      </c>
      <c r="B5246" s="9">
        <v>2</v>
      </c>
      <c r="C5246" s="257" t="s">
        <v>12489</v>
      </c>
      <c r="D5246" s="9">
        <v>6.9599732957501201E-3</v>
      </c>
      <c r="E5246" s="9"/>
      <c r="F5246" s="257" t="s">
        <v>16596</v>
      </c>
      <c r="G5246" s="9"/>
      <c r="H5246" s="257" t="s">
        <v>23304</v>
      </c>
      <c r="I5246" s="9">
        <v>3</v>
      </c>
    </row>
    <row r="5247" spans="1:9">
      <c r="A5247" s="257" t="s">
        <v>6345</v>
      </c>
      <c r="B5247" s="9">
        <v>2</v>
      </c>
      <c r="C5247" s="257" t="s">
        <v>12489</v>
      </c>
      <c r="D5247" s="9">
        <v>-8.9384979706558579E-3</v>
      </c>
      <c r="E5247" s="9"/>
      <c r="F5247" s="257" t="s">
        <v>16597</v>
      </c>
      <c r="G5247" s="9"/>
      <c r="H5247" s="257" t="s">
        <v>23305</v>
      </c>
      <c r="I5247" s="9">
        <v>3</v>
      </c>
    </row>
    <row r="5248" spans="1:9">
      <c r="A5248" s="257" t="s">
        <v>6346</v>
      </c>
      <c r="B5248" s="9">
        <v>2</v>
      </c>
      <c r="C5248" s="257" t="s">
        <v>12489</v>
      </c>
      <c r="D5248" s="9"/>
      <c r="E5248" s="9"/>
      <c r="F5248" s="257" t="s">
        <v>16598</v>
      </c>
      <c r="G5248" s="9"/>
      <c r="H5248" s="257" t="s">
        <v>23306</v>
      </c>
      <c r="I5248" s="9">
        <v>3</v>
      </c>
    </row>
    <row r="5249" spans="1:9">
      <c r="A5249" s="257" t="s">
        <v>6347</v>
      </c>
      <c r="B5249" s="9">
        <v>2</v>
      </c>
      <c r="C5249" s="257" t="s">
        <v>12489</v>
      </c>
      <c r="D5249" s="9"/>
      <c r="E5249" s="9"/>
      <c r="F5249" s="257" t="s">
        <v>16599</v>
      </c>
      <c r="G5249" s="9"/>
      <c r="H5249" s="257" t="s">
        <v>23307</v>
      </c>
      <c r="I5249" s="9">
        <v>3</v>
      </c>
    </row>
    <row r="5250" spans="1:9">
      <c r="A5250" s="257" t="s">
        <v>6348</v>
      </c>
      <c r="B5250" s="9">
        <v>2</v>
      </c>
      <c r="C5250" s="257" t="s">
        <v>12489</v>
      </c>
      <c r="D5250" s="9"/>
      <c r="E5250" s="9"/>
      <c r="F5250" s="257" t="s">
        <v>16600</v>
      </c>
      <c r="G5250" s="9"/>
      <c r="H5250" s="257" t="s">
        <v>23308</v>
      </c>
      <c r="I5250" s="9">
        <v>3</v>
      </c>
    </row>
    <row r="5251" spans="1:9">
      <c r="A5251" s="257" t="s">
        <v>6349</v>
      </c>
      <c r="B5251" s="9">
        <v>2</v>
      </c>
      <c r="C5251" s="257" t="s">
        <v>12489</v>
      </c>
      <c r="D5251" s="9"/>
      <c r="E5251" s="9"/>
      <c r="F5251" s="257" t="s">
        <v>16601</v>
      </c>
      <c r="G5251" s="9"/>
      <c r="H5251" s="257" t="s">
        <v>23309</v>
      </c>
      <c r="I5251" s="9">
        <v>3</v>
      </c>
    </row>
    <row r="5252" spans="1:9">
      <c r="A5252" s="257" t="s">
        <v>6350</v>
      </c>
      <c r="B5252" s="9">
        <v>2</v>
      </c>
      <c r="C5252" s="257" t="s">
        <v>12489</v>
      </c>
      <c r="D5252" s="9"/>
      <c r="E5252" s="9"/>
      <c r="F5252" s="257" t="s">
        <v>16602</v>
      </c>
      <c r="G5252" s="9"/>
      <c r="H5252" s="257" t="s">
        <v>23310</v>
      </c>
      <c r="I5252" s="9">
        <v>3</v>
      </c>
    </row>
    <row r="5253" spans="1:9">
      <c r="A5253" s="257" t="s">
        <v>6351</v>
      </c>
      <c r="B5253" s="9">
        <v>2</v>
      </c>
      <c r="C5253" s="257" t="s">
        <v>12489</v>
      </c>
      <c r="D5253" s="9"/>
      <c r="E5253" s="9"/>
      <c r="F5253" s="257" t="s">
        <v>16603</v>
      </c>
      <c r="G5253" s="9"/>
      <c r="H5253" s="257" t="s">
        <v>23311</v>
      </c>
      <c r="I5253" s="9">
        <v>3</v>
      </c>
    </row>
    <row r="5254" spans="1:9">
      <c r="A5254" s="257" t="s">
        <v>6352</v>
      </c>
      <c r="B5254" s="9">
        <v>2</v>
      </c>
      <c r="C5254" s="257" t="s">
        <v>12489</v>
      </c>
      <c r="D5254" s="9">
        <v>1.1018306987629851E-2</v>
      </c>
      <c r="E5254" s="9"/>
      <c r="F5254" s="257" t="s">
        <v>16604</v>
      </c>
      <c r="G5254" s="9"/>
      <c r="H5254" s="257" t="s">
        <v>23312</v>
      </c>
      <c r="I5254" s="9">
        <v>3</v>
      </c>
    </row>
    <row r="5255" spans="1:9">
      <c r="A5255" s="257" t="s">
        <v>6353</v>
      </c>
      <c r="B5255" s="9">
        <v>2</v>
      </c>
      <c r="C5255" s="257" t="s">
        <v>12489</v>
      </c>
      <c r="D5255" s="9"/>
      <c r="E5255" s="9"/>
      <c r="F5255" s="257" t="s">
        <v>16605</v>
      </c>
      <c r="G5255" s="9"/>
      <c r="H5255" s="257" t="s">
        <v>23313</v>
      </c>
      <c r="I5255" s="9">
        <v>3</v>
      </c>
    </row>
    <row r="5256" spans="1:9">
      <c r="A5256" s="257" t="s">
        <v>6354</v>
      </c>
      <c r="B5256" s="9">
        <v>2</v>
      </c>
      <c r="C5256" s="257" t="s">
        <v>12489</v>
      </c>
      <c r="D5256" s="9">
        <v>1.0204606540216692E-2</v>
      </c>
      <c r="E5256" s="9"/>
      <c r="F5256" s="257" t="s">
        <v>16606</v>
      </c>
      <c r="G5256" s="9"/>
      <c r="H5256" s="257" t="s">
        <v>23314</v>
      </c>
      <c r="I5256" s="9">
        <v>3</v>
      </c>
    </row>
    <row r="5257" spans="1:9">
      <c r="A5257" s="257" t="s">
        <v>6355</v>
      </c>
      <c r="B5257" s="9">
        <v>2</v>
      </c>
      <c r="C5257" s="257" t="s">
        <v>12489</v>
      </c>
      <c r="D5257" s="9">
        <v>1.3216938575590352E-2</v>
      </c>
      <c r="E5257" s="9"/>
      <c r="F5257" s="257" t="s">
        <v>16607</v>
      </c>
      <c r="G5257" s="9"/>
      <c r="H5257" s="257" t="s">
        <v>23315</v>
      </c>
      <c r="I5257" s="9">
        <v>3</v>
      </c>
    </row>
    <row r="5258" spans="1:9">
      <c r="A5258" s="257" t="s">
        <v>6356</v>
      </c>
      <c r="B5258" s="9">
        <v>2</v>
      </c>
      <c r="C5258" s="257" t="s">
        <v>12489</v>
      </c>
      <c r="D5258" s="9">
        <v>2.0610234845853132E-3</v>
      </c>
      <c r="E5258" s="9"/>
      <c r="F5258" s="257" t="s">
        <v>16608</v>
      </c>
      <c r="G5258" s="9"/>
      <c r="H5258" s="257" t="s">
        <v>23316</v>
      </c>
      <c r="I5258" s="9">
        <v>3</v>
      </c>
    </row>
    <row r="5259" spans="1:9">
      <c r="A5259" s="257" t="s">
        <v>6357</v>
      </c>
      <c r="B5259" s="9">
        <v>2</v>
      </c>
      <c r="C5259" s="257" t="s">
        <v>12489</v>
      </c>
      <c r="D5259" s="9">
        <v>4.8994784635849964E-3</v>
      </c>
      <c r="E5259" s="9"/>
      <c r="F5259" s="257" t="s">
        <v>16609</v>
      </c>
      <c r="G5259" s="9"/>
      <c r="H5259" s="257" t="s">
        <v>23317</v>
      </c>
      <c r="I5259" s="9">
        <v>3</v>
      </c>
    </row>
    <row r="5260" spans="1:9">
      <c r="A5260" s="257" t="s">
        <v>6358</v>
      </c>
      <c r="B5260" s="9">
        <v>2</v>
      </c>
      <c r="C5260" s="257" t="s">
        <v>12489</v>
      </c>
      <c r="D5260" s="9">
        <v>-5.3729632119318537E-3</v>
      </c>
      <c r="E5260" s="9"/>
      <c r="F5260" s="257" t="s">
        <v>16610</v>
      </c>
      <c r="G5260" s="9"/>
      <c r="H5260" s="257" t="s">
        <v>23318</v>
      </c>
      <c r="I5260" s="9">
        <v>3</v>
      </c>
    </row>
    <row r="5261" spans="1:9">
      <c r="A5261" s="257" t="s">
        <v>6359</v>
      </c>
      <c r="B5261" s="9">
        <v>2</v>
      </c>
      <c r="C5261" s="257" t="s">
        <v>12489</v>
      </c>
      <c r="D5261" s="9">
        <v>-9.072005531657162E-3</v>
      </c>
      <c r="E5261" s="9"/>
      <c r="F5261" s="257" t="s">
        <v>16611</v>
      </c>
      <c r="G5261" s="9"/>
      <c r="H5261" s="257" t="s">
        <v>23319</v>
      </c>
      <c r="I5261" s="9">
        <v>3</v>
      </c>
    </row>
    <row r="5262" spans="1:9">
      <c r="A5262" s="257" t="s">
        <v>6360</v>
      </c>
      <c r="B5262" s="9">
        <v>3</v>
      </c>
      <c r="C5262" s="257" t="s">
        <v>12489</v>
      </c>
      <c r="D5262" s="9">
        <v>9.6706769773177662E-3</v>
      </c>
      <c r="E5262" s="9"/>
      <c r="F5262" s="257" t="s">
        <v>16612</v>
      </c>
      <c r="G5262" s="9"/>
      <c r="H5262" s="257" t="s">
        <v>23320</v>
      </c>
      <c r="I5262" s="9">
        <v>3</v>
      </c>
    </row>
    <row r="5263" spans="1:9">
      <c r="A5263" s="257" t="s">
        <v>6361</v>
      </c>
      <c r="B5263" s="9">
        <v>3</v>
      </c>
      <c r="C5263" s="257" t="s">
        <v>12489</v>
      </c>
      <c r="D5263" s="9">
        <v>9.6706769773177662E-3</v>
      </c>
      <c r="E5263" s="9"/>
      <c r="F5263" s="257" t="s">
        <v>16613</v>
      </c>
      <c r="G5263" s="9"/>
      <c r="H5263" s="257" t="s">
        <v>23321</v>
      </c>
      <c r="I5263" s="9">
        <v>3</v>
      </c>
    </row>
    <row r="5264" spans="1:9">
      <c r="A5264" s="257" t="s">
        <v>6362</v>
      </c>
      <c r="B5264" s="9">
        <v>3</v>
      </c>
      <c r="C5264" s="257" t="s">
        <v>12489</v>
      </c>
      <c r="D5264" s="9">
        <v>2.9871158285149357E-3</v>
      </c>
      <c r="E5264" s="9"/>
      <c r="F5264" s="257" t="s">
        <v>16614</v>
      </c>
      <c r="G5264" s="9"/>
      <c r="H5264" s="257" t="s">
        <v>23322</v>
      </c>
      <c r="I5264" s="9">
        <v>3</v>
      </c>
    </row>
    <row r="5265" spans="1:9">
      <c r="A5265" s="257" t="s">
        <v>6363</v>
      </c>
      <c r="B5265" s="9">
        <v>3</v>
      </c>
      <c r="C5265" s="257" t="s">
        <v>12489</v>
      </c>
      <c r="D5265" s="9"/>
      <c r="E5265" s="9"/>
      <c r="F5265" s="257" t="s">
        <v>16615</v>
      </c>
      <c r="G5265" s="9"/>
      <c r="H5265" s="257" t="s">
        <v>23323</v>
      </c>
      <c r="I5265" s="9">
        <v>3</v>
      </c>
    </row>
    <row r="5266" spans="1:9">
      <c r="A5266" s="257" t="s">
        <v>6364</v>
      </c>
      <c r="B5266" s="9">
        <v>3</v>
      </c>
      <c r="C5266" s="257" t="s">
        <v>12489</v>
      </c>
      <c r="D5266" s="9"/>
      <c r="E5266" s="9"/>
      <c r="F5266" s="257" t="s">
        <v>16616</v>
      </c>
      <c r="G5266" s="9"/>
      <c r="H5266" s="257" t="s">
        <v>23324</v>
      </c>
      <c r="I5266" s="9">
        <v>3</v>
      </c>
    </row>
    <row r="5267" spans="1:9">
      <c r="A5267" s="257" t="s">
        <v>6365</v>
      </c>
      <c r="B5267" s="9">
        <v>3</v>
      </c>
      <c r="C5267" s="257" t="s">
        <v>12489</v>
      </c>
      <c r="D5267" s="9">
        <v>5.7532519387976126E-3</v>
      </c>
      <c r="E5267" s="9"/>
      <c r="F5267" s="257" t="s">
        <v>16617</v>
      </c>
      <c r="G5267" s="9"/>
      <c r="H5267" s="257" t="s">
        <v>23325</v>
      </c>
      <c r="I5267" s="9">
        <v>3</v>
      </c>
    </row>
    <row r="5268" spans="1:9">
      <c r="A5268" s="257" t="s">
        <v>6366</v>
      </c>
      <c r="B5268" s="9">
        <v>3</v>
      </c>
      <c r="C5268" s="257" t="s">
        <v>12489</v>
      </c>
      <c r="D5268" s="9">
        <v>5.7532519387976126E-3</v>
      </c>
      <c r="E5268" s="9"/>
      <c r="F5268" s="257" t="s">
        <v>16618</v>
      </c>
      <c r="G5268" s="9"/>
      <c r="H5268" s="257" t="s">
        <v>23326</v>
      </c>
      <c r="I5268" s="9">
        <v>3</v>
      </c>
    </row>
    <row r="5269" spans="1:9">
      <c r="A5269" s="257" t="s">
        <v>6367</v>
      </c>
      <c r="B5269" s="9">
        <v>3</v>
      </c>
      <c r="C5269" s="257" t="s">
        <v>12489</v>
      </c>
      <c r="D5269" s="9">
        <v>5.7532519387976126E-3</v>
      </c>
      <c r="E5269" s="9"/>
      <c r="F5269" s="257" t="s">
        <v>16619</v>
      </c>
      <c r="G5269" s="9"/>
      <c r="H5269" s="257" t="s">
        <v>23327</v>
      </c>
      <c r="I5269" s="9">
        <v>3</v>
      </c>
    </row>
    <row r="5270" spans="1:9">
      <c r="A5270" s="257" t="s">
        <v>6368</v>
      </c>
      <c r="B5270" s="9">
        <v>3</v>
      </c>
      <c r="C5270" s="257" t="s">
        <v>12489</v>
      </c>
      <c r="D5270" s="9">
        <v>7.6223548756411061E-3</v>
      </c>
      <c r="E5270" s="9"/>
      <c r="F5270" s="257" t="s">
        <v>16620</v>
      </c>
      <c r="G5270" s="9"/>
      <c r="H5270" s="257" t="s">
        <v>23328</v>
      </c>
      <c r="I5270" s="9">
        <v>3</v>
      </c>
    </row>
    <row r="5271" spans="1:9">
      <c r="A5271" s="257" t="s">
        <v>6369</v>
      </c>
      <c r="B5271" s="9">
        <v>3</v>
      </c>
      <c r="C5271" s="257" t="s">
        <v>12489</v>
      </c>
      <c r="D5271" s="9">
        <v>7.6223548756411061E-3</v>
      </c>
      <c r="E5271" s="9"/>
      <c r="F5271" s="257" t="s">
        <v>16621</v>
      </c>
      <c r="G5271" s="9"/>
      <c r="H5271" s="257" t="s">
        <v>23329</v>
      </c>
      <c r="I5271" s="9">
        <v>3</v>
      </c>
    </row>
    <row r="5272" spans="1:9">
      <c r="A5272" s="257" t="s">
        <v>6370</v>
      </c>
      <c r="B5272" s="9">
        <v>3</v>
      </c>
      <c r="C5272" s="257" t="s">
        <v>12489</v>
      </c>
      <c r="D5272" s="9">
        <v>-5.4191914152736291E-3</v>
      </c>
      <c r="E5272" s="9"/>
      <c r="F5272" s="257" t="s">
        <v>16622</v>
      </c>
      <c r="G5272" s="9"/>
      <c r="H5272" s="257" t="s">
        <v>23330</v>
      </c>
      <c r="I5272" s="9">
        <v>3</v>
      </c>
    </row>
    <row r="5273" spans="1:9">
      <c r="A5273" s="257" t="s">
        <v>6371</v>
      </c>
      <c r="B5273" s="9">
        <v>3</v>
      </c>
      <c r="C5273" s="257" t="s">
        <v>12489</v>
      </c>
      <c r="D5273" s="9"/>
      <c r="E5273" s="9"/>
      <c r="F5273" s="257" t="s">
        <v>16623</v>
      </c>
      <c r="G5273" s="9"/>
      <c r="H5273" s="257" t="s">
        <v>23331</v>
      </c>
      <c r="I5273" s="9">
        <v>3</v>
      </c>
    </row>
    <row r="5274" spans="1:9">
      <c r="A5274" s="257" t="s">
        <v>6372</v>
      </c>
      <c r="B5274" s="9">
        <v>3</v>
      </c>
      <c r="C5274" s="257" t="s">
        <v>12489</v>
      </c>
      <c r="D5274" s="9"/>
      <c r="E5274" s="9"/>
      <c r="F5274" s="257" t="s">
        <v>16624</v>
      </c>
      <c r="G5274" s="9"/>
      <c r="H5274" s="257" t="s">
        <v>23332</v>
      </c>
      <c r="I5274" s="9">
        <v>3</v>
      </c>
    </row>
    <row r="5275" spans="1:9">
      <c r="A5275" s="257" t="s">
        <v>6373</v>
      </c>
      <c r="B5275" s="9">
        <v>3</v>
      </c>
      <c r="C5275" s="257" t="s">
        <v>12489</v>
      </c>
      <c r="D5275" s="9"/>
      <c r="E5275" s="9"/>
      <c r="F5275" s="257" t="s">
        <v>16625</v>
      </c>
      <c r="G5275" s="9"/>
      <c r="H5275" s="257" t="s">
        <v>23333</v>
      </c>
      <c r="I5275" s="9">
        <v>3</v>
      </c>
    </row>
    <row r="5276" spans="1:9">
      <c r="A5276" s="257" t="s">
        <v>6374</v>
      </c>
      <c r="B5276" s="9">
        <v>3</v>
      </c>
      <c r="C5276" s="257" t="s">
        <v>12489</v>
      </c>
      <c r="D5276" s="9"/>
      <c r="E5276" s="9"/>
      <c r="F5276" s="257" t="s">
        <v>16626</v>
      </c>
      <c r="G5276" s="9"/>
      <c r="H5276" s="257" t="s">
        <v>23334</v>
      </c>
      <c r="I5276" s="9">
        <v>3</v>
      </c>
    </row>
    <row r="5277" spans="1:9">
      <c r="A5277" s="257" t="s">
        <v>6375</v>
      </c>
      <c r="B5277" s="9">
        <v>3</v>
      </c>
      <c r="C5277" s="257" t="s">
        <v>12489</v>
      </c>
      <c r="D5277" s="9"/>
      <c r="E5277" s="9"/>
      <c r="F5277" s="257" t="s">
        <v>16627</v>
      </c>
      <c r="G5277" s="9"/>
      <c r="H5277" s="257" t="s">
        <v>23335</v>
      </c>
      <c r="I5277" s="9">
        <v>3</v>
      </c>
    </row>
    <row r="5278" spans="1:9">
      <c r="A5278" s="257" t="s">
        <v>6376</v>
      </c>
      <c r="B5278" s="9">
        <v>3</v>
      </c>
      <c r="C5278" s="257" t="s">
        <v>12489</v>
      </c>
      <c r="D5278" s="9"/>
      <c r="E5278" s="9"/>
      <c r="F5278" s="257" t="s">
        <v>16628</v>
      </c>
      <c r="G5278" s="9"/>
      <c r="H5278" s="257" t="s">
        <v>23336</v>
      </c>
      <c r="I5278" s="9">
        <v>3</v>
      </c>
    </row>
    <row r="5279" spans="1:9">
      <c r="A5279" s="257" t="s">
        <v>6377</v>
      </c>
      <c r="B5279" s="9">
        <v>3</v>
      </c>
      <c r="C5279" s="257" t="s">
        <v>12489</v>
      </c>
      <c r="D5279" s="9">
        <v>1.1045928937265879E-2</v>
      </c>
      <c r="E5279" s="9"/>
      <c r="F5279" s="257" t="s">
        <v>16629</v>
      </c>
      <c r="G5279" s="9"/>
      <c r="H5279" s="257" t="s">
        <v>23337</v>
      </c>
      <c r="I5279" s="9">
        <v>3</v>
      </c>
    </row>
    <row r="5280" spans="1:9">
      <c r="A5280" s="257" t="s">
        <v>6378</v>
      </c>
      <c r="B5280" s="9">
        <v>3</v>
      </c>
      <c r="C5280" s="257" t="s">
        <v>12489</v>
      </c>
      <c r="D5280" s="9"/>
      <c r="E5280" s="9"/>
      <c r="F5280" s="257" t="s">
        <v>16630</v>
      </c>
      <c r="G5280" s="9"/>
      <c r="H5280" s="257" t="s">
        <v>23338</v>
      </c>
      <c r="I5280" s="9">
        <v>3</v>
      </c>
    </row>
    <row r="5281" spans="1:9">
      <c r="A5281" s="257" t="s">
        <v>6379</v>
      </c>
      <c r="B5281" s="9">
        <v>3</v>
      </c>
      <c r="C5281" s="257" t="s">
        <v>12489</v>
      </c>
      <c r="D5281" s="9">
        <v>1.0313234324466269E-2</v>
      </c>
      <c r="E5281" s="9"/>
      <c r="F5281" s="257" t="s">
        <v>16631</v>
      </c>
      <c r="G5281" s="9"/>
      <c r="H5281" s="257" t="s">
        <v>23339</v>
      </c>
      <c r="I5281" s="9">
        <v>3</v>
      </c>
    </row>
    <row r="5282" spans="1:9">
      <c r="A5282" s="257" t="s">
        <v>6380</v>
      </c>
      <c r="B5282" s="9">
        <v>3</v>
      </c>
      <c r="C5282" s="257" t="s">
        <v>12489</v>
      </c>
      <c r="D5282" s="9">
        <v>7.8283048139396599E-3</v>
      </c>
      <c r="E5282" s="9"/>
      <c r="F5282" s="257" t="s">
        <v>16632</v>
      </c>
      <c r="G5282" s="9"/>
      <c r="H5282" s="257" t="s">
        <v>23340</v>
      </c>
      <c r="I5282" s="9">
        <v>3</v>
      </c>
    </row>
    <row r="5283" spans="1:9">
      <c r="A5283" s="257" t="s">
        <v>6381</v>
      </c>
      <c r="B5283" s="9">
        <v>3</v>
      </c>
      <c r="C5283" s="257" t="s">
        <v>12489</v>
      </c>
      <c r="D5283" s="9">
        <v>2.0997539630805183E-3</v>
      </c>
      <c r="E5283" s="9"/>
      <c r="F5283" s="257" t="s">
        <v>16633</v>
      </c>
      <c r="G5283" s="9"/>
      <c r="H5283" s="257" t="s">
        <v>23341</v>
      </c>
      <c r="I5283" s="9">
        <v>3</v>
      </c>
    </row>
    <row r="5284" spans="1:9">
      <c r="A5284" s="257" t="s">
        <v>6382</v>
      </c>
      <c r="B5284" s="9">
        <v>3</v>
      </c>
      <c r="C5284" s="257" t="s">
        <v>12489</v>
      </c>
      <c r="D5284" s="9">
        <v>4.633727795045956E-3</v>
      </c>
      <c r="E5284" s="9"/>
      <c r="F5284" s="257" t="s">
        <v>16634</v>
      </c>
      <c r="G5284" s="9"/>
      <c r="H5284" s="257" t="s">
        <v>23342</v>
      </c>
      <c r="I5284" s="9">
        <v>3</v>
      </c>
    </row>
    <row r="5285" spans="1:9">
      <c r="A5285" s="257" t="s">
        <v>6383</v>
      </c>
      <c r="B5285" s="9">
        <v>3</v>
      </c>
      <c r="C5285" s="257" t="s">
        <v>12489</v>
      </c>
      <c r="D5285" s="9">
        <v>-4.8725935003699917E-3</v>
      </c>
      <c r="E5285" s="9"/>
      <c r="F5285" s="257" t="s">
        <v>16635</v>
      </c>
      <c r="G5285" s="9"/>
      <c r="H5285" s="257" t="s">
        <v>23343</v>
      </c>
      <c r="I5285" s="9">
        <v>3</v>
      </c>
    </row>
    <row r="5286" spans="1:9">
      <c r="A5286" s="257" t="s">
        <v>6384</v>
      </c>
      <c r="B5286" s="9">
        <v>3</v>
      </c>
      <c r="C5286" s="257" t="s">
        <v>12489</v>
      </c>
      <c r="D5286" s="9">
        <v>-5.0869429753689945E-3</v>
      </c>
      <c r="E5286" s="9"/>
      <c r="F5286" s="257" t="s">
        <v>16636</v>
      </c>
      <c r="G5286" s="9"/>
      <c r="H5286" s="257" t="s">
        <v>23344</v>
      </c>
      <c r="I5286" s="9">
        <v>3</v>
      </c>
    </row>
    <row r="5287" spans="1:9">
      <c r="A5287" s="257" t="s">
        <v>6385</v>
      </c>
      <c r="B5287" s="9">
        <v>4</v>
      </c>
      <c r="C5287" s="257" t="s">
        <v>12489</v>
      </c>
      <c r="D5287" s="9">
        <v>9.1656943121851461E-3</v>
      </c>
      <c r="E5287" s="9"/>
      <c r="F5287" s="257" t="s">
        <v>16637</v>
      </c>
      <c r="G5287" s="9"/>
      <c r="H5287" s="257" t="s">
        <v>23345</v>
      </c>
      <c r="I5287" s="9">
        <v>3</v>
      </c>
    </row>
    <row r="5288" spans="1:9">
      <c r="A5288" s="257" t="s">
        <v>6386</v>
      </c>
      <c r="B5288" s="9">
        <v>4</v>
      </c>
      <c r="C5288" s="257" t="s">
        <v>12489</v>
      </c>
      <c r="D5288" s="9">
        <v>9.1656943121851461E-3</v>
      </c>
      <c r="E5288" s="9"/>
      <c r="F5288" s="257" t="s">
        <v>16638</v>
      </c>
      <c r="G5288" s="9"/>
      <c r="H5288" s="257" t="s">
        <v>23346</v>
      </c>
      <c r="I5288" s="9">
        <v>3</v>
      </c>
    </row>
    <row r="5289" spans="1:9">
      <c r="A5289" s="257" t="s">
        <v>6387</v>
      </c>
      <c r="B5289" s="9">
        <v>4</v>
      </c>
      <c r="C5289" s="257" t="s">
        <v>12489</v>
      </c>
      <c r="D5289" s="9">
        <v>3.2942724857201646E-3</v>
      </c>
      <c r="E5289" s="9"/>
      <c r="F5289" s="257" t="s">
        <v>16639</v>
      </c>
      <c r="G5289" s="9"/>
      <c r="H5289" s="257" t="s">
        <v>23347</v>
      </c>
      <c r="I5289" s="9">
        <v>3</v>
      </c>
    </row>
    <row r="5290" spans="1:9">
      <c r="A5290" s="257" t="s">
        <v>6388</v>
      </c>
      <c r="B5290" s="9">
        <v>4</v>
      </c>
      <c r="C5290" s="257" t="s">
        <v>12489</v>
      </c>
      <c r="D5290" s="9"/>
      <c r="E5290" s="9"/>
      <c r="F5290" s="257" t="s">
        <v>16640</v>
      </c>
      <c r="G5290" s="9"/>
      <c r="H5290" s="257" t="s">
        <v>23348</v>
      </c>
      <c r="I5290" s="9">
        <v>3</v>
      </c>
    </row>
    <row r="5291" spans="1:9">
      <c r="A5291" s="257" t="s">
        <v>6389</v>
      </c>
      <c r="B5291" s="9">
        <v>4</v>
      </c>
      <c r="C5291" s="257" t="s">
        <v>12489</v>
      </c>
      <c r="D5291" s="9"/>
      <c r="E5291" s="9"/>
      <c r="F5291" s="257" t="s">
        <v>16641</v>
      </c>
      <c r="G5291" s="9"/>
      <c r="H5291" s="257" t="s">
        <v>23349</v>
      </c>
      <c r="I5291" s="9">
        <v>3</v>
      </c>
    </row>
    <row r="5292" spans="1:9">
      <c r="A5292" s="257" t="s">
        <v>6390</v>
      </c>
      <c r="B5292" s="9">
        <v>4</v>
      </c>
      <c r="C5292" s="257" t="s">
        <v>12489</v>
      </c>
      <c r="D5292" s="9">
        <v>7.2243198949180883E-3</v>
      </c>
      <c r="E5292" s="9"/>
      <c r="F5292" s="257" t="s">
        <v>16642</v>
      </c>
      <c r="G5292" s="9"/>
      <c r="H5292" s="257" t="s">
        <v>23350</v>
      </c>
      <c r="I5292" s="9">
        <v>3</v>
      </c>
    </row>
    <row r="5293" spans="1:9">
      <c r="A5293" s="257" t="s">
        <v>6391</v>
      </c>
      <c r="B5293" s="9">
        <v>4</v>
      </c>
      <c r="C5293" s="257" t="s">
        <v>12489</v>
      </c>
      <c r="D5293" s="9">
        <v>7.2243198949180883E-3</v>
      </c>
      <c r="E5293" s="9"/>
      <c r="F5293" s="257" t="s">
        <v>16643</v>
      </c>
      <c r="G5293" s="9"/>
      <c r="H5293" s="257" t="s">
        <v>23351</v>
      </c>
      <c r="I5293" s="9">
        <v>3</v>
      </c>
    </row>
    <row r="5294" spans="1:9">
      <c r="A5294" s="257" t="s">
        <v>6392</v>
      </c>
      <c r="B5294" s="9">
        <v>4</v>
      </c>
      <c r="C5294" s="257" t="s">
        <v>12489</v>
      </c>
      <c r="D5294" s="9">
        <v>7.2243198949180883E-3</v>
      </c>
      <c r="E5294" s="9"/>
      <c r="F5294" s="257" t="s">
        <v>16644</v>
      </c>
      <c r="G5294" s="9"/>
      <c r="H5294" s="257" t="s">
        <v>23352</v>
      </c>
      <c r="I5294" s="9">
        <v>3</v>
      </c>
    </row>
    <row r="5295" spans="1:9">
      <c r="A5295" s="257" t="s">
        <v>6393</v>
      </c>
      <c r="B5295" s="9">
        <v>4</v>
      </c>
      <c r="C5295" s="257" t="s">
        <v>12489</v>
      </c>
      <c r="D5295" s="9">
        <v>9.2162641277696716E-3</v>
      </c>
      <c r="E5295" s="9"/>
      <c r="F5295" s="257" t="s">
        <v>16645</v>
      </c>
      <c r="G5295" s="9"/>
      <c r="H5295" s="257" t="s">
        <v>23353</v>
      </c>
      <c r="I5295" s="9">
        <v>3</v>
      </c>
    </row>
    <row r="5296" spans="1:9">
      <c r="A5296" s="257" t="s">
        <v>6394</v>
      </c>
      <c r="B5296" s="9">
        <v>4</v>
      </c>
      <c r="C5296" s="257" t="s">
        <v>12489</v>
      </c>
      <c r="D5296" s="9">
        <v>9.2162641277696716E-3</v>
      </c>
      <c r="E5296" s="9"/>
      <c r="F5296" s="257" t="s">
        <v>16646</v>
      </c>
      <c r="G5296" s="9"/>
      <c r="H5296" s="257" t="s">
        <v>23354</v>
      </c>
      <c r="I5296" s="9">
        <v>3</v>
      </c>
    </row>
    <row r="5297" spans="1:9">
      <c r="A5297" s="257" t="s">
        <v>6395</v>
      </c>
      <c r="B5297" s="9">
        <v>4</v>
      </c>
      <c r="C5297" s="257" t="s">
        <v>12489</v>
      </c>
      <c r="D5297" s="9">
        <v>-5.1921183284227334E-3</v>
      </c>
      <c r="E5297" s="9"/>
      <c r="F5297" s="257" t="s">
        <v>16647</v>
      </c>
      <c r="G5297" s="9"/>
      <c r="H5297" s="257" t="s">
        <v>23355</v>
      </c>
      <c r="I5297" s="9">
        <v>3</v>
      </c>
    </row>
    <row r="5298" spans="1:9">
      <c r="A5298" s="257" t="s">
        <v>6396</v>
      </c>
      <c r="B5298" s="9">
        <v>4</v>
      </c>
      <c r="C5298" s="257" t="s">
        <v>12489</v>
      </c>
      <c r="D5298" s="9"/>
      <c r="E5298" s="9"/>
      <c r="F5298" s="257" t="s">
        <v>16648</v>
      </c>
      <c r="G5298" s="9"/>
      <c r="H5298" s="257" t="s">
        <v>23356</v>
      </c>
      <c r="I5298" s="9">
        <v>3</v>
      </c>
    </row>
    <row r="5299" spans="1:9">
      <c r="A5299" s="257" t="s">
        <v>6397</v>
      </c>
      <c r="B5299" s="9">
        <v>4</v>
      </c>
      <c r="C5299" s="257" t="s">
        <v>12489</v>
      </c>
      <c r="D5299" s="9"/>
      <c r="E5299" s="9"/>
      <c r="F5299" s="257" t="s">
        <v>16649</v>
      </c>
      <c r="G5299" s="9"/>
      <c r="H5299" s="257" t="s">
        <v>23357</v>
      </c>
      <c r="I5299" s="9">
        <v>3</v>
      </c>
    </row>
    <row r="5300" spans="1:9">
      <c r="A5300" s="257" t="s">
        <v>6398</v>
      </c>
      <c r="B5300" s="9">
        <v>4</v>
      </c>
      <c r="C5300" s="257" t="s">
        <v>12489</v>
      </c>
      <c r="D5300" s="9"/>
      <c r="E5300" s="9"/>
      <c r="F5300" s="257" t="s">
        <v>16650</v>
      </c>
      <c r="G5300" s="9"/>
      <c r="H5300" s="257" t="s">
        <v>23358</v>
      </c>
      <c r="I5300" s="9">
        <v>3</v>
      </c>
    </row>
    <row r="5301" spans="1:9">
      <c r="A5301" s="257" t="s">
        <v>6399</v>
      </c>
      <c r="B5301" s="9">
        <v>4</v>
      </c>
      <c r="C5301" s="257" t="s">
        <v>12489</v>
      </c>
      <c r="D5301" s="9"/>
      <c r="E5301" s="9"/>
      <c r="F5301" s="257" t="s">
        <v>16651</v>
      </c>
      <c r="G5301" s="9"/>
      <c r="H5301" s="257" t="s">
        <v>23359</v>
      </c>
      <c r="I5301" s="9">
        <v>3</v>
      </c>
    </row>
    <row r="5302" spans="1:9">
      <c r="A5302" s="257" t="s">
        <v>6400</v>
      </c>
      <c r="B5302" s="9">
        <v>4</v>
      </c>
      <c r="C5302" s="257" t="s">
        <v>12489</v>
      </c>
      <c r="D5302" s="9"/>
      <c r="E5302" s="9"/>
      <c r="F5302" s="257" t="s">
        <v>16652</v>
      </c>
      <c r="G5302" s="9"/>
      <c r="H5302" s="257" t="s">
        <v>23360</v>
      </c>
      <c r="I5302" s="9">
        <v>3</v>
      </c>
    </row>
    <row r="5303" spans="1:9">
      <c r="A5303" s="257" t="s">
        <v>6401</v>
      </c>
      <c r="B5303" s="9">
        <v>4</v>
      </c>
      <c r="C5303" s="257" t="s">
        <v>12489</v>
      </c>
      <c r="D5303" s="9"/>
      <c r="E5303" s="9"/>
      <c r="F5303" s="257" t="s">
        <v>16653</v>
      </c>
      <c r="G5303" s="9"/>
      <c r="H5303" s="257" t="s">
        <v>23361</v>
      </c>
      <c r="I5303" s="9">
        <v>3</v>
      </c>
    </row>
    <row r="5304" spans="1:9">
      <c r="A5304" s="257" t="s">
        <v>6402</v>
      </c>
      <c r="B5304" s="9">
        <v>4</v>
      </c>
      <c r="C5304" s="257" t="s">
        <v>12489</v>
      </c>
      <c r="D5304" s="9">
        <v>1.0409558673435336E-2</v>
      </c>
      <c r="E5304" s="9"/>
      <c r="F5304" s="257" t="s">
        <v>16654</v>
      </c>
      <c r="G5304" s="9"/>
      <c r="H5304" s="257" t="s">
        <v>23362</v>
      </c>
      <c r="I5304" s="9">
        <v>3</v>
      </c>
    </row>
    <row r="5305" spans="1:9">
      <c r="A5305" s="257" t="s">
        <v>6403</v>
      </c>
      <c r="B5305" s="9">
        <v>4</v>
      </c>
      <c r="C5305" s="257" t="s">
        <v>12489</v>
      </c>
      <c r="D5305" s="9"/>
      <c r="E5305" s="9"/>
      <c r="F5305" s="257" t="s">
        <v>16655</v>
      </c>
      <c r="G5305" s="9"/>
      <c r="H5305" s="257" t="s">
        <v>23363</v>
      </c>
      <c r="I5305" s="9">
        <v>3</v>
      </c>
    </row>
    <row r="5306" spans="1:9">
      <c r="A5306" s="257" t="s">
        <v>6404</v>
      </c>
      <c r="B5306" s="9">
        <v>4</v>
      </c>
      <c r="C5306" s="257" t="s">
        <v>12489</v>
      </c>
      <c r="D5306" s="9">
        <v>9.4719718184673989E-3</v>
      </c>
      <c r="E5306" s="9"/>
      <c r="F5306" s="257" t="s">
        <v>16656</v>
      </c>
      <c r="G5306" s="9"/>
      <c r="H5306" s="257" t="s">
        <v>23364</v>
      </c>
      <c r="I5306" s="9">
        <v>3</v>
      </c>
    </row>
    <row r="5307" spans="1:9">
      <c r="A5307" s="257" t="s">
        <v>6405</v>
      </c>
      <c r="B5307" s="9">
        <v>4</v>
      </c>
      <c r="C5307" s="257" t="s">
        <v>12489</v>
      </c>
      <c r="D5307" s="9">
        <v>8.1273215103553776E-3</v>
      </c>
      <c r="E5307" s="9"/>
      <c r="F5307" s="257" t="s">
        <v>16657</v>
      </c>
      <c r="G5307" s="9"/>
      <c r="H5307" s="257" t="s">
        <v>23365</v>
      </c>
      <c r="I5307" s="9">
        <v>3</v>
      </c>
    </row>
    <row r="5308" spans="1:9">
      <c r="A5308" s="257" t="s">
        <v>6406</v>
      </c>
      <c r="B5308" s="9">
        <v>4</v>
      </c>
      <c r="C5308" s="257" t="s">
        <v>12489</v>
      </c>
      <c r="D5308" s="9">
        <v>2.2233185541986667E-3</v>
      </c>
      <c r="E5308" s="9"/>
      <c r="F5308" s="257" t="s">
        <v>16658</v>
      </c>
      <c r="G5308" s="9"/>
      <c r="H5308" s="257" t="s">
        <v>23366</v>
      </c>
      <c r="I5308" s="9">
        <v>3</v>
      </c>
    </row>
    <row r="5309" spans="1:9">
      <c r="A5309" s="257" t="s">
        <v>6407</v>
      </c>
      <c r="B5309" s="9">
        <v>4</v>
      </c>
      <c r="C5309" s="257" t="s">
        <v>12489</v>
      </c>
      <c r="D5309" s="9">
        <v>5.1393244103423328E-3</v>
      </c>
      <c r="E5309" s="9"/>
      <c r="F5309" s="257" t="s">
        <v>16659</v>
      </c>
      <c r="G5309" s="9"/>
      <c r="H5309" s="257" t="s">
        <v>23367</v>
      </c>
      <c r="I5309" s="9">
        <v>3</v>
      </c>
    </row>
    <row r="5310" spans="1:9">
      <c r="A5310" s="257" t="s">
        <v>6408</v>
      </c>
      <c r="B5310" s="9">
        <v>4</v>
      </c>
      <c r="C5310" s="257" t="s">
        <v>12489</v>
      </c>
      <c r="D5310" s="9">
        <v>-1.9928659526850761E-3</v>
      </c>
      <c r="E5310" s="9"/>
      <c r="F5310" s="257" t="s">
        <v>16660</v>
      </c>
      <c r="G5310" s="9"/>
      <c r="H5310" s="257" t="s">
        <v>23368</v>
      </c>
      <c r="I5310" s="9">
        <v>3</v>
      </c>
    </row>
    <row r="5311" spans="1:9">
      <c r="A5311" s="257" t="s">
        <v>6409</v>
      </c>
      <c r="B5311" s="9">
        <v>4</v>
      </c>
      <c r="C5311" s="257" t="s">
        <v>12489</v>
      </c>
      <c r="D5311" s="9">
        <v>-5.1424211522452931E-3</v>
      </c>
      <c r="E5311" s="9"/>
      <c r="F5311" s="257" t="s">
        <v>16661</v>
      </c>
      <c r="G5311" s="9"/>
      <c r="H5311" s="257" t="s">
        <v>23369</v>
      </c>
      <c r="I5311" s="9">
        <v>3</v>
      </c>
    </row>
    <row r="5312" spans="1:9">
      <c r="A5312" s="257" t="s">
        <v>6410</v>
      </c>
      <c r="B5312" s="9">
        <v>5</v>
      </c>
      <c r="C5312" s="257" t="s">
        <v>12489</v>
      </c>
      <c r="D5312" s="9">
        <v>8.6858995949152928E-3</v>
      </c>
      <c r="E5312" s="9"/>
      <c r="F5312" s="257" t="s">
        <v>16662</v>
      </c>
      <c r="G5312" s="9"/>
      <c r="H5312" s="257" t="s">
        <v>23370</v>
      </c>
      <c r="I5312" s="9">
        <v>3</v>
      </c>
    </row>
    <row r="5313" spans="1:9">
      <c r="A5313" s="257" t="s">
        <v>6411</v>
      </c>
      <c r="B5313" s="9">
        <v>5</v>
      </c>
      <c r="C5313" s="257" t="s">
        <v>12489</v>
      </c>
      <c r="D5313" s="9">
        <v>8.6858995949152928E-3</v>
      </c>
      <c r="E5313" s="9"/>
      <c r="F5313" s="257" t="s">
        <v>16663</v>
      </c>
      <c r="G5313" s="9"/>
      <c r="H5313" s="257" t="s">
        <v>23371</v>
      </c>
      <c r="I5313" s="9">
        <v>3</v>
      </c>
    </row>
    <row r="5314" spans="1:9">
      <c r="A5314" s="257" t="s">
        <v>6412</v>
      </c>
      <c r="B5314" s="9">
        <v>5</v>
      </c>
      <c r="C5314" s="257" t="s">
        <v>12489</v>
      </c>
      <c r="D5314" s="9">
        <v>3.600501282664384E-3</v>
      </c>
      <c r="E5314" s="9"/>
      <c r="F5314" s="257" t="s">
        <v>16664</v>
      </c>
      <c r="G5314" s="9"/>
      <c r="H5314" s="257" t="s">
        <v>23372</v>
      </c>
      <c r="I5314" s="9">
        <v>3</v>
      </c>
    </row>
    <row r="5315" spans="1:9">
      <c r="A5315" s="257" t="s">
        <v>6413</v>
      </c>
      <c r="B5315" s="9">
        <v>5</v>
      </c>
      <c r="C5315" s="257" t="s">
        <v>12489</v>
      </c>
      <c r="D5315" s="9"/>
      <c r="E5315" s="9"/>
      <c r="F5315" s="257" t="s">
        <v>16665</v>
      </c>
      <c r="G5315" s="9"/>
      <c r="H5315" s="257" t="s">
        <v>23373</v>
      </c>
      <c r="I5315" s="9">
        <v>3</v>
      </c>
    </row>
    <row r="5316" spans="1:9">
      <c r="A5316" s="257" t="s">
        <v>6414</v>
      </c>
      <c r="B5316" s="9">
        <v>5</v>
      </c>
      <c r="C5316" s="257" t="s">
        <v>12489</v>
      </c>
      <c r="D5316" s="9"/>
      <c r="E5316" s="9"/>
      <c r="F5316" s="257" t="s">
        <v>16666</v>
      </c>
      <c r="G5316" s="9"/>
      <c r="H5316" s="257" t="s">
        <v>23374</v>
      </c>
      <c r="I5316" s="9">
        <v>3</v>
      </c>
    </row>
    <row r="5317" spans="1:9">
      <c r="A5317" s="257" t="s">
        <v>6415</v>
      </c>
      <c r="B5317" s="9">
        <v>5</v>
      </c>
      <c r="C5317" s="257" t="s">
        <v>12489</v>
      </c>
      <c r="D5317" s="9">
        <v>7.8942044119878138E-3</v>
      </c>
      <c r="E5317" s="9"/>
      <c r="F5317" s="257" t="s">
        <v>16667</v>
      </c>
      <c r="G5317" s="9"/>
      <c r="H5317" s="257" t="s">
        <v>23375</v>
      </c>
      <c r="I5317" s="9">
        <v>3</v>
      </c>
    </row>
    <row r="5318" spans="1:9">
      <c r="A5318" s="257" t="s">
        <v>6416</v>
      </c>
      <c r="B5318" s="9">
        <v>5</v>
      </c>
      <c r="C5318" s="257" t="s">
        <v>12489</v>
      </c>
      <c r="D5318" s="9">
        <v>7.8942044119878138E-3</v>
      </c>
      <c r="E5318" s="9"/>
      <c r="F5318" s="257" t="s">
        <v>16668</v>
      </c>
      <c r="G5318" s="9"/>
      <c r="H5318" s="257" t="s">
        <v>23376</v>
      </c>
      <c r="I5318" s="9">
        <v>3</v>
      </c>
    </row>
    <row r="5319" spans="1:9">
      <c r="A5319" s="257" t="s">
        <v>6417</v>
      </c>
      <c r="B5319" s="9">
        <v>5</v>
      </c>
      <c r="C5319" s="257" t="s">
        <v>12489</v>
      </c>
      <c r="D5319" s="9">
        <v>7.8942044119878138E-3</v>
      </c>
      <c r="E5319" s="9"/>
      <c r="F5319" s="257" t="s">
        <v>16669</v>
      </c>
      <c r="G5319" s="9"/>
      <c r="H5319" s="257" t="s">
        <v>23377</v>
      </c>
      <c r="I5319" s="9">
        <v>3</v>
      </c>
    </row>
    <row r="5320" spans="1:9">
      <c r="A5320" s="257" t="s">
        <v>6418</v>
      </c>
      <c r="B5320" s="9">
        <v>5</v>
      </c>
      <c r="C5320" s="257" t="s">
        <v>12489</v>
      </c>
      <c r="D5320" s="9">
        <v>1.0275779629262289E-2</v>
      </c>
      <c r="E5320" s="9"/>
      <c r="F5320" s="257" t="s">
        <v>16670</v>
      </c>
      <c r="G5320" s="9"/>
      <c r="H5320" s="257" t="s">
        <v>23378</v>
      </c>
      <c r="I5320" s="9">
        <v>3</v>
      </c>
    </row>
    <row r="5321" spans="1:9">
      <c r="A5321" s="257" t="s">
        <v>6419</v>
      </c>
      <c r="B5321" s="9">
        <v>5</v>
      </c>
      <c r="C5321" s="257" t="s">
        <v>12489</v>
      </c>
      <c r="D5321" s="9">
        <v>1.0275779629262289E-2</v>
      </c>
      <c r="E5321" s="9"/>
      <c r="F5321" s="257" t="s">
        <v>16671</v>
      </c>
      <c r="G5321" s="9"/>
      <c r="H5321" s="257" t="s">
        <v>23379</v>
      </c>
      <c r="I5321" s="9">
        <v>3</v>
      </c>
    </row>
    <row r="5322" spans="1:9">
      <c r="A5322" s="257" t="s">
        <v>6420</v>
      </c>
      <c r="B5322" s="9">
        <v>5</v>
      </c>
      <c r="C5322" s="257" t="s">
        <v>12489</v>
      </c>
      <c r="D5322" s="9">
        <v>-4.5575485225886579E-3</v>
      </c>
      <c r="E5322" s="9"/>
      <c r="F5322" s="257" t="s">
        <v>16672</v>
      </c>
      <c r="G5322" s="9"/>
      <c r="H5322" s="257" t="s">
        <v>23380</v>
      </c>
      <c r="I5322" s="9">
        <v>3</v>
      </c>
    </row>
    <row r="5323" spans="1:9">
      <c r="A5323" s="257" t="s">
        <v>6421</v>
      </c>
      <c r="B5323" s="9">
        <v>5</v>
      </c>
      <c r="C5323" s="257" t="s">
        <v>12489</v>
      </c>
      <c r="D5323" s="9"/>
      <c r="E5323" s="9"/>
      <c r="F5323" s="257" t="s">
        <v>16673</v>
      </c>
      <c r="G5323" s="9"/>
      <c r="H5323" s="257" t="s">
        <v>23381</v>
      </c>
      <c r="I5323" s="9">
        <v>3</v>
      </c>
    </row>
    <row r="5324" spans="1:9">
      <c r="A5324" s="257" t="s">
        <v>6422</v>
      </c>
      <c r="B5324" s="9">
        <v>5</v>
      </c>
      <c r="C5324" s="257" t="s">
        <v>12489</v>
      </c>
      <c r="D5324" s="9"/>
      <c r="E5324" s="9"/>
      <c r="F5324" s="257" t="s">
        <v>16674</v>
      </c>
      <c r="G5324" s="9"/>
      <c r="H5324" s="257" t="s">
        <v>23382</v>
      </c>
      <c r="I5324" s="9">
        <v>3</v>
      </c>
    </row>
    <row r="5325" spans="1:9">
      <c r="A5325" s="257" t="s">
        <v>6423</v>
      </c>
      <c r="B5325" s="9">
        <v>5</v>
      </c>
      <c r="C5325" s="257" t="s">
        <v>12489</v>
      </c>
      <c r="D5325" s="9"/>
      <c r="E5325" s="9"/>
      <c r="F5325" s="257" t="s">
        <v>16675</v>
      </c>
      <c r="G5325" s="9"/>
      <c r="H5325" s="257" t="s">
        <v>23383</v>
      </c>
      <c r="I5325" s="9">
        <v>3</v>
      </c>
    </row>
    <row r="5326" spans="1:9">
      <c r="A5326" s="257" t="s">
        <v>6424</v>
      </c>
      <c r="B5326" s="9">
        <v>5</v>
      </c>
      <c r="C5326" s="257" t="s">
        <v>12489</v>
      </c>
      <c r="D5326" s="9"/>
      <c r="E5326" s="9"/>
      <c r="F5326" s="257" t="s">
        <v>16676</v>
      </c>
      <c r="G5326" s="9"/>
      <c r="H5326" s="257" t="s">
        <v>23384</v>
      </c>
      <c r="I5326" s="9">
        <v>3</v>
      </c>
    </row>
    <row r="5327" spans="1:9">
      <c r="A5327" s="257" t="s">
        <v>6425</v>
      </c>
      <c r="B5327" s="9">
        <v>5</v>
      </c>
      <c r="C5327" s="257" t="s">
        <v>12489</v>
      </c>
      <c r="D5327" s="9"/>
      <c r="E5327" s="9"/>
      <c r="F5327" s="257" t="s">
        <v>16677</v>
      </c>
      <c r="G5327" s="9"/>
      <c r="H5327" s="257" t="s">
        <v>23385</v>
      </c>
      <c r="I5327" s="9">
        <v>3</v>
      </c>
    </row>
    <row r="5328" spans="1:9">
      <c r="A5328" s="257" t="s">
        <v>6426</v>
      </c>
      <c r="B5328" s="9">
        <v>5</v>
      </c>
      <c r="C5328" s="257" t="s">
        <v>12489</v>
      </c>
      <c r="D5328" s="9"/>
      <c r="E5328" s="9"/>
      <c r="F5328" s="257" t="s">
        <v>16678</v>
      </c>
      <c r="G5328" s="9"/>
      <c r="H5328" s="257" t="s">
        <v>23386</v>
      </c>
      <c r="I5328" s="9">
        <v>3</v>
      </c>
    </row>
    <row r="5329" spans="1:9">
      <c r="A5329" s="257" t="s">
        <v>6427</v>
      </c>
      <c r="B5329" s="9">
        <v>5</v>
      </c>
      <c r="C5329" s="257" t="s">
        <v>12489</v>
      </c>
      <c r="D5329" s="9">
        <v>9.7865779487807218E-3</v>
      </c>
      <c r="E5329" s="9"/>
      <c r="F5329" s="257" t="s">
        <v>16679</v>
      </c>
      <c r="G5329" s="9"/>
      <c r="H5329" s="257" t="s">
        <v>23387</v>
      </c>
      <c r="I5329" s="9">
        <v>3</v>
      </c>
    </row>
    <row r="5330" spans="1:9">
      <c r="A5330" s="257" t="s">
        <v>6428</v>
      </c>
      <c r="B5330" s="9">
        <v>5</v>
      </c>
      <c r="C5330" s="257" t="s">
        <v>12489</v>
      </c>
      <c r="D5330" s="9"/>
      <c r="E5330" s="9"/>
      <c r="F5330" s="257" t="s">
        <v>16680</v>
      </c>
      <c r="G5330" s="9"/>
      <c r="H5330" s="257" t="s">
        <v>23388</v>
      </c>
      <c r="I5330" s="9">
        <v>3</v>
      </c>
    </row>
    <row r="5331" spans="1:9">
      <c r="A5331" s="257" t="s">
        <v>6429</v>
      </c>
      <c r="B5331" s="9">
        <v>5</v>
      </c>
      <c r="C5331" s="257" t="s">
        <v>12489</v>
      </c>
      <c r="D5331" s="9">
        <v>8.879019854515946E-3</v>
      </c>
      <c r="E5331" s="9"/>
      <c r="F5331" s="257" t="s">
        <v>16681</v>
      </c>
      <c r="G5331" s="9"/>
      <c r="H5331" s="257" t="s">
        <v>23389</v>
      </c>
      <c r="I5331" s="9">
        <v>3</v>
      </c>
    </row>
    <row r="5332" spans="1:9">
      <c r="A5332" s="257" t="s">
        <v>6430</v>
      </c>
      <c r="B5332" s="9">
        <v>5</v>
      </c>
      <c r="C5332" s="257" t="s">
        <v>12489</v>
      </c>
      <c r="D5332" s="9">
        <v>7.2560179613187642E-3</v>
      </c>
      <c r="E5332" s="9"/>
      <c r="F5332" s="257" t="s">
        <v>16682</v>
      </c>
      <c r="G5332" s="9"/>
      <c r="H5332" s="257" t="s">
        <v>23390</v>
      </c>
      <c r="I5332" s="9">
        <v>3</v>
      </c>
    </row>
    <row r="5333" spans="1:9">
      <c r="A5333" s="257" t="s">
        <v>6431</v>
      </c>
      <c r="B5333" s="9">
        <v>5</v>
      </c>
      <c r="C5333" s="257" t="s">
        <v>12489</v>
      </c>
      <c r="D5333" s="9">
        <v>2.2543739398626483E-3</v>
      </c>
      <c r="E5333" s="9"/>
      <c r="F5333" s="257" t="s">
        <v>16683</v>
      </c>
      <c r="G5333" s="9"/>
      <c r="H5333" s="257" t="s">
        <v>23391</v>
      </c>
      <c r="I5333" s="9">
        <v>3</v>
      </c>
    </row>
    <row r="5334" spans="1:9">
      <c r="A5334" s="257" t="s">
        <v>6432</v>
      </c>
      <c r="B5334" s="9">
        <v>5</v>
      </c>
      <c r="C5334" s="257" t="s">
        <v>12489</v>
      </c>
      <c r="D5334" s="9">
        <v>5.8771084433736501E-3</v>
      </c>
      <c r="E5334" s="9"/>
      <c r="F5334" s="257" t="s">
        <v>16684</v>
      </c>
      <c r="G5334" s="9"/>
      <c r="H5334" s="257" t="s">
        <v>23392</v>
      </c>
      <c r="I5334" s="9">
        <v>3</v>
      </c>
    </row>
    <row r="5335" spans="1:9">
      <c r="A5335" s="257" t="s">
        <v>6433</v>
      </c>
      <c r="B5335" s="9">
        <v>5</v>
      </c>
      <c r="C5335" s="257" t="s">
        <v>12489</v>
      </c>
      <c r="D5335" s="9">
        <v>-1.7492903276009688E-3</v>
      </c>
      <c r="E5335" s="9"/>
      <c r="F5335" s="257" t="s">
        <v>16685</v>
      </c>
      <c r="G5335" s="9"/>
      <c r="H5335" s="257" t="s">
        <v>23393</v>
      </c>
      <c r="I5335" s="9">
        <v>3</v>
      </c>
    </row>
    <row r="5336" spans="1:9">
      <c r="A5336" s="257" t="s">
        <v>6434</v>
      </c>
      <c r="B5336" s="9">
        <v>5</v>
      </c>
      <c r="C5336" s="257" t="s">
        <v>12489</v>
      </c>
      <c r="D5336" s="9">
        <v>-4.5598435195744347E-3</v>
      </c>
      <c r="E5336" s="9"/>
      <c r="F5336" s="257" t="s">
        <v>16686</v>
      </c>
      <c r="G5336" s="9"/>
      <c r="H5336" s="257" t="s">
        <v>23394</v>
      </c>
      <c r="I5336" s="9">
        <v>3</v>
      </c>
    </row>
    <row r="5337" spans="1:9">
      <c r="A5337" s="257" t="s">
        <v>6435</v>
      </c>
      <c r="B5337" s="9">
        <v>6</v>
      </c>
      <c r="C5337" s="257" t="s">
        <v>12489</v>
      </c>
      <c r="D5337" s="9">
        <v>8.6104569536203691E-3</v>
      </c>
      <c r="E5337" s="9"/>
      <c r="F5337" s="257" t="s">
        <v>16687</v>
      </c>
      <c r="G5337" s="9"/>
      <c r="H5337" s="257" t="s">
        <v>23395</v>
      </c>
      <c r="I5337" s="9">
        <v>3</v>
      </c>
    </row>
    <row r="5338" spans="1:9">
      <c r="A5338" s="257" t="s">
        <v>6436</v>
      </c>
      <c r="B5338" s="9">
        <v>6</v>
      </c>
      <c r="C5338" s="257" t="s">
        <v>12489</v>
      </c>
      <c r="D5338" s="9">
        <v>8.6104569536203691E-3</v>
      </c>
      <c r="E5338" s="9"/>
      <c r="F5338" s="257" t="s">
        <v>16688</v>
      </c>
      <c r="G5338" s="9"/>
      <c r="H5338" s="257" t="s">
        <v>23396</v>
      </c>
      <c r="I5338" s="9">
        <v>3</v>
      </c>
    </row>
    <row r="5339" spans="1:9">
      <c r="A5339" s="257" t="s">
        <v>6437</v>
      </c>
      <c r="B5339" s="9">
        <v>6</v>
      </c>
      <c r="C5339" s="257" t="s">
        <v>12489</v>
      </c>
      <c r="D5339" s="9">
        <v>3.8816475085760179E-3</v>
      </c>
      <c r="E5339" s="9"/>
      <c r="F5339" s="257" t="s">
        <v>16689</v>
      </c>
      <c r="G5339" s="9"/>
      <c r="H5339" s="257" t="s">
        <v>23397</v>
      </c>
      <c r="I5339" s="9">
        <v>3</v>
      </c>
    </row>
    <row r="5340" spans="1:9">
      <c r="A5340" s="257" t="s">
        <v>6438</v>
      </c>
      <c r="B5340" s="9">
        <v>6</v>
      </c>
      <c r="C5340" s="257" t="s">
        <v>12489</v>
      </c>
      <c r="D5340" s="9"/>
      <c r="E5340" s="9"/>
      <c r="F5340" s="257" t="s">
        <v>16690</v>
      </c>
      <c r="G5340" s="9"/>
      <c r="H5340" s="257" t="s">
        <v>23398</v>
      </c>
      <c r="I5340" s="9">
        <v>3</v>
      </c>
    </row>
    <row r="5341" spans="1:9">
      <c r="A5341" s="257" t="s">
        <v>6439</v>
      </c>
      <c r="B5341" s="9">
        <v>6</v>
      </c>
      <c r="C5341" s="257" t="s">
        <v>12489</v>
      </c>
      <c r="D5341" s="9"/>
      <c r="E5341" s="9"/>
      <c r="F5341" s="257" t="s">
        <v>16691</v>
      </c>
      <c r="G5341" s="9"/>
      <c r="H5341" s="257" t="s">
        <v>23399</v>
      </c>
      <c r="I5341" s="9">
        <v>3</v>
      </c>
    </row>
    <row r="5342" spans="1:9">
      <c r="A5342" s="257" t="s">
        <v>6440</v>
      </c>
      <c r="B5342" s="9">
        <v>6</v>
      </c>
      <c r="C5342" s="257" t="s">
        <v>12489</v>
      </c>
      <c r="D5342" s="9">
        <v>9.1098960895596246E-3</v>
      </c>
      <c r="E5342" s="9"/>
      <c r="F5342" s="257" t="s">
        <v>16692</v>
      </c>
      <c r="G5342" s="9"/>
      <c r="H5342" s="257" t="s">
        <v>23400</v>
      </c>
      <c r="I5342" s="9">
        <v>3</v>
      </c>
    </row>
    <row r="5343" spans="1:9">
      <c r="A5343" s="257" t="s">
        <v>6441</v>
      </c>
      <c r="B5343" s="9">
        <v>6</v>
      </c>
      <c r="C5343" s="257" t="s">
        <v>12489</v>
      </c>
      <c r="D5343" s="9">
        <v>9.1098960895596246E-3</v>
      </c>
      <c r="E5343" s="9"/>
      <c r="F5343" s="257" t="s">
        <v>16693</v>
      </c>
      <c r="G5343" s="9"/>
      <c r="H5343" s="257" t="s">
        <v>23401</v>
      </c>
      <c r="I5343" s="9">
        <v>3</v>
      </c>
    </row>
    <row r="5344" spans="1:9">
      <c r="A5344" s="257" t="s">
        <v>6442</v>
      </c>
      <c r="B5344" s="9">
        <v>6</v>
      </c>
      <c r="C5344" s="257" t="s">
        <v>12489</v>
      </c>
      <c r="D5344" s="9">
        <v>9.1098960895596246E-3</v>
      </c>
      <c r="E5344" s="9"/>
      <c r="F5344" s="257" t="s">
        <v>16694</v>
      </c>
      <c r="G5344" s="9"/>
      <c r="H5344" s="257" t="s">
        <v>23402</v>
      </c>
      <c r="I5344" s="9">
        <v>3</v>
      </c>
    </row>
    <row r="5345" spans="1:9">
      <c r="A5345" s="257" t="s">
        <v>6443</v>
      </c>
      <c r="B5345" s="9">
        <v>6</v>
      </c>
      <c r="C5345" s="257" t="s">
        <v>12489</v>
      </c>
      <c r="D5345" s="9">
        <v>1.2101601860419874E-2</v>
      </c>
      <c r="E5345" s="9"/>
      <c r="F5345" s="257" t="s">
        <v>16695</v>
      </c>
      <c r="G5345" s="9"/>
      <c r="H5345" s="257" t="s">
        <v>23403</v>
      </c>
      <c r="I5345" s="9">
        <v>3</v>
      </c>
    </row>
    <row r="5346" spans="1:9">
      <c r="A5346" s="257" t="s">
        <v>6444</v>
      </c>
      <c r="B5346" s="9">
        <v>6</v>
      </c>
      <c r="C5346" s="257" t="s">
        <v>12489</v>
      </c>
      <c r="D5346" s="9">
        <v>1.2101601860419874E-2</v>
      </c>
      <c r="E5346" s="9"/>
      <c r="F5346" s="257" t="s">
        <v>16696</v>
      </c>
      <c r="G5346" s="9"/>
      <c r="H5346" s="257" t="s">
        <v>23404</v>
      </c>
      <c r="I5346" s="9">
        <v>3</v>
      </c>
    </row>
    <row r="5347" spans="1:9">
      <c r="A5347" s="257" t="s">
        <v>6445</v>
      </c>
      <c r="B5347" s="9">
        <v>6</v>
      </c>
      <c r="C5347" s="257" t="s">
        <v>12489</v>
      </c>
      <c r="D5347" s="9">
        <v>-4.6738045703800532E-3</v>
      </c>
      <c r="E5347" s="9"/>
      <c r="F5347" s="257" t="s">
        <v>16697</v>
      </c>
      <c r="G5347" s="9"/>
      <c r="H5347" s="257" t="s">
        <v>23405</v>
      </c>
      <c r="I5347" s="9">
        <v>3</v>
      </c>
    </row>
    <row r="5348" spans="1:9">
      <c r="A5348" s="257" t="s">
        <v>6446</v>
      </c>
      <c r="B5348" s="9">
        <v>6</v>
      </c>
      <c r="C5348" s="257" t="s">
        <v>12489</v>
      </c>
      <c r="D5348" s="9"/>
      <c r="E5348" s="9"/>
      <c r="F5348" s="257" t="s">
        <v>16698</v>
      </c>
      <c r="G5348" s="9"/>
      <c r="H5348" s="257" t="s">
        <v>23406</v>
      </c>
      <c r="I5348" s="9">
        <v>3</v>
      </c>
    </row>
    <row r="5349" spans="1:9">
      <c r="A5349" s="257" t="s">
        <v>6447</v>
      </c>
      <c r="B5349" s="9">
        <v>6</v>
      </c>
      <c r="C5349" s="257" t="s">
        <v>12489</v>
      </c>
      <c r="D5349" s="9"/>
      <c r="E5349" s="9"/>
      <c r="F5349" s="257" t="s">
        <v>16699</v>
      </c>
      <c r="G5349" s="9"/>
      <c r="H5349" s="257" t="s">
        <v>23407</v>
      </c>
      <c r="I5349" s="9">
        <v>3</v>
      </c>
    </row>
    <row r="5350" spans="1:9">
      <c r="A5350" s="257" t="s">
        <v>6448</v>
      </c>
      <c r="B5350" s="9">
        <v>6</v>
      </c>
      <c r="C5350" s="257" t="s">
        <v>12489</v>
      </c>
      <c r="D5350" s="9"/>
      <c r="E5350" s="9"/>
      <c r="F5350" s="257" t="s">
        <v>16700</v>
      </c>
      <c r="G5350" s="9"/>
      <c r="H5350" s="257" t="s">
        <v>23408</v>
      </c>
      <c r="I5350" s="9">
        <v>3</v>
      </c>
    </row>
    <row r="5351" spans="1:9">
      <c r="A5351" s="257" t="s">
        <v>6449</v>
      </c>
      <c r="B5351" s="9">
        <v>6</v>
      </c>
      <c r="C5351" s="257" t="s">
        <v>12489</v>
      </c>
      <c r="D5351" s="9"/>
      <c r="E5351" s="9"/>
      <c r="F5351" s="257" t="s">
        <v>16701</v>
      </c>
      <c r="G5351" s="9"/>
      <c r="H5351" s="257" t="s">
        <v>23409</v>
      </c>
      <c r="I5351" s="9">
        <v>3</v>
      </c>
    </row>
    <row r="5352" spans="1:9">
      <c r="A5352" s="257" t="s">
        <v>6450</v>
      </c>
      <c r="B5352" s="9">
        <v>6</v>
      </c>
      <c r="C5352" s="257" t="s">
        <v>12489</v>
      </c>
      <c r="D5352" s="9"/>
      <c r="E5352" s="9"/>
      <c r="F5352" s="257" t="s">
        <v>16702</v>
      </c>
      <c r="G5352" s="9"/>
      <c r="H5352" s="257" t="s">
        <v>23410</v>
      </c>
      <c r="I5352" s="9">
        <v>3</v>
      </c>
    </row>
    <row r="5353" spans="1:9">
      <c r="A5353" s="257" t="s">
        <v>6451</v>
      </c>
      <c r="B5353" s="9">
        <v>6</v>
      </c>
      <c r="C5353" s="257" t="s">
        <v>12489</v>
      </c>
      <c r="D5353" s="9"/>
      <c r="E5353" s="9"/>
      <c r="F5353" s="257" t="s">
        <v>16703</v>
      </c>
      <c r="G5353" s="9"/>
      <c r="H5353" s="257" t="s">
        <v>23411</v>
      </c>
      <c r="I5353" s="9">
        <v>3</v>
      </c>
    </row>
    <row r="5354" spans="1:9">
      <c r="A5354" s="257" t="s">
        <v>6452</v>
      </c>
      <c r="B5354" s="9">
        <v>6</v>
      </c>
      <c r="C5354" s="257" t="s">
        <v>12489</v>
      </c>
      <c r="D5354" s="9">
        <v>9.9938363875083491E-3</v>
      </c>
      <c r="E5354" s="9"/>
      <c r="F5354" s="257" t="s">
        <v>16704</v>
      </c>
      <c r="G5354" s="9"/>
      <c r="H5354" s="257" t="s">
        <v>23412</v>
      </c>
      <c r="I5354" s="9">
        <v>3</v>
      </c>
    </row>
    <row r="5355" spans="1:9">
      <c r="A5355" s="257" t="s">
        <v>6453</v>
      </c>
      <c r="B5355" s="9">
        <v>6</v>
      </c>
      <c r="C5355" s="257" t="s">
        <v>12489</v>
      </c>
      <c r="D5355" s="9"/>
      <c r="E5355" s="9"/>
      <c r="F5355" s="257" t="s">
        <v>16705</v>
      </c>
      <c r="G5355" s="9"/>
      <c r="H5355" s="257" t="s">
        <v>23413</v>
      </c>
      <c r="I5355" s="9">
        <v>3</v>
      </c>
    </row>
    <row r="5356" spans="1:9">
      <c r="A5356" s="257" t="s">
        <v>6454</v>
      </c>
      <c r="B5356" s="9">
        <v>6</v>
      </c>
      <c r="C5356" s="257" t="s">
        <v>12489</v>
      </c>
      <c r="D5356" s="9">
        <v>9.1467169152722131E-3</v>
      </c>
      <c r="E5356" s="9"/>
      <c r="F5356" s="257" t="s">
        <v>16706</v>
      </c>
      <c r="G5356" s="9"/>
      <c r="H5356" s="257" t="s">
        <v>23414</v>
      </c>
      <c r="I5356" s="9">
        <v>3</v>
      </c>
    </row>
    <row r="5357" spans="1:9">
      <c r="A5357" s="257" t="s">
        <v>6455</v>
      </c>
      <c r="B5357" s="9">
        <v>6</v>
      </c>
      <c r="C5357" s="257" t="s">
        <v>12489</v>
      </c>
      <c r="D5357" s="9">
        <v>6.8301549165220065E-3</v>
      </c>
      <c r="E5357" s="9"/>
      <c r="F5357" s="257" t="s">
        <v>16707</v>
      </c>
      <c r="G5357" s="9"/>
      <c r="H5357" s="257" t="s">
        <v>23415</v>
      </c>
      <c r="I5357" s="9">
        <v>3</v>
      </c>
    </row>
    <row r="5358" spans="1:9">
      <c r="A5358" s="257" t="s">
        <v>6456</v>
      </c>
      <c r="B5358" s="9">
        <v>6</v>
      </c>
      <c r="C5358" s="257" t="s">
        <v>12489</v>
      </c>
      <c r="D5358" s="9">
        <v>2.2516207305204629E-3</v>
      </c>
      <c r="E5358" s="9"/>
      <c r="F5358" s="257" t="s">
        <v>16708</v>
      </c>
      <c r="G5358" s="9"/>
      <c r="H5358" s="257" t="s">
        <v>23416</v>
      </c>
      <c r="I5358" s="9">
        <v>3</v>
      </c>
    </row>
    <row r="5359" spans="1:9">
      <c r="A5359" s="257" t="s">
        <v>6457</v>
      </c>
      <c r="B5359" s="9">
        <v>6</v>
      </c>
      <c r="C5359" s="257" t="s">
        <v>12489</v>
      </c>
      <c r="D5359" s="9">
        <v>6.5048556274067857E-3</v>
      </c>
      <c r="E5359" s="9"/>
      <c r="F5359" s="257" t="s">
        <v>16709</v>
      </c>
      <c r="G5359" s="9"/>
      <c r="H5359" s="257" t="s">
        <v>23417</v>
      </c>
      <c r="I5359" s="9">
        <v>3</v>
      </c>
    </row>
    <row r="5360" spans="1:9">
      <c r="A5360" s="257" t="s">
        <v>6458</v>
      </c>
      <c r="B5360" s="9">
        <v>6</v>
      </c>
      <c r="C5360" s="257" t="s">
        <v>12489</v>
      </c>
      <c r="D5360" s="9">
        <v>-2.4481663107221228E-3</v>
      </c>
      <c r="E5360" s="9"/>
      <c r="F5360" s="257" t="s">
        <v>16710</v>
      </c>
      <c r="G5360" s="9"/>
      <c r="H5360" s="257" t="s">
        <v>23418</v>
      </c>
      <c r="I5360" s="9">
        <v>3</v>
      </c>
    </row>
    <row r="5361" spans="1:9">
      <c r="A5361" s="257" t="s">
        <v>6459</v>
      </c>
      <c r="B5361" s="9">
        <v>6</v>
      </c>
      <c r="C5361" s="257" t="s">
        <v>12489</v>
      </c>
      <c r="D5361" s="9">
        <v>-4.2125389883847942E-3</v>
      </c>
      <c r="E5361" s="9"/>
      <c r="F5361" s="257" t="s">
        <v>16711</v>
      </c>
      <c r="G5361" s="9"/>
      <c r="H5361" s="257" t="s">
        <v>23419</v>
      </c>
      <c r="I5361" s="9">
        <v>3</v>
      </c>
    </row>
    <row r="5362" spans="1:9">
      <c r="A5362" s="257" t="s">
        <v>6460</v>
      </c>
      <c r="B5362" s="9">
        <v>7</v>
      </c>
      <c r="C5362" s="257" t="s">
        <v>12489</v>
      </c>
      <c r="D5362" s="9">
        <v>8.8376271540960161E-3</v>
      </c>
      <c r="E5362" s="9"/>
      <c r="F5362" s="257" t="s">
        <v>16712</v>
      </c>
      <c r="G5362" s="9"/>
      <c r="H5362" s="257" t="s">
        <v>23420</v>
      </c>
      <c r="I5362" s="9">
        <v>3</v>
      </c>
    </row>
    <row r="5363" spans="1:9">
      <c r="A5363" s="257" t="s">
        <v>6461</v>
      </c>
      <c r="B5363" s="9">
        <v>7</v>
      </c>
      <c r="C5363" s="257" t="s">
        <v>12489</v>
      </c>
      <c r="D5363" s="9">
        <v>8.8376271540960161E-3</v>
      </c>
      <c r="E5363" s="9"/>
      <c r="F5363" s="257" t="s">
        <v>16713</v>
      </c>
      <c r="G5363" s="9"/>
      <c r="H5363" s="257" t="s">
        <v>23421</v>
      </c>
      <c r="I5363" s="9">
        <v>3</v>
      </c>
    </row>
    <row r="5364" spans="1:9">
      <c r="A5364" s="257" t="s">
        <v>6462</v>
      </c>
      <c r="B5364" s="9">
        <v>7</v>
      </c>
      <c r="C5364" s="257" t="s">
        <v>12489</v>
      </c>
      <c r="D5364" s="9">
        <v>4.1496544814371671E-3</v>
      </c>
      <c r="E5364" s="9"/>
      <c r="F5364" s="257" t="s">
        <v>16714</v>
      </c>
      <c r="G5364" s="9"/>
      <c r="H5364" s="257" t="s">
        <v>23422</v>
      </c>
      <c r="I5364" s="9">
        <v>3</v>
      </c>
    </row>
    <row r="5365" spans="1:9">
      <c r="A5365" s="257" t="s">
        <v>6463</v>
      </c>
      <c r="B5365" s="9">
        <v>7</v>
      </c>
      <c r="C5365" s="257" t="s">
        <v>12489</v>
      </c>
      <c r="D5365" s="9"/>
      <c r="E5365" s="9"/>
      <c r="F5365" s="257" t="s">
        <v>16715</v>
      </c>
      <c r="G5365" s="9"/>
      <c r="H5365" s="257" t="s">
        <v>23423</v>
      </c>
      <c r="I5365" s="9">
        <v>3</v>
      </c>
    </row>
    <row r="5366" spans="1:9">
      <c r="A5366" s="257" t="s">
        <v>6464</v>
      </c>
      <c r="B5366" s="9">
        <v>7</v>
      </c>
      <c r="C5366" s="257" t="s">
        <v>12489</v>
      </c>
      <c r="D5366" s="9"/>
      <c r="E5366" s="9"/>
      <c r="F5366" s="257" t="s">
        <v>16716</v>
      </c>
      <c r="G5366" s="9"/>
      <c r="H5366" s="257" t="s">
        <v>23424</v>
      </c>
      <c r="I5366" s="9">
        <v>3</v>
      </c>
    </row>
    <row r="5367" spans="1:9">
      <c r="A5367" s="257" t="s">
        <v>6465</v>
      </c>
      <c r="B5367" s="9">
        <v>7</v>
      </c>
      <c r="C5367" s="257" t="s">
        <v>12489</v>
      </c>
      <c r="D5367" s="9">
        <v>1.0607764768529244E-2</v>
      </c>
      <c r="E5367" s="9"/>
      <c r="F5367" s="257" t="s">
        <v>16717</v>
      </c>
      <c r="G5367" s="9"/>
      <c r="H5367" s="257" t="s">
        <v>23425</v>
      </c>
      <c r="I5367" s="9">
        <v>3</v>
      </c>
    </row>
    <row r="5368" spans="1:9">
      <c r="A5368" s="257" t="s">
        <v>6466</v>
      </c>
      <c r="B5368" s="9">
        <v>7</v>
      </c>
      <c r="C5368" s="257" t="s">
        <v>12489</v>
      </c>
      <c r="D5368" s="9">
        <v>1.0607764768529244E-2</v>
      </c>
      <c r="E5368" s="9"/>
      <c r="F5368" s="257" t="s">
        <v>16718</v>
      </c>
      <c r="G5368" s="9"/>
      <c r="H5368" s="257" t="s">
        <v>23426</v>
      </c>
      <c r="I5368" s="9">
        <v>3</v>
      </c>
    </row>
    <row r="5369" spans="1:9">
      <c r="A5369" s="257" t="s">
        <v>6467</v>
      </c>
      <c r="B5369" s="9">
        <v>7</v>
      </c>
      <c r="C5369" s="257" t="s">
        <v>12489</v>
      </c>
      <c r="D5369" s="9">
        <v>1.0607764768529244E-2</v>
      </c>
      <c r="E5369" s="9"/>
      <c r="F5369" s="257" t="s">
        <v>16719</v>
      </c>
      <c r="G5369" s="9"/>
      <c r="H5369" s="257" t="s">
        <v>23427</v>
      </c>
      <c r="I5369" s="9">
        <v>3</v>
      </c>
    </row>
    <row r="5370" spans="1:9">
      <c r="A5370" s="257" t="s">
        <v>6468</v>
      </c>
      <c r="B5370" s="9">
        <v>7</v>
      </c>
      <c r="C5370" s="257" t="s">
        <v>12489</v>
      </c>
      <c r="D5370" s="9">
        <v>1.369556961559713E-2</v>
      </c>
      <c r="E5370" s="9"/>
      <c r="F5370" s="257" t="s">
        <v>16720</v>
      </c>
      <c r="G5370" s="9"/>
      <c r="H5370" s="257" t="s">
        <v>23428</v>
      </c>
      <c r="I5370" s="9">
        <v>3</v>
      </c>
    </row>
    <row r="5371" spans="1:9">
      <c r="A5371" s="257" t="s">
        <v>6469</v>
      </c>
      <c r="B5371" s="9">
        <v>7</v>
      </c>
      <c r="C5371" s="257" t="s">
        <v>12489</v>
      </c>
      <c r="D5371" s="9">
        <v>1.369556961559713E-2</v>
      </c>
      <c r="E5371" s="9"/>
      <c r="F5371" s="257" t="s">
        <v>16721</v>
      </c>
      <c r="G5371" s="9"/>
      <c r="H5371" s="257" t="s">
        <v>23429</v>
      </c>
      <c r="I5371" s="9">
        <v>3</v>
      </c>
    </row>
    <row r="5372" spans="1:9">
      <c r="A5372" s="257" t="s">
        <v>6470</v>
      </c>
      <c r="B5372" s="9">
        <v>7</v>
      </c>
      <c r="C5372" s="257" t="s">
        <v>12489</v>
      </c>
      <c r="D5372" s="9">
        <v>-4.6511772365891279E-3</v>
      </c>
      <c r="E5372" s="9"/>
      <c r="F5372" s="257" t="s">
        <v>16722</v>
      </c>
      <c r="G5372" s="9"/>
      <c r="H5372" s="257" t="s">
        <v>23430</v>
      </c>
      <c r="I5372" s="9">
        <v>3</v>
      </c>
    </row>
    <row r="5373" spans="1:9">
      <c r="A5373" s="257" t="s">
        <v>6471</v>
      </c>
      <c r="B5373" s="9">
        <v>7</v>
      </c>
      <c r="C5373" s="257" t="s">
        <v>12489</v>
      </c>
      <c r="D5373" s="9"/>
      <c r="E5373" s="9"/>
      <c r="F5373" s="257" t="s">
        <v>16723</v>
      </c>
      <c r="G5373" s="9"/>
      <c r="H5373" s="257" t="s">
        <v>23431</v>
      </c>
      <c r="I5373" s="9">
        <v>3</v>
      </c>
    </row>
    <row r="5374" spans="1:9">
      <c r="A5374" s="257" t="s">
        <v>6472</v>
      </c>
      <c r="B5374" s="9">
        <v>7</v>
      </c>
      <c r="C5374" s="257" t="s">
        <v>12489</v>
      </c>
      <c r="D5374" s="9"/>
      <c r="E5374" s="9"/>
      <c r="F5374" s="257" t="s">
        <v>16724</v>
      </c>
      <c r="G5374" s="9"/>
      <c r="H5374" s="257" t="s">
        <v>23432</v>
      </c>
      <c r="I5374" s="9">
        <v>3</v>
      </c>
    </row>
    <row r="5375" spans="1:9">
      <c r="A5375" s="257" t="s">
        <v>6473</v>
      </c>
      <c r="B5375" s="9">
        <v>7</v>
      </c>
      <c r="C5375" s="257" t="s">
        <v>12489</v>
      </c>
      <c r="D5375" s="9"/>
      <c r="E5375" s="9"/>
      <c r="F5375" s="257" t="s">
        <v>16725</v>
      </c>
      <c r="G5375" s="9"/>
      <c r="H5375" s="257" t="s">
        <v>23433</v>
      </c>
      <c r="I5375" s="9">
        <v>3</v>
      </c>
    </row>
    <row r="5376" spans="1:9">
      <c r="A5376" s="257" t="s">
        <v>6474</v>
      </c>
      <c r="B5376" s="9">
        <v>7</v>
      </c>
      <c r="C5376" s="257" t="s">
        <v>12489</v>
      </c>
      <c r="D5376" s="9"/>
      <c r="E5376" s="9"/>
      <c r="F5376" s="257" t="s">
        <v>16726</v>
      </c>
      <c r="G5376" s="9"/>
      <c r="H5376" s="257" t="s">
        <v>23434</v>
      </c>
      <c r="I5376" s="9">
        <v>3</v>
      </c>
    </row>
    <row r="5377" spans="1:9">
      <c r="A5377" s="257" t="s">
        <v>6475</v>
      </c>
      <c r="B5377" s="9">
        <v>7</v>
      </c>
      <c r="C5377" s="257" t="s">
        <v>12489</v>
      </c>
      <c r="D5377" s="9"/>
      <c r="E5377" s="9"/>
      <c r="F5377" s="257" t="s">
        <v>16727</v>
      </c>
      <c r="G5377" s="9"/>
      <c r="H5377" s="257" t="s">
        <v>23435</v>
      </c>
      <c r="I5377" s="9">
        <v>3</v>
      </c>
    </row>
    <row r="5378" spans="1:9">
      <c r="A5378" s="257" t="s">
        <v>6476</v>
      </c>
      <c r="B5378" s="9">
        <v>7</v>
      </c>
      <c r="C5378" s="257" t="s">
        <v>12489</v>
      </c>
      <c r="D5378" s="9"/>
      <c r="E5378" s="9"/>
      <c r="F5378" s="257" t="s">
        <v>16728</v>
      </c>
      <c r="G5378" s="9"/>
      <c r="H5378" s="257" t="s">
        <v>23436</v>
      </c>
      <c r="I5378" s="9">
        <v>3</v>
      </c>
    </row>
    <row r="5379" spans="1:9">
      <c r="A5379" s="257" t="s">
        <v>6477</v>
      </c>
      <c r="B5379" s="9">
        <v>7</v>
      </c>
      <c r="C5379" s="257" t="s">
        <v>12489</v>
      </c>
      <c r="D5379" s="9">
        <v>1.0178863585587755E-2</v>
      </c>
      <c r="E5379" s="9"/>
      <c r="F5379" s="257" t="s">
        <v>16729</v>
      </c>
      <c r="G5379" s="9"/>
      <c r="H5379" s="257" t="s">
        <v>23437</v>
      </c>
      <c r="I5379" s="9">
        <v>3</v>
      </c>
    </row>
    <row r="5380" spans="1:9">
      <c r="A5380" s="257" t="s">
        <v>6478</v>
      </c>
      <c r="B5380" s="9">
        <v>7</v>
      </c>
      <c r="C5380" s="257" t="s">
        <v>12489</v>
      </c>
      <c r="D5380" s="9"/>
      <c r="E5380" s="9"/>
      <c r="F5380" s="257" t="s">
        <v>16730</v>
      </c>
      <c r="G5380" s="9"/>
      <c r="H5380" s="257" t="s">
        <v>23438</v>
      </c>
      <c r="I5380" s="9">
        <v>3</v>
      </c>
    </row>
    <row r="5381" spans="1:9">
      <c r="A5381" s="257" t="s">
        <v>6479</v>
      </c>
      <c r="B5381" s="9">
        <v>7</v>
      </c>
      <c r="C5381" s="257" t="s">
        <v>12489</v>
      </c>
      <c r="D5381" s="9">
        <v>9.2384666140032864E-3</v>
      </c>
      <c r="E5381" s="9"/>
      <c r="F5381" s="257" t="s">
        <v>16731</v>
      </c>
      <c r="G5381" s="9"/>
      <c r="H5381" s="257" t="s">
        <v>23439</v>
      </c>
      <c r="I5381" s="9">
        <v>3</v>
      </c>
    </row>
    <row r="5382" spans="1:9">
      <c r="A5382" s="257" t="s">
        <v>6480</v>
      </c>
      <c r="B5382" s="9">
        <v>7</v>
      </c>
      <c r="C5382" s="257" t="s">
        <v>12489</v>
      </c>
      <c r="D5382" s="9">
        <v>6.9547183458394399E-3</v>
      </c>
      <c r="E5382" s="9"/>
      <c r="F5382" s="257" t="s">
        <v>16732</v>
      </c>
      <c r="G5382" s="9"/>
      <c r="H5382" s="257" t="s">
        <v>23440</v>
      </c>
      <c r="I5382" s="9">
        <v>3</v>
      </c>
    </row>
    <row r="5383" spans="1:9">
      <c r="A5383" s="257" t="s">
        <v>6481</v>
      </c>
      <c r="B5383" s="9">
        <v>7</v>
      </c>
      <c r="C5383" s="257" t="s">
        <v>12489</v>
      </c>
      <c r="D5383" s="9">
        <v>2.3029299593017617E-3</v>
      </c>
      <c r="E5383" s="9"/>
      <c r="F5383" s="257" t="s">
        <v>16733</v>
      </c>
      <c r="G5383" s="9"/>
      <c r="H5383" s="257" t="s">
        <v>23441</v>
      </c>
      <c r="I5383" s="9">
        <v>3</v>
      </c>
    </row>
    <row r="5384" spans="1:9">
      <c r="A5384" s="257" t="s">
        <v>6482</v>
      </c>
      <c r="B5384" s="9">
        <v>7</v>
      </c>
      <c r="C5384" s="257" t="s">
        <v>12489</v>
      </c>
      <c r="D5384" s="9">
        <v>6.9276210357893959E-3</v>
      </c>
      <c r="E5384" s="9"/>
      <c r="F5384" s="257" t="s">
        <v>16734</v>
      </c>
      <c r="G5384" s="9"/>
      <c r="H5384" s="257" t="s">
        <v>23442</v>
      </c>
      <c r="I5384" s="9">
        <v>3</v>
      </c>
    </row>
    <row r="5385" spans="1:9">
      <c r="A5385" s="257" t="s">
        <v>6483</v>
      </c>
      <c r="B5385" s="9">
        <v>7</v>
      </c>
      <c r="C5385" s="257" t="s">
        <v>12489</v>
      </c>
      <c r="D5385" s="9">
        <v>-3.7348179455102904E-3</v>
      </c>
      <c r="E5385" s="9"/>
      <c r="F5385" s="257" t="s">
        <v>16735</v>
      </c>
      <c r="G5385" s="9"/>
      <c r="H5385" s="257" t="s">
        <v>23443</v>
      </c>
      <c r="I5385" s="9">
        <v>3</v>
      </c>
    </row>
    <row r="5386" spans="1:9">
      <c r="A5386" s="257" t="s">
        <v>6484</v>
      </c>
      <c r="B5386" s="9">
        <v>7</v>
      </c>
      <c r="C5386" s="257" t="s">
        <v>12489</v>
      </c>
      <c r="D5386" s="9">
        <v>-4.1775709209867862E-3</v>
      </c>
      <c r="E5386" s="9"/>
      <c r="F5386" s="257" t="s">
        <v>16736</v>
      </c>
      <c r="G5386" s="9"/>
      <c r="H5386" s="257" t="s">
        <v>23444</v>
      </c>
      <c r="I5386" s="9">
        <v>3</v>
      </c>
    </row>
    <row r="5387" spans="1:9">
      <c r="A5387" s="257" t="s">
        <v>6485</v>
      </c>
      <c r="B5387" s="9">
        <v>8</v>
      </c>
      <c r="C5387" s="257" t="s">
        <v>12489</v>
      </c>
      <c r="D5387" s="9">
        <v>8.0905610912038965E-3</v>
      </c>
      <c r="E5387" s="9"/>
      <c r="F5387" s="257" t="s">
        <v>16737</v>
      </c>
      <c r="G5387" s="9"/>
      <c r="H5387" s="257" t="s">
        <v>23445</v>
      </c>
      <c r="I5387" s="9">
        <v>3</v>
      </c>
    </row>
    <row r="5388" spans="1:9">
      <c r="A5388" s="257" t="s">
        <v>6486</v>
      </c>
      <c r="B5388" s="9">
        <v>8</v>
      </c>
      <c r="C5388" s="257" t="s">
        <v>12489</v>
      </c>
      <c r="D5388" s="9">
        <v>8.0905610912038965E-3</v>
      </c>
      <c r="E5388" s="9"/>
      <c r="F5388" s="257" t="s">
        <v>16738</v>
      </c>
      <c r="G5388" s="9"/>
      <c r="H5388" s="257" t="s">
        <v>23446</v>
      </c>
      <c r="I5388" s="9">
        <v>3</v>
      </c>
    </row>
    <row r="5389" spans="1:9">
      <c r="A5389" s="257" t="s">
        <v>6487</v>
      </c>
      <c r="B5389" s="9">
        <v>8</v>
      </c>
      <c r="C5389" s="257" t="s">
        <v>12489</v>
      </c>
      <c r="D5389" s="9">
        <v>4.6117304519982154E-3</v>
      </c>
      <c r="E5389" s="9"/>
      <c r="F5389" s="257" t="s">
        <v>16739</v>
      </c>
      <c r="G5389" s="9"/>
      <c r="H5389" s="257" t="s">
        <v>23447</v>
      </c>
      <c r="I5389" s="9">
        <v>3</v>
      </c>
    </row>
    <row r="5390" spans="1:9">
      <c r="A5390" s="257" t="s">
        <v>6488</v>
      </c>
      <c r="B5390" s="9">
        <v>8</v>
      </c>
      <c r="C5390" s="257" t="s">
        <v>12489</v>
      </c>
      <c r="D5390" s="9"/>
      <c r="E5390" s="9"/>
      <c r="F5390" s="257" t="s">
        <v>16740</v>
      </c>
      <c r="G5390" s="9"/>
      <c r="H5390" s="257" t="s">
        <v>23448</v>
      </c>
      <c r="I5390" s="9">
        <v>3</v>
      </c>
    </row>
    <row r="5391" spans="1:9">
      <c r="A5391" s="257" t="s">
        <v>6489</v>
      </c>
      <c r="B5391" s="9">
        <v>8</v>
      </c>
      <c r="C5391" s="257" t="s">
        <v>12489</v>
      </c>
      <c r="D5391" s="9"/>
      <c r="E5391" s="9"/>
      <c r="F5391" s="257" t="s">
        <v>16741</v>
      </c>
      <c r="G5391" s="9"/>
      <c r="H5391" s="257" t="s">
        <v>23449</v>
      </c>
      <c r="I5391" s="9">
        <v>3</v>
      </c>
    </row>
    <row r="5392" spans="1:9">
      <c r="A5392" s="257" t="s">
        <v>6490</v>
      </c>
      <c r="B5392" s="9">
        <v>8</v>
      </c>
      <c r="C5392" s="257" t="s">
        <v>12489</v>
      </c>
      <c r="D5392" s="9">
        <v>1.1194703198707355E-2</v>
      </c>
      <c r="E5392" s="9"/>
      <c r="F5392" s="257" t="s">
        <v>16742</v>
      </c>
      <c r="G5392" s="9"/>
      <c r="H5392" s="257" t="s">
        <v>23450</v>
      </c>
      <c r="I5392" s="9">
        <v>3</v>
      </c>
    </row>
    <row r="5393" spans="1:9">
      <c r="A5393" s="257" t="s">
        <v>6491</v>
      </c>
      <c r="B5393" s="9">
        <v>8</v>
      </c>
      <c r="C5393" s="257" t="s">
        <v>12489</v>
      </c>
      <c r="D5393" s="9">
        <v>1.1194703198707355E-2</v>
      </c>
      <c r="E5393" s="9"/>
      <c r="F5393" s="257" t="s">
        <v>16743</v>
      </c>
      <c r="G5393" s="9"/>
      <c r="H5393" s="257" t="s">
        <v>23451</v>
      </c>
      <c r="I5393" s="9">
        <v>3</v>
      </c>
    </row>
    <row r="5394" spans="1:9">
      <c r="A5394" s="257" t="s">
        <v>6492</v>
      </c>
      <c r="B5394" s="9">
        <v>8</v>
      </c>
      <c r="C5394" s="257" t="s">
        <v>12489</v>
      </c>
      <c r="D5394" s="9">
        <v>1.1194703198707355E-2</v>
      </c>
      <c r="E5394" s="9"/>
      <c r="F5394" s="257" t="s">
        <v>16744</v>
      </c>
      <c r="G5394" s="9"/>
      <c r="H5394" s="257" t="s">
        <v>23452</v>
      </c>
      <c r="I5394" s="9">
        <v>3</v>
      </c>
    </row>
    <row r="5395" spans="1:9">
      <c r="A5395" s="257" t="s">
        <v>6493</v>
      </c>
      <c r="B5395" s="9">
        <v>8</v>
      </c>
      <c r="C5395" s="257" t="s">
        <v>12489</v>
      </c>
      <c r="D5395" s="9">
        <v>1.5369076066696142E-2</v>
      </c>
      <c r="E5395" s="9"/>
      <c r="F5395" s="257" t="s">
        <v>16745</v>
      </c>
      <c r="G5395" s="9"/>
      <c r="H5395" s="257" t="s">
        <v>23453</v>
      </c>
      <c r="I5395" s="9">
        <v>3</v>
      </c>
    </row>
    <row r="5396" spans="1:9">
      <c r="A5396" s="257" t="s">
        <v>6494</v>
      </c>
      <c r="B5396" s="9">
        <v>8</v>
      </c>
      <c r="C5396" s="257" t="s">
        <v>12489</v>
      </c>
      <c r="D5396" s="9">
        <v>1.5369076066696142E-2</v>
      </c>
      <c r="E5396" s="9"/>
      <c r="F5396" s="257" t="s">
        <v>16746</v>
      </c>
      <c r="G5396" s="9"/>
      <c r="H5396" s="257" t="s">
        <v>23454</v>
      </c>
      <c r="I5396" s="9">
        <v>3</v>
      </c>
    </row>
    <row r="5397" spans="1:9">
      <c r="A5397" s="257" t="s">
        <v>6495</v>
      </c>
      <c r="B5397" s="9">
        <v>8</v>
      </c>
      <c r="C5397" s="257" t="s">
        <v>12489</v>
      </c>
      <c r="D5397" s="9">
        <v>-5.1704955125131211E-3</v>
      </c>
      <c r="E5397" s="9"/>
      <c r="F5397" s="257" t="s">
        <v>16747</v>
      </c>
      <c r="G5397" s="9"/>
      <c r="H5397" s="257" t="s">
        <v>23455</v>
      </c>
      <c r="I5397" s="9">
        <v>3</v>
      </c>
    </row>
    <row r="5398" spans="1:9">
      <c r="A5398" s="257" t="s">
        <v>6496</v>
      </c>
      <c r="B5398" s="9">
        <v>8</v>
      </c>
      <c r="C5398" s="257" t="s">
        <v>12489</v>
      </c>
      <c r="D5398" s="9"/>
      <c r="E5398" s="9"/>
      <c r="F5398" s="257" t="s">
        <v>16748</v>
      </c>
      <c r="G5398" s="9"/>
      <c r="H5398" s="257" t="s">
        <v>23456</v>
      </c>
      <c r="I5398" s="9">
        <v>3</v>
      </c>
    </row>
    <row r="5399" spans="1:9">
      <c r="A5399" s="257" t="s">
        <v>6497</v>
      </c>
      <c r="B5399" s="9">
        <v>8</v>
      </c>
      <c r="C5399" s="257" t="s">
        <v>12489</v>
      </c>
      <c r="D5399" s="9"/>
      <c r="E5399" s="9"/>
      <c r="F5399" s="257" t="s">
        <v>16749</v>
      </c>
      <c r="G5399" s="9"/>
      <c r="H5399" s="257" t="s">
        <v>23457</v>
      </c>
      <c r="I5399" s="9">
        <v>3</v>
      </c>
    </row>
    <row r="5400" spans="1:9">
      <c r="A5400" s="257" t="s">
        <v>6498</v>
      </c>
      <c r="B5400" s="9">
        <v>8</v>
      </c>
      <c r="C5400" s="257" t="s">
        <v>12489</v>
      </c>
      <c r="D5400" s="9"/>
      <c r="E5400" s="9"/>
      <c r="F5400" s="257" t="s">
        <v>16750</v>
      </c>
      <c r="G5400" s="9"/>
      <c r="H5400" s="257" t="s">
        <v>23458</v>
      </c>
      <c r="I5400" s="9">
        <v>3</v>
      </c>
    </row>
    <row r="5401" spans="1:9">
      <c r="A5401" s="257" t="s">
        <v>6499</v>
      </c>
      <c r="B5401" s="9">
        <v>8</v>
      </c>
      <c r="C5401" s="257" t="s">
        <v>12489</v>
      </c>
      <c r="D5401" s="9"/>
      <c r="E5401" s="9"/>
      <c r="F5401" s="257" t="s">
        <v>16751</v>
      </c>
      <c r="G5401" s="9"/>
      <c r="H5401" s="257" t="s">
        <v>23459</v>
      </c>
      <c r="I5401" s="9">
        <v>3</v>
      </c>
    </row>
    <row r="5402" spans="1:9">
      <c r="A5402" s="257" t="s">
        <v>6500</v>
      </c>
      <c r="B5402" s="9">
        <v>8</v>
      </c>
      <c r="C5402" s="257" t="s">
        <v>12489</v>
      </c>
      <c r="D5402" s="9"/>
      <c r="E5402" s="9"/>
      <c r="F5402" s="257" t="s">
        <v>16752</v>
      </c>
      <c r="G5402" s="9"/>
      <c r="H5402" s="257" t="s">
        <v>23460</v>
      </c>
      <c r="I5402" s="9">
        <v>3</v>
      </c>
    </row>
    <row r="5403" spans="1:9">
      <c r="A5403" s="257" t="s">
        <v>6501</v>
      </c>
      <c r="B5403" s="9">
        <v>8</v>
      </c>
      <c r="C5403" s="257" t="s">
        <v>12489</v>
      </c>
      <c r="D5403" s="9"/>
      <c r="E5403" s="9"/>
      <c r="F5403" s="257" t="s">
        <v>16753</v>
      </c>
      <c r="G5403" s="9"/>
      <c r="H5403" s="257" t="s">
        <v>23461</v>
      </c>
      <c r="I5403" s="9">
        <v>3</v>
      </c>
    </row>
    <row r="5404" spans="1:9">
      <c r="A5404" s="257" t="s">
        <v>6502</v>
      </c>
      <c r="B5404" s="9">
        <v>8</v>
      </c>
      <c r="C5404" s="257" t="s">
        <v>12489</v>
      </c>
      <c r="D5404" s="9">
        <v>9.6397251343161242E-3</v>
      </c>
      <c r="E5404" s="9"/>
      <c r="F5404" s="257" t="s">
        <v>16754</v>
      </c>
      <c r="G5404" s="9"/>
      <c r="H5404" s="257" t="s">
        <v>23462</v>
      </c>
      <c r="I5404" s="9">
        <v>3</v>
      </c>
    </row>
    <row r="5405" spans="1:9">
      <c r="A5405" s="257" t="s">
        <v>6503</v>
      </c>
      <c r="B5405" s="9">
        <v>8</v>
      </c>
      <c r="C5405" s="257" t="s">
        <v>12489</v>
      </c>
      <c r="D5405" s="9"/>
      <c r="E5405" s="9"/>
      <c r="F5405" s="257" t="s">
        <v>16755</v>
      </c>
      <c r="G5405" s="9"/>
      <c r="H5405" s="257" t="s">
        <v>23463</v>
      </c>
      <c r="I5405" s="9">
        <v>3</v>
      </c>
    </row>
    <row r="5406" spans="1:9">
      <c r="A5406" s="257" t="s">
        <v>6504</v>
      </c>
      <c r="B5406" s="9">
        <v>8</v>
      </c>
      <c r="C5406" s="257" t="s">
        <v>12489</v>
      </c>
      <c r="D5406" s="9">
        <v>8.6833519445558612E-3</v>
      </c>
      <c r="E5406" s="9"/>
      <c r="F5406" s="257" t="s">
        <v>16756</v>
      </c>
      <c r="G5406" s="9"/>
      <c r="H5406" s="257" t="s">
        <v>23464</v>
      </c>
      <c r="I5406" s="9">
        <v>3</v>
      </c>
    </row>
    <row r="5407" spans="1:9">
      <c r="A5407" s="257" t="s">
        <v>6505</v>
      </c>
      <c r="B5407" s="9">
        <v>8</v>
      </c>
      <c r="C5407" s="257" t="s">
        <v>12489</v>
      </c>
      <c r="D5407" s="9">
        <v>7.538914681252562E-3</v>
      </c>
      <c r="E5407" s="9"/>
      <c r="F5407" s="257" t="s">
        <v>16757</v>
      </c>
      <c r="G5407" s="9"/>
      <c r="H5407" s="257" t="s">
        <v>23465</v>
      </c>
      <c r="I5407" s="9">
        <v>3</v>
      </c>
    </row>
    <row r="5408" spans="1:9">
      <c r="A5408" s="257" t="s">
        <v>6506</v>
      </c>
      <c r="B5408" s="9">
        <v>8</v>
      </c>
      <c r="C5408" s="257" t="s">
        <v>12489</v>
      </c>
      <c r="D5408" s="9">
        <v>2.3022181413043623E-3</v>
      </c>
      <c r="E5408" s="9"/>
      <c r="F5408" s="257" t="s">
        <v>16758</v>
      </c>
      <c r="G5408" s="9"/>
      <c r="H5408" s="257" t="s">
        <v>23466</v>
      </c>
      <c r="I5408" s="9">
        <v>3</v>
      </c>
    </row>
    <row r="5409" spans="1:9">
      <c r="A5409" s="257" t="s">
        <v>6507</v>
      </c>
      <c r="B5409" s="9">
        <v>8</v>
      </c>
      <c r="C5409" s="257" t="s">
        <v>12489</v>
      </c>
      <c r="D5409" s="9">
        <v>8.2871060096914168E-3</v>
      </c>
      <c r="E5409" s="9"/>
      <c r="F5409" s="257" t="s">
        <v>16759</v>
      </c>
      <c r="G5409" s="9"/>
      <c r="H5409" s="257" t="s">
        <v>23467</v>
      </c>
      <c r="I5409" s="9">
        <v>3</v>
      </c>
    </row>
    <row r="5410" spans="1:9">
      <c r="A5410" s="257" t="s">
        <v>6508</v>
      </c>
      <c r="B5410" s="9">
        <v>8</v>
      </c>
      <c r="C5410" s="257" t="s">
        <v>12489</v>
      </c>
      <c r="D5410" s="9">
        <v>-2.3436388970730138E-3</v>
      </c>
      <c r="E5410" s="9"/>
      <c r="F5410" s="257" t="s">
        <v>16760</v>
      </c>
      <c r="G5410" s="9"/>
      <c r="H5410" s="257" t="s">
        <v>23468</v>
      </c>
      <c r="I5410" s="9">
        <v>3</v>
      </c>
    </row>
    <row r="5411" spans="1:9">
      <c r="A5411" s="257" t="s">
        <v>6509</v>
      </c>
      <c r="B5411" s="9">
        <v>8</v>
      </c>
      <c r="C5411" s="257" t="s">
        <v>12489</v>
      </c>
      <c r="D5411" s="9">
        <v>-4.6297179429825447E-3</v>
      </c>
      <c r="E5411" s="9"/>
      <c r="F5411" s="257" t="s">
        <v>16761</v>
      </c>
      <c r="G5411" s="9"/>
      <c r="H5411" s="257" t="s">
        <v>23469</v>
      </c>
      <c r="I5411" s="9">
        <v>3</v>
      </c>
    </row>
    <row r="5412" spans="1:9">
      <c r="A5412" s="257" t="s">
        <v>6510</v>
      </c>
      <c r="B5412" s="9">
        <v>9</v>
      </c>
      <c r="C5412" s="257" t="s">
        <v>12489</v>
      </c>
      <c r="D5412" s="9">
        <v>8.0129946912151431E-3</v>
      </c>
      <c r="E5412" s="9"/>
      <c r="F5412" s="257" t="s">
        <v>16762</v>
      </c>
      <c r="G5412" s="9"/>
      <c r="H5412" s="257" t="s">
        <v>23470</v>
      </c>
      <c r="I5412" s="9">
        <v>3</v>
      </c>
    </row>
    <row r="5413" spans="1:9">
      <c r="A5413" s="257" t="s">
        <v>6511</v>
      </c>
      <c r="B5413" s="9">
        <v>9</v>
      </c>
      <c r="C5413" s="257" t="s">
        <v>12489</v>
      </c>
      <c r="D5413" s="9">
        <v>8.0129946912151431E-3</v>
      </c>
      <c r="E5413" s="9"/>
      <c r="F5413" s="257" t="s">
        <v>16763</v>
      </c>
      <c r="G5413" s="9"/>
      <c r="H5413" s="257" t="s">
        <v>23471</v>
      </c>
      <c r="I5413" s="9">
        <v>3</v>
      </c>
    </row>
    <row r="5414" spans="1:9">
      <c r="A5414" s="257" t="s">
        <v>6512</v>
      </c>
      <c r="B5414" s="9">
        <v>9</v>
      </c>
      <c r="C5414" s="257" t="s">
        <v>12489</v>
      </c>
      <c r="D5414" s="9">
        <v>4.7370832644419488E-3</v>
      </c>
      <c r="E5414" s="9"/>
      <c r="F5414" s="257" t="s">
        <v>16764</v>
      </c>
      <c r="G5414" s="9"/>
      <c r="H5414" s="257" t="s">
        <v>23472</v>
      </c>
      <c r="I5414" s="9">
        <v>3</v>
      </c>
    </row>
    <row r="5415" spans="1:9">
      <c r="A5415" s="257" t="s">
        <v>6513</v>
      </c>
      <c r="B5415" s="9">
        <v>9</v>
      </c>
      <c r="C5415" s="257" t="s">
        <v>12489</v>
      </c>
      <c r="D5415" s="9"/>
      <c r="E5415" s="9"/>
      <c r="F5415" s="257" t="s">
        <v>16765</v>
      </c>
      <c r="G5415" s="9"/>
      <c r="H5415" s="257" t="s">
        <v>23473</v>
      </c>
      <c r="I5415" s="9">
        <v>3</v>
      </c>
    </row>
    <row r="5416" spans="1:9">
      <c r="A5416" s="257" t="s">
        <v>6514</v>
      </c>
      <c r="B5416" s="9">
        <v>9</v>
      </c>
      <c r="C5416" s="257" t="s">
        <v>12489</v>
      </c>
      <c r="D5416" s="9"/>
      <c r="E5416" s="9"/>
      <c r="F5416" s="257" t="s">
        <v>16766</v>
      </c>
      <c r="G5416" s="9"/>
      <c r="H5416" s="257" t="s">
        <v>23474</v>
      </c>
      <c r="I5416" s="9">
        <v>3</v>
      </c>
    </row>
    <row r="5417" spans="1:9">
      <c r="A5417" s="257" t="s">
        <v>6515</v>
      </c>
      <c r="B5417" s="9">
        <v>9</v>
      </c>
      <c r="C5417" s="257" t="s">
        <v>12489</v>
      </c>
      <c r="D5417" s="9">
        <v>1.1746123943269866E-2</v>
      </c>
      <c r="E5417" s="9"/>
      <c r="F5417" s="257" t="s">
        <v>16767</v>
      </c>
      <c r="G5417" s="9"/>
      <c r="H5417" s="257" t="s">
        <v>23475</v>
      </c>
      <c r="I5417" s="9">
        <v>3</v>
      </c>
    </row>
    <row r="5418" spans="1:9">
      <c r="A5418" s="257" t="s">
        <v>6516</v>
      </c>
      <c r="B5418" s="9">
        <v>9</v>
      </c>
      <c r="C5418" s="257" t="s">
        <v>12489</v>
      </c>
      <c r="D5418" s="9">
        <v>1.1746123943269866E-2</v>
      </c>
      <c r="E5418" s="9"/>
      <c r="F5418" s="257" t="s">
        <v>16768</v>
      </c>
      <c r="G5418" s="9"/>
      <c r="H5418" s="257" t="s">
        <v>23476</v>
      </c>
      <c r="I5418" s="9">
        <v>3</v>
      </c>
    </row>
    <row r="5419" spans="1:9">
      <c r="A5419" s="257" t="s">
        <v>6517</v>
      </c>
      <c r="B5419" s="9">
        <v>9</v>
      </c>
      <c r="C5419" s="257" t="s">
        <v>12489</v>
      </c>
      <c r="D5419" s="9">
        <v>1.1746123943269866E-2</v>
      </c>
      <c r="E5419" s="9"/>
      <c r="F5419" s="257" t="s">
        <v>16769</v>
      </c>
      <c r="G5419" s="9"/>
      <c r="H5419" s="257" t="s">
        <v>23477</v>
      </c>
      <c r="I5419" s="9">
        <v>3</v>
      </c>
    </row>
    <row r="5420" spans="1:9">
      <c r="A5420" s="257" t="s">
        <v>6518</v>
      </c>
      <c r="B5420" s="9">
        <v>9</v>
      </c>
      <c r="C5420" s="257" t="s">
        <v>12489</v>
      </c>
      <c r="D5420" s="9">
        <v>1.623366830930888E-2</v>
      </c>
      <c r="E5420" s="9"/>
      <c r="F5420" s="257" t="s">
        <v>16770</v>
      </c>
      <c r="G5420" s="9"/>
      <c r="H5420" s="257" t="s">
        <v>23478</v>
      </c>
      <c r="I5420" s="9">
        <v>3</v>
      </c>
    </row>
    <row r="5421" spans="1:9">
      <c r="A5421" s="257" t="s">
        <v>6519</v>
      </c>
      <c r="B5421" s="9">
        <v>9</v>
      </c>
      <c r="C5421" s="257" t="s">
        <v>12489</v>
      </c>
      <c r="D5421" s="9">
        <v>1.623366830930888E-2</v>
      </c>
      <c r="E5421" s="9"/>
      <c r="F5421" s="257" t="s">
        <v>16771</v>
      </c>
      <c r="G5421" s="9"/>
      <c r="H5421" s="257" t="s">
        <v>23479</v>
      </c>
      <c r="I5421" s="9">
        <v>3</v>
      </c>
    </row>
    <row r="5422" spans="1:9">
      <c r="A5422" s="257" t="s">
        <v>6520</v>
      </c>
      <c r="B5422" s="9">
        <v>9</v>
      </c>
      <c r="C5422" s="257" t="s">
        <v>12489</v>
      </c>
      <c r="D5422" s="9">
        <v>-4.9696058745183512E-3</v>
      </c>
      <c r="E5422" s="9"/>
      <c r="F5422" s="257" t="s">
        <v>16772</v>
      </c>
      <c r="G5422" s="9"/>
      <c r="H5422" s="257" t="s">
        <v>23480</v>
      </c>
      <c r="I5422" s="9">
        <v>3</v>
      </c>
    </row>
    <row r="5423" spans="1:9">
      <c r="A5423" s="257" t="s">
        <v>6521</v>
      </c>
      <c r="B5423" s="9">
        <v>9</v>
      </c>
      <c r="C5423" s="257" t="s">
        <v>12489</v>
      </c>
      <c r="D5423" s="9"/>
      <c r="E5423" s="9"/>
      <c r="F5423" s="257" t="s">
        <v>16773</v>
      </c>
      <c r="G5423" s="9"/>
      <c r="H5423" s="257" t="s">
        <v>23481</v>
      </c>
      <c r="I5423" s="9">
        <v>3</v>
      </c>
    </row>
    <row r="5424" spans="1:9">
      <c r="A5424" s="257" t="s">
        <v>6522</v>
      </c>
      <c r="B5424" s="9">
        <v>9</v>
      </c>
      <c r="C5424" s="257" t="s">
        <v>12489</v>
      </c>
      <c r="D5424" s="9"/>
      <c r="E5424" s="9"/>
      <c r="F5424" s="257" t="s">
        <v>16774</v>
      </c>
      <c r="G5424" s="9"/>
      <c r="H5424" s="257" t="s">
        <v>23482</v>
      </c>
      <c r="I5424" s="9">
        <v>3</v>
      </c>
    </row>
    <row r="5425" spans="1:9">
      <c r="A5425" s="257" t="s">
        <v>6523</v>
      </c>
      <c r="B5425" s="9">
        <v>9</v>
      </c>
      <c r="C5425" s="257" t="s">
        <v>12489</v>
      </c>
      <c r="D5425" s="9"/>
      <c r="E5425" s="9"/>
      <c r="F5425" s="257" t="s">
        <v>16775</v>
      </c>
      <c r="G5425" s="9"/>
      <c r="H5425" s="257" t="s">
        <v>23483</v>
      </c>
      <c r="I5425" s="9">
        <v>3</v>
      </c>
    </row>
    <row r="5426" spans="1:9">
      <c r="A5426" s="257" t="s">
        <v>6524</v>
      </c>
      <c r="B5426" s="9">
        <v>9</v>
      </c>
      <c r="C5426" s="257" t="s">
        <v>12489</v>
      </c>
      <c r="D5426" s="9"/>
      <c r="E5426" s="9"/>
      <c r="F5426" s="257" t="s">
        <v>16776</v>
      </c>
      <c r="G5426" s="9"/>
      <c r="H5426" s="257" t="s">
        <v>23484</v>
      </c>
      <c r="I5426" s="9">
        <v>3</v>
      </c>
    </row>
    <row r="5427" spans="1:9">
      <c r="A5427" s="257" t="s">
        <v>6525</v>
      </c>
      <c r="B5427" s="9">
        <v>9</v>
      </c>
      <c r="C5427" s="257" t="s">
        <v>12489</v>
      </c>
      <c r="D5427" s="9"/>
      <c r="E5427" s="9"/>
      <c r="F5427" s="257" t="s">
        <v>16777</v>
      </c>
      <c r="G5427" s="9"/>
      <c r="H5427" s="257" t="s">
        <v>23485</v>
      </c>
      <c r="I5427" s="9">
        <v>3</v>
      </c>
    </row>
    <row r="5428" spans="1:9">
      <c r="A5428" s="257" t="s">
        <v>6526</v>
      </c>
      <c r="B5428" s="9">
        <v>9</v>
      </c>
      <c r="C5428" s="257" t="s">
        <v>12489</v>
      </c>
      <c r="D5428" s="9"/>
      <c r="E5428" s="9"/>
      <c r="F5428" s="257" t="s">
        <v>16778</v>
      </c>
      <c r="G5428" s="9"/>
      <c r="H5428" s="257" t="s">
        <v>23486</v>
      </c>
      <c r="I5428" s="9">
        <v>3</v>
      </c>
    </row>
    <row r="5429" spans="1:9">
      <c r="A5429" s="257" t="s">
        <v>6527</v>
      </c>
      <c r="B5429" s="9">
        <v>9</v>
      </c>
      <c r="C5429" s="257" t="s">
        <v>12489</v>
      </c>
      <c r="D5429" s="9">
        <v>9.6175159378487328E-3</v>
      </c>
      <c r="E5429" s="9"/>
      <c r="F5429" s="257" t="s">
        <v>16779</v>
      </c>
      <c r="G5429" s="9"/>
      <c r="H5429" s="257" t="s">
        <v>23487</v>
      </c>
      <c r="I5429" s="9">
        <v>3</v>
      </c>
    </row>
    <row r="5430" spans="1:9">
      <c r="A5430" s="257" t="s">
        <v>6528</v>
      </c>
      <c r="B5430" s="9">
        <v>9</v>
      </c>
      <c r="C5430" s="257" t="s">
        <v>12489</v>
      </c>
      <c r="D5430" s="9"/>
      <c r="E5430" s="9"/>
      <c r="F5430" s="257" t="s">
        <v>16780</v>
      </c>
      <c r="G5430" s="9"/>
      <c r="H5430" s="257" t="s">
        <v>23488</v>
      </c>
      <c r="I5430" s="9">
        <v>3</v>
      </c>
    </row>
    <row r="5431" spans="1:9">
      <c r="A5431" s="257" t="s">
        <v>6529</v>
      </c>
      <c r="B5431" s="9">
        <v>9</v>
      </c>
      <c r="C5431" s="257" t="s">
        <v>12489</v>
      </c>
      <c r="D5431" s="9">
        <v>8.714117876702631E-3</v>
      </c>
      <c r="E5431" s="9"/>
      <c r="F5431" s="257" t="s">
        <v>16781</v>
      </c>
      <c r="G5431" s="9"/>
      <c r="H5431" s="257" t="s">
        <v>23489</v>
      </c>
      <c r="I5431" s="9">
        <v>3</v>
      </c>
    </row>
    <row r="5432" spans="1:9">
      <c r="A5432" s="257" t="s">
        <v>6530</v>
      </c>
      <c r="B5432" s="9">
        <v>9</v>
      </c>
      <c r="C5432" s="257" t="s">
        <v>12489</v>
      </c>
      <c r="D5432" s="9">
        <v>7.0702291596736458E-3</v>
      </c>
      <c r="E5432" s="9"/>
      <c r="F5432" s="257" t="s">
        <v>16782</v>
      </c>
      <c r="G5432" s="9"/>
      <c r="H5432" s="257" t="s">
        <v>23490</v>
      </c>
      <c r="I5432" s="9">
        <v>3</v>
      </c>
    </row>
    <row r="5433" spans="1:9">
      <c r="A5433" s="257" t="s">
        <v>6531</v>
      </c>
      <c r="B5433" s="9">
        <v>9</v>
      </c>
      <c r="C5433" s="257" t="s">
        <v>12489</v>
      </c>
      <c r="D5433" s="9">
        <v>2.2806541471394118E-3</v>
      </c>
      <c r="E5433" s="9"/>
      <c r="F5433" s="257" t="s">
        <v>16783</v>
      </c>
      <c r="G5433" s="9"/>
      <c r="H5433" s="257" t="s">
        <v>23491</v>
      </c>
      <c r="I5433" s="9">
        <v>3</v>
      </c>
    </row>
    <row r="5434" spans="1:9">
      <c r="A5434" s="257" t="s">
        <v>6532</v>
      </c>
      <c r="B5434" s="9">
        <v>9</v>
      </c>
      <c r="C5434" s="257" t="s">
        <v>12489</v>
      </c>
      <c r="D5434" s="9">
        <v>8.6024617664559044E-3</v>
      </c>
      <c r="E5434" s="9"/>
      <c r="F5434" s="257" t="s">
        <v>16784</v>
      </c>
      <c r="G5434" s="9"/>
      <c r="H5434" s="257" t="s">
        <v>23492</v>
      </c>
      <c r="I5434" s="9">
        <v>3</v>
      </c>
    </row>
    <row r="5435" spans="1:9">
      <c r="A5435" s="257" t="s">
        <v>6533</v>
      </c>
      <c r="B5435" s="9">
        <v>9</v>
      </c>
      <c r="C5435" s="257" t="s">
        <v>12489</v>
      </c>
      <c r="D5435" s="9">
        <v>-2.0836672745609746E-3</v>
      </c>
      <c r="E5435" s="9"/>
      <c r="F5435" s="257" t="s">
        <v>16785</v>
      </c>
      <c r="G5435" s="9"/>
      <c r="H5435" s="257" t="s">
        <v>23493</v>
      </c>
      <c r="I5435" s="9">
        <v>3</v>
      </c>
    </row>
    <row r="5436" spans="1:9">
      <c r="A5436" s="257" t="s">
        <v>6534</v>
      </c>
      <c r="B5436" s="9">
        <v>9</v>
      </c>
      <c r="C5436" s="257" t="s">
        <v>12489</v>
      </c>
      <c r="D5436" s="9">
        <v>-4.3229901072297265E-3</v>
      </c>
      <c r="E5436" s="9"/>
      <c r="F5436" s="257" t="s">
        <v>16786</v>
      </c>
      <c r="G5436" s="9"/>
      <c r="H5436" s="257" t="s">
        <v>23494</v>
      </c>
      <c r="I5436" s="9">
        <v>3</v>
      </c>
    </row>
    <row r="5437" spans="1:9">
      <c r="A5437" s="257" t="s">
        <v>6535</v>
      </c>
      <c r="B5437" s="9">
        <v>10</v>
      </c>
      <c r="C5437" s="257" t="s">
        <v>12489</v>
      </c>
      <c r="D5437" s="9">
        <v>6.4765200179645217E-3</v>
      </c>
      <c r="E5437" s="9"/>
      <c r="F5437" s="257" t="s">
        <v>16787</v>
      </c>
      <c r="G5437" s="9"/>
      <c r="H5437" s="257" t="s">
        <v>23495</v>
      </c>
      <c r="I5437" s="9">
        <v>3</v>
      </c>
    </row>
    <row r="5438" spans="1:9">
      <c r="A5438" s="257" t="s">
        <v>6536</v>
      </c>
      <c r="B5438" s="9">
        <v>10</v>
      </c>
      <c r="C5438" s="257" t="s">
        <v>12489</v>
      </c>
      <c r="D5438" s="9">
        <v>6.4765200179645217E-3</v>
      </c>
      <c r="E5438" s="9"/>
      <c r="F5438" s="257" t="s">
        <v>16788</v>
      </c>
      <c r="G5438" s="9"/>
      <c r="H5438" s="257" t="s">
        <v>23496</v>
      </c>
      <c r="I5438" s="9">
        <v>3</v>
      </c>
    </row>
    <row r="5439" spans="1:9">
      <c r="A5439" s="257" t="s">
        <v>6537</v>
      </c>
      <c r="B5439" s="9">
        <v>10</v>
      </c>
      <c r="C5439" s="257" t="s">
        <v>12489</v>
      </c>
      <c r="D5439" s="9">
        <v>4.9036105591507752E-3</v>
      </c>
      <c r="E5439" s="9"/>
      <c r="F5439" s="257" t="s">
        <v>16789</v>
      </c>
      <c r="G5439" s="9"/>
      <c r="H5439" s="257" t="s">
        <v>23497</v>
      </c>
      <c r="I5439" s="9">
        <v>3</v>
      </c>
    </row>
    <row r="5440" spans="1:9">
      <c r="A5440" s="257" t="s">
        <v>6538</v>
      </c>
      <c r="B5440" s="9">
        <v>10</v>
      </c>
      <c r="C5440" s="257" t="s">
        <v>12489</v>
      </c>
      <c r="D5440" s="9"/>
      <c r="E5440" s="9"/>
      <c r="F5440" s="257" t="s">
        <v>16790</v>
      </c>
      <c r="G5440" s="9"/>
      <c r="H5440" s="257" t="s">
        <v>23498</v>
      </c>
      <c r="I5440" s="9">
        <v>3</v>
      </c>
    </row>
    <row r="5441" spans="1:9">
      <c r="A5441" s="257" t="s">
        <v>6539</v>
      </c>
      <c r="B5441" s="9">
        <v>10</v>
      </c>
      <c r="C5441" s="257" t="s">
        <v>12489</v>
      </c>
      <c r="D5441" s="9"/>
      <c r="E5441" s="9"/>
      <c r="F5441" s="257" t="s">
        <v>16791</v>
      </c>
      <c r="G5441" s="9"/>
      <c r="H5441" s="257" t="s">
        <v>23499</v>
      </c>
      <c r="I5441" s="9">
        <v>3</v>
      </c>
    </row>
    <row r="5442" spans="1:9">
      <c r="A5442" s="257" t="s">
        <v>6540</v>
      </c>
      <c r="B5442" s="9">
        <v>10</v>
      </c>
      <c r="C5442" s="257" t="s">
        <v>12489</v>
      </c>
      <c r="D5442" s="9">
        <v>1.0847443005808002E-2</v>
      </c>
      <c r="E5442" s="9"/>
      <c r="F5442" s="257" t="s">
        <v>16792</v>
      </c>
      <c r="G5442" s="9"/>
      <c r="H5442" s="257" t="s">
        <v>23500</v>
      </c>
      <c r="I5442" s="9">
        <v>3</v>
      </c>
    </row>
    <row r="5443" spans="1:9">
      <c r="A5443" s="257" t="s">
        <v>6541</v>
      </c>
      <c r="B5443" s="9">
        <v>10</v>
      </c>
      <c r="C5443" s="257" t="s">
        <v>12489</v>
      </c>
      <c r="D5443" s="9">
        <v>1.0847443005808002E-2</v>
      </c>
      <c r="E5443" s="9"/>
      <c r="F5443" s="257" t="s">
        <v>16793</v>
      </c>
      <c r="G5443" s="9"/>
      <c r="H5443" s="257" t="s">
        <v>23501</v>
      </c>
      <c r="I5443" s="9">
        <v>3</v>
      </c>
    </row>
    <row r="5444" spans="1:9">
      <c r="A5444" s="257" t="s">
        <v>6542</v>
      </c>
      <c r="B5444" s="9">
        <v>10</v>
      </c>
      <c r="C5444" s="257" t="s">
        <v>12489</v>
      </c>
      <c r="D5444" s="9">
        <v>1.0847443005808002E-2</v>
      </c>
      <c r="E5444" s="9"/>
      <c r="F5444" s="257" t="s">
        <v>16794</v>
      </c>
      <c r="G5444" s="9"/>
      <c r="H5444" s="257" t="s">
        <v>23502</v>
      </c>
      <c r="I5444" s="9">
        <v>3</v>
      </c>
    </row>
    <row r="5445" spans="1:9">
      <c r="A5445" s="257" t="s">
        <v>6543</v>
      </c>
      <c r="B5445" s="9">
        <v>10</v>
      </c>
      <c r="C5445" s="257" t="s">
        <v>12489</v>
      </c>
      <c r="D5445" s="9">
        <v>1.6677287220055414E-2</v>
      </c>
      <c r="E5445" s="9"/>
      <c r="F5445" s="257" t="s">
        <v>16795</v>
      </c>
      <c r="G5445" s="9"/>
      <c r="H5445" s="257" t="s">
        <v>23503</v>
      </c>
      <c r="I5445" s="9">
        <v>3</v>
      </c>
    </row>
    <row r="5446" spans="1:9">
      <c r="A5446" s="257" t="s">
        <v>6544</v>
      </c>
      <c r="B5446" s="9">
        <v>10</v>
      </c>
      <c r="C5446" s="257" t="s">
        <v>12489</v>
      </c>
      <c r="D5446" s="9">
        <v>1.6677287220055414E-2</v>
      </c>
      <c r="E5446" s="9"/>
      <c r="F5446" s="257" t="s">
        <v>16796</v>
      </c>
      <c r="G5446" s="9"/>
      <c r="H5446" s="257" t="s">
        <v>23504</v>
      </c>
      <c r="I5446" s="9">
        <v>3</v>
      </c>
    </row>
    <row r="5447" spans="1:9">
      <c r="A5447" s="257" t="s">
        <v>6545</v>
      </c>
      <c r="B5447" s="9">
        <v>10</v>
      </c>
      <c r="C5447" s="257" t="s">
        <v>12489</v>
      </c>
      <c r="D5447" s="9">
        <v>-6.3152694976430458E-3</v>
      </c>
      <c r="E5447" s="9"/>
      <c r="F5447" s="257" t="s">
        <v>16797</v>
      </c>
      <c r="G5447" s="9"/>
      <c r="H5447" s="257" t="s">
        <v>23505</v>
      </c>
      <c r="I5447" s="9">
        <v>3</v>
      </c>
    </row>
    <row r="5448" spans="1:9">
      <c r="A5448" s="257" t="s">
        <v>6546</v>
      </c>
      <c r="B5448" s="9">
        <v>10</v>
      </c>
      <c r="C5448" s="257" t="s">
        <v>12489</v>
      </c>
      <c r="D5448" s="9"/>
      <c r="E5448" s="9"/>
      <c r="F5448" s="257" t="s">
        <v>16798</v>
      </c>
      <c r="G5448" s="9"/>
      <c r="H5448" s="257" t="s">
        <v>23506</v>
      </c>
      <c r="I5448" s="9">
        <v>3</v>
      </c>
    </row>
    <row r="5449" spans="1:9">
      <c r="A5449" s="257" t="s">
        <v>6547</v>
      </c>
      <c r="B5449" s="9">
        <v>10</v>
      </c>
      <c r="C5449" s="257" t="s">
        <v>12489</v>
      </c>
      <c r="D5449" s="9"/>
      <c r="E5449" s="9"/>
      <c r="F5449" s="257" t="s">
        <v>16799</v>
      </c>
      <c r="G5449" s="9"/>
      <c r="H5449" s="257" t="s">
        <v>23507</v>
      </c>
      <c r="I5449" s="9">
        <v>3</v>
      </c>
    </row>
    <row r="5450" spans="1:9">
      <c r="A5450" s="257" t="s">
        <v>6548</v>
      </c>
      <c r="B5450" s="9">
        <v>10</v>
      </c>
      <c r="C5450" s="257" t="s">
        <v>12489</v>
      </c>
      <c r="D5450" s="9"/>
      <c r="E5450" s="9"/>
      <c r="F5450" s="257" t="s">
        <v>16800</v>
      </c>
      <c r="G5450" s="9"/>
      <c r="H5450" s="257" t="s">
        <v>23508</v>
      </c>
      <c r="I5450" s="9">
        <v>3</v>
      </c>
    </row>
    <row r="5451" spans="1:9">
      <c r="A5451" s="257" t="s">
        <v>6549</v>
      </c>
      <c r="B5451" s="9">
        <v>10</v>
      </c>
      <c r="C5451" s="257" t="s">
        <v>12489</v>
      </c>
      <c r="D5451" s="9"/>
      <c r="E5451" s="9"/>
      <c r="F5451" s="257" t="s">
        <v>16801</v>
      </c>
      <c r="G5451" s="9"/>
      <c r="H5451" s="257" t="s">
        <v>23509</v>
      </c>
      <c r="I5451" s="9">
        <v>3</v>
      </c>
    </row>
    <row r="5452" spans="1:9">
      <c r="A5452" s="257" t="s">
        <v>6550</v>
      </c>
      <c r="B5452" s="9">
        <v>10</v>
      </c>
      <c r="C5452" s="257" t="s">
        <v>12489</v>
      </c>
      <c r="D5452" s="9"/>
      <c r="E5452" s="9"/>
      <c r="F5452" s="257" t="s">
        <v>16802</v>
      </c>
      <c r="G5452" s="9"/>
      <c r="H5452" s="257" t="s">
        <v>23510</v>
      </c>
      <c r="I5452" s="9">
        <v>3</v>
      </c>
    </row>
    <row r="5453" spans="1:9">
      <c r="A5453" s="257" t="s">
        <v>6551</v>
      </c>
      <c r="B5453" s="9">
        <v>10</v>
      </c>
      <c r="C5453" s="257" t="s">
        <v>12489</v>
      </c>
      <c r="D5453" s="9"/>
      <c r="E5453" s="9"/>
      <c r="F5453" s="257" t="s">
        <v>16803</v>
      </c>
      <c r="G5453" s="9"/>
      <c r="H5453" s="257" t="s">
        <v>23511</v>
      </c>
      <c r="I5453" s="9">
        <v>3</v>
      </c>
    </row>
    <row r="5454" spans="1:9">
      <c r="A5454" s="257" t="s">
        <v>6552</v>
      </c>
      <c r="B5454" s="9">
        <v>10</v>
      </c>
      <c r="C5454" s="257" t="s">
        <v>12489</v>
      </c>
      <c r="D5454" s="9">
        <v>8.4949517384901828E-3</v>
      </c>
      <c r="E5454" s="9"/>
      <c r="F5454" s="257" t="s">
        <v>16804</v>
      </c>
      <c r="G5454" s="9"/>
      <c r="H5454" s="257" t="s">
        <v>23512</v>
      </c>
      <c r="I5454" s="9">
        <v>3</v>
      </c>
    </row>
    <row r="5455" spans="1:9">
      <c r="A5455" s="257" t="s">
        <v>6553</v>
      </c>
      <c r="B5455" s="9">
        <v>10</v>
      </c>
      <c r="C5455" s="257" t="s">
        <v>12489</v>
      </c>
      <c r="D5455" s="9"/>
      <c r="E5455" s="9"/>
      <c r="F5455" s="257" t="s">
        <v>16805</v>
      </c>
      <c r="G5455" s="9"/>
      <c r="H5455" s="257" t="s">
        <v>23513</v>
      </c>
      <c r="I5455" s="9">
        <v>3</v>
      </c>
    </row>
    <row r="5456" spans="1:9">
      <c r="A5456" s="257" t="s">
        <v>6554</v>
      </c>
      <c r="B5456" s="9">
        <v>10</v>
      </c>
      <c r="C5456" s="257" t="s">
        <v>12489</v>
      </c>
      <c r="D5456" s="9">
        <v>7.560242939015957E-3</v>
      </c>
      <c r="E5456" s="9"/>
      <c r="F5456" s="257" t="s">
        <v>16806</v>
      </c>
      <c r="G5456" s="9"/>
      <c r="H5456" s="257" t="s">
        <v>23514</v>
      </c>
      <c r="I5456" s="9">
        <v>3</v>
      </c>
    </row>
    <row r="5457" spans="1:9">
      <c r="A5457" s="257" t="s">
        <v>6555</v>
      </c>
      <c r="B5457" s="9">
        <v>10</v>
      </c>
      <c r="C5457" s="257" t="s">
        <v>12489</v>
      </c>
      <c r="D5457" s="9">
        <v>7.9098158453898438E-3</v>
      </c>
      <c r="E5457" s="9"/>
      <c r="F5457" s="257" t="s">
        <v>16807</v>
      </c>
      <c r="G5457" s="9"/>
      <c r="H5457" s="257" t="s">
        <v>23515</v>
      </c>
      <c r="I5457" s="9">
        <v>3</v>
      </c>
    </row>
    <row r="5458" spans="1:9">
      <c r="A5458" s="257" t="s">
        <v>6556</v>
      </c>
      <c r="B5458" s="9">
        <v>10</v>
      </c>
      <c r="C5458" s="257" t="s">
        <v>12489</v>
      </c>
      <c r="D5458" s="9">
        <v>2.3443047247540243E-3</v>
      </c>
      <c r="E5458" s="9"/>
      <c r="F5458" s="257" t="s">
        <v>16808</v>
      </c>
      <c r="G5458" s="9"/>
      <c r="H5458" s="257" t="s">
        <v>23516</v>
      </c>
      <c r="I5458" s="9">
        <v>3</v>
      </c>
    </row>
    <row r="5459" spans="1:9">
      <c r="A5459" s="257" t="s">
        <v>6557</v>
      </c>
      <c r="B5459" s="9">
        <v>10</v>
      </c>
      <c r="C5459" s="257" t="s">
        <v>12489</v>
      </c>
      <c r="D5459" s="9">
        <v>9.5837287608474923E-3</v>
      </c>
      <c r="E5459" s="9"/>
      <c r="F5459" s="257" t="s">
        <v>16809</v>
      </c>
      <c r="G5459" s="9"/>
      <c r="H5459" s="257" t="s">
        <v>23517</v>
      </c>
      <c r="I5459" s="9">
        <v>3</v>
      </c>
    </row>
    <row r="5460" spans="1:9">
      <c r="A5460" s="257" t="s">
        <v>6558</v>
      </c>
      <c r="B5460" s="9">
        <v>10</v>
      </c>
      <c r="C5460" s="257" t="s">
        <v>12489</v>
      </c>
      <c r="D5460" s="9">
        <v>-2.6959651846983883E-3</v>
      </c>
      <c r="E5460" s="9"/>
      <c r="F5460" s="257" t="s">
        <v>16810</v>
      </c>
      <c r="G5460" s="9"/>
      <c r="H5460" s="257" t="s">
        <v>23518</v>
      </c>
      <c r="I5460" s="9">
        <v>3</v>
      </c>
    </row>
    <row r="5461" spans="1:9">
      <c r="A5461" s="257" t="s">
        <v>6559</v>
      </c>
      <c r="B5461" s="9">
        <v>10</v>
      </c>
      <c r="C5461" s="257" t="s">
        <v>12489</v>
      </c>
      <c r="D5461" s="9">
        <v>-5.1135108159867113E-3</v>
      </c>
      <c r="E5461" s="9"/>
      <c r="F5461" s="257" t="s">
        <v>16811</v>
      </c>
      <c r="G5461" s="9"/>
      <c r="H5461" s="257" t="s">
        <v>23519</v>
      </c>
      <c r="I5461" s="9">
        <v>3</v>
      </c>
    </row>
    <row r="5462" spans="1:9">
      <c r="A5462" s="257" t="s">
        <v>6560</v>
      </c>
      <c r="B5462" s="9">
        <v>1</v>
      </c>
      <c r="C5462" s="257" t="s">
        <v>12490</v>
      </c>
      <c r="D5462" s="9">
        <v>1.1027826332997256E-2</v>
      </c>
      <c r="E5462" s="9">
        <v>1721536.5294189453</v>
      </c>
      <c r="F5462" s="257" t="s">
        <v>16812</v>
      </c>
      <c r="G5462" s="9"/>
      <c r="H5462" s="257" t="s">
        <v>23520</v>
      </c>
      <c r="I5462" s="9">
        <v>3</v>
      </c>
    </row>
    <row r="5463" spans="1:9">
      <c r="A5463" s="257" t="s">
        <v>6561</v>
      </c>
      <c r="B5463" s="9">
        <v>1</v>
      </c>
      <c r="C5463" s="257" t="s">
        <v>12490</v>
      </c>
      <c r="D5463" s="9">
        <v>1.2132348124812798E-3</v>
      </c>
      <c r="E5463" s="9">
        <v>1721536.5294189453</v>
      </c>
      <c r="F5463" s="257" t="s">
        <v>16813</v>
      </c>
      <c r="G5463" s="9"/>
      <c r="H5463" s="257" t="s">
        <v>23521</v>
      </c>
      <c r="I5463" s="9">
        <v>3</v>
      </c>
    </row>
    <row r="5464" spans="1:9">
      <c r="A5464" s="257" t="s">
        <v>6562</v>
      </c>
      <c r="B5464" s="9">
        <v>1</v>
      </c>
      <c r="C5464" s="257" t="s">
        <v>12490</v>
      </c>
      <c r="D5464" s="9">
        <v>6.2872407915801481E-3</v>
      </c>
      <c r="E5464" s="9">
        <v>1721536.5294189453</v>
      </c>
      <c r="F5464" s="257" t="s">
        <v>16814</v>
      </c>
      <c r="G5464" s="9"/>
      <c r="H5464" s="257" t="s">
        <v>23522</v>
      </c>
      <c r="I5464" s="9">
        <v>3</v>
      </c>
    </row>
    <row r="5465" spans="1:9">
      <c r="A5465" s="257" t="s">
        <v>6563</v>
      </c>
      <c r="B5465" s="9">
        <v>1</v>
      </c>
      <c r="C5465" s="257" t="s">
        <v>12490</v>
      </c>
      <c r="D5465" s="9">
        <v>2.4113190096632726E-2</v>
      </c>
      <c r="E5465" s="9">
        <v>1721536.5294189453</v>
      </c>
      <c r="F5465" s="257" t="s">
        <v>16815</v>
      </c>
      <c r="G5465" s="9"/>
      <c r="H5465" s="257" t="s">
        <v>23523</v>
      </c>
      <c r="I5465" s="9">
        <v>3</v>
      </c>
    </row>
    <row r="5466" spans="1:9">
      <c r="A5466" s="257" t="s">
        <v>6564</v>
      </c>
      <c r="B5466" s="9">
        <v>1</v>
      </c>
      <c r="C5466" s="257" t="s">
        <v>12490</v>
      </c>
      <c r="D5466" s="9">
        <v>1.0468025828335017E-2</v>
      </c>
      <c r="E5466" s="9">
        <v>1721536.5294189453</v>
      </c>
      <c r="F5466" s="257" t="s">
        <v>16816</v>
      </c>
      <c r="G5466" s="9"/>
      <c r="H5466" s="257" t="s">
        <v>23524</v>
      </c>
      <c r="I5466" s="9">
        <v>3</v>
      </c>
    </row>
    <row r="5467" spans="1:9">
      <c r="A5467" s="257" t="s">
        <v>6565</v>
      </c>
      <c r="B5467" s="9">
        <v>1</v>
      </c>
      <c r="C5467" s="257" t="s">
        <v>12490</v>
      </c>
      <c r="D5467" s="9"/>
      <c r="E5467" s="9">
        <v>1721536.5294189453</v>
      </c>
      <c r="F5467" s="257" t="s">
        <v>16817</v>
      </c>
      <c r="G5467" s="9"/>
      <c r="H5467" s="257" t="s">
        <v>23525</v>
      </c>
      <c r="I5467" s="9">
        <v>3</v>
      </c>
    </row>
    <row r="5468" spans="1:9">
      <c r="A5468" s="257" t="s">
        <v>6566</v>
      </c>
      <c r="B5468" s="9">
        <v>1</v>
      </c>
      <c r="C5468" s="257" t="s">
        <v>12490</v>
      </c>
      <c r="D5468" s="9">
        <v>1.1027826332997256E-2</v>
      </c>
      <c r="E5468" s="9">
        <v>1721536.5294189453</v>
      </c>
      <c r="F5468" s="257" t="s">
        <v>16818</v>
      </c>
      <c r="G5468" s="9"/>
      <c r="H5468" s="257" t="s">
        <v>23526</v>
      </c>
      <c r="I5468" s="9">
        <v>3</v>
      </c>
    </row>
    <row r="5469" spans="1:9">
      <c r="A5469" s="257" t="s">
        <v>6567</v>
      </c>
      <c r="B5469" s="9">
        <v>1</v>
      </c>
      <c r="C5469" s="257" t="s">
        <v>12490</v>
      </c>
      <c r="D5469" s="9">
        <v>7.0146123193394151E-3</v>
      </c>
      <c r="E5469" s="9">
        <v>1721536.5294189453</v>
      </c>
      <c r="F5469" s="257" t="s">
        <v>16819</v>
      </c>
      <c r="G5469" s="9"/>
      <c r="H5469" s="257" t="s">
        <v>23527</v>
      </c>
      <c r="I5469" s="9">
        <v>3</v>
      </c>
    </row>
    <row r="5470" spans="1:9">
      <c r="A5470" s="257" t="s">
        <v>6568</v>
      </c>
      <c r="B5470" s="9">
        <v>1</v>
      </c>
      <c r="C5470" s="257" t="s">
        <v>12490</v>
      </c>
      <c r="D5470" s="9">
        <v>8.7315220996261583E-3</v>
      </c>
      <c r="E5470" s="9">
        <v>1721536.5294189453</v>
      </c>
      <c r="F5470" s="257" t="s">
        <v>16820</v>
      </c>
      <c r="G5470" s="9"/>
      <c r="H5470" s="257" t="s">
        <v>23528</v>
      </c>
      <c r="I5470" s="9">
        <v>3</v>
      </c>
    </row>
    <row r="5471" spans="1:9">
      <c r="A5471" s="257" t="s">
        <v>6569</v>
      </c>
      <c r="B5471" s="9">
        <v>1</v>
      </c>
      <c r="C5471" s="257" t="s">
        <v>12490</v>
      </c>
      <c r="D5471" s="9">
        <v>1.3757723997457637E-2</v>
      </c>
      <c r="E5471" s="9">
        <v>1721536.5294189453</v>
      </c>
      <c r="F5471" s="257" t="s">
        <v>16821</v>
      </c>
      <c r="G5471" s="9"/>
      <c r="H5471" s="257" t="s">
        <v>23529</v>
      </c>
      <c r="I5471" s="9">
        <v>3</v>
      </c>
    </row>
    <row r="5472" spans="1:9">
      <c r="A5472" s="257" t="s">
        <v>6570</v>
      </c>
      <c r="B5472" s="9">
        <v>1</v>
      </c>
      <c r="C5472" s="257" t="s">
        <v>12490</v>
      </c>
      <c r="D5472" s="9"/>
      <c r="E5472" s="9">
        <v>1721536.5294189453</v>
      </c>
      <c r="F5472" s="257" t="s">
        <v>16822</v>
      </c>
      <c r="G5472" s="9"/>
      <c r="H5472" s="257" t="s">
        <v>23530</v>
      </c>
      <c r="I5472" s="9">
        <v>3</v>
      </c>
    </row>
    <row r="5473" spans="1:9">
      <c r="A5473" s="257" t="s">
        <v>6571</v>
      </c>
      <c r="B5473" s="9">
        <v>1</v>
      </c>
      <c r="C5473" s="257" t="s">
        <v>12490</v>
      </c>
      <c r="D5473" s="9">
        <v>2.3851802028715809E-2</v>
      </c>
      <c r="E5473" s="9">
        <v>1721536.5294189453</v>
      </c>
      <c r="F5473" s="257" t="s">
        <v>16823</v>
      </c>
      <c r="G5473" s="9"/>
      <c r="H5473" s="257" t="s">
        <v>23531</v>
      </c>
      <c r="I5473" s="9">
        <v>3</v>
      </c>
    </row>
    <row r="5474" spans="1:9">
      <c r="A5474" s="257" t="s">
        <v>6572</v>
      </c>
      <c r="B5474" s="9">
        <v>1</v>
      </c>
      <c r="C5474" s="257" t="s">
        <v>12490</v>
      </c>
      <c r="D5474" s="9"/>
      <c r="E5474" s="9">
        <v>1721536.5294189453</v>
      </c>
      <c r="F5474" s="257" t="s">
        <v>16824</v>
      </c>
      <c r="G5474" s="9"/>
      <c r="H5474" s="257" t="s">
        <v>23532</v>
      </c>
      <c r="I5474" s="9">
        <v>3</v>
      </c>
    </row>
    <row r="5475" spans="1:9">
      <c r="A5475" s="257" t="s">
        <v>6573</v>
      </c>
      <c r="B5475" s="9">
        <v>1</v>
      </c>
      <c r="C5475" s="257" t="s">
        <v>12490</v>
      </c>
      <c r="D5475" s="9">
        <v>1.6061001913693522E-2</v>
      </c>
      <c r="E5475" s="9">
        <v>1721536.5294189453</v>
      </c>
      <c r="F5475" s="257" t="s">
        <v>16825</v>
      </c>
      <c r="G5475" s="9"/>
      <c r="H5475" s="257" t="s">
        <v>23533</v>
      </c>
      <c r="I5475" s="9">
        <v>3</v>
      </c>
    </row>
    <row r="5476" spans="1:9">
      <c r="A5476" s="257" t="s">
        <v>6574</v>
      </c>
      <c r="B5476" s="9">
        <v>1</v>
      </c>
      <c r="C5476" s="257" t="s">
        <v>12490</v>
      </c>
      <c r="D5476" s="9"/>
      <c r="E5476" s="9">
        <v>1721536.5294189453</v>
      </c>
      <c r="F5476" s="257" t="s">
        <v>16826</v>
      </c>
      <c r="G5476" s="9"/>
      <c r="H5476" s="257" t="s">
        <v>23534</v>
      </c>
      <c r="I5476" s="9">
        <v>3</v>
      </c>
    </row>
    <row r="5477" spans="1:9">
      <c r="A5477" s="257" t="s">
        <v>6575</v>
      </c>
      <c r="B5477" s="9">
        <v>1</v>
      </c>
      <c r="C5477" s="257" t="s">
        <v>12490</v>
      </c>
      <c r="D5477" s="9"/>
      <c r="E5477" s="9">
        <v>1721536.5294189453</v>
      </c>
      <c r="F5477" s="257" t="s">
        <v>16827</v>
      </c>
      <c r="G5477" s="9"/>
      <c r="H5477" s="257" t="s">
        <v>23535</v>
      </c>
      <c r="I5477" s="9">
        <v>3</v>
      </c>
    </row>
    <row r="5478" spans="1:9">
      <c r="A5478" s="257" t="s">
        <v>6576</v>
      </c>
      <c r="B5478" s="9">
        <v>1</v>
      </c>
      <c r="C5478" s="257" t="s">
        <v>12490</v>
      </c>
      <c r="D5478" s="9"/>
      <c r="E5478" s="9">
        <v>1721536.5294189453</v>
      </c>
      <c r="F5478" s="257" t="s">
        <v>16828</v>
      </c>
      <c r="G5478" s="9"/>
      <c r="H5478" s="257" t="s">
        <v>23536</v>
      </c>
      <c r="I5478" s="9">
        <v>3</v>
      </c>
    </row>
    <row r="5479" spans="1:9">
      <c r="A5479" s="257" t="s">
        <v>6577</v>
      </c>
      <c r="B5479" s="9">
        <v>1</v>
      </c>
      <c r="C5479" s="257" t="s">
        <v>12490</v>
      </c>
      <c r="D5479" s="9">
        <v>1.0468025828335017E-2</v>
      </c>
      <c r="E5479" s="9">
        <v>1721536.5294189453</v>
      </c>
      <c r="F5479" s="257" t="s">
        <v>16829</v>
      </c>
      <c r="G5479" s="9"/>
      <c r="H5479" s="257" t="s">
        <v>23537</v>
      </c>
      <c r="I5479" s="9">
        <v>3</v>
      </c>
    </row>
    <row r="5480" spans="1:9">
      <c r="A5480" s="257" t="s">
        <v>6578</v>
      </c>
      <c r="B5480" s="9">
        <v>1</v>
      </c>
      <c r="C5480" s="257" t="s">
        <v>12490</v>
      </c>
      <c r="D5480" s="9"/>
      <c r="E5480" s="9">
        <v>1721536.5294189453</v>
      </c>
      <c r="F5480" s="257" t="s">
        <v>16830</v>
      </c>
      <c r="G5480" s="9"/>
      <c r="H5480" s="257" t="s">
        <v>23538</v>
      </c>
      <c r="I5480" s="9">
        <v>3</v>
      </c>
    </row>
    <row r="5481" spans="1:9">
      <c r="A5481" s="257" t="s">
        <v>6579</v>
      </c>
      <c r="B5481" s="9">
        <v>1</v>
      </c>
      <c r="C5481" s="257" t="s">
        <v>12490</v>
      </c>
      <c r="D5481" s="9">
        <v>9.2088397891329048E-3</v>
      </c>
      <c r="E5481" s="9">
        <v>1721536.5294189453</v>
      </c>
      <c r="F5481" s="257" t="s">
        <v>16831</v>
      </c>
      <c r="G5481" s="9"/>
      <c r="H5481" s="257" t="s">
        <v>23539</v>
      </c>
      <c r="I5481" s="9">
        <v>3</v>
      </c>
    </row>
    <row r="5482" spans="1:9">
      <c r="A5482" s="257" t="s">
        <v>6580</v>
      </c>
      <c r="B5482" s="9">
        <v>1</v>
      </c>
      <c r="C5482" s="257" t="s">
        <v>12490</v>
      </c>
      <c r="D5482" s="9">
        <v>1.0956873979061336E-2</v>
      </c>
      <c r="E5482" s="9">
        <v>1721536.5294189453</v>
      </c>
      <c r="F5482" s="257" t="s">
        <v>16832</v>
      </c>
      <c r="G5482" s="9"/>
      <c r="H5482" s="257" t="s">
        <v>23540</v>
      </c>
      <c r="I5482" s="9">
        <v>3</v>
      </c>
    </row>
    <row r="5483" spans="1:9">
      <c r="A5483" s="257" t="s">
        <v>6581</v>
      </c>
      <c r="B5483" s="9">
        <v>1</v>
      </c>
      <c r="C5483" s="257" t="s">
        <v>12490</v>
      </c>
      <c r="D5483" s="9"/>
      <c r="E5483" s="9">
        <v>1721536.5294189453</v>
      </c>
      <c r="F5483" s="257" t="s">
        <v>16833</v>
      </c>
      <c r="G5483" s="9"/>
      <c r="H5483" s="257" t="s">
        <v>23541</v>
      </c>
      <c r="I5483" s="9">
        <v>3</v>
      </c>
    </row>
    <row r="5484" spans="1:9">
      <c r="A5484" s="257" t="s">
        <v>6582</v>
      </c>
      <c r="B5484" s="9">
        <v>1</v>
      </c>
      <c r="C5484" s="257" t="s">
        <v>12490</v>
      </c>
      <c r="D5484" s="9">
        <v>7.0146123193394151E-3</v>
      </c>
      <c r="E5484" s="9">
        <v>1721536.5294189453</v>
      </c>
      <c r="F5484" s="257" t="s">
        <v>16834</v>
      </c>
      <c r="G5484" s="9"/>
      <c r="H5484" s="257" t="s">
        <v>23542</v>
      </c>
      <c r="I5484" s="9">
        <v>3</v>
      </c>
    </row>
    <row r="5485" spans="1:9">
      <c r="A5485" s="257" t="s">
        <v>6583</v>
      </c>
      <c r="B5485" s="9">
        <v>1</v>
      </c>
      <c r="C5485" s="257" t="s">
        <v>12490</v>
      </c>
      <c r="D5485" s="9">
        <v>1.1027826332997256E-2</v>
      </c>
      <c r="E5485" s="9">
        <v>1721536.5294189453</v>
      </c>
      <c r="F5485" s="257" t="s">
        <v>16835</v>
      </c>
      <c r="G5485" s="9"/>
      <c r="H5485" s="257" t="s">
        <v>23543</v>
      </c>
      <c r="I5485" s="9">
        <v>3</v>
      </c>
    </row>
    <row r="5486" spans="1:9">
      <c r="A5486" s="257" t="s">
        <v>6584</v>
      </c>
      <c r="B5486" s="9">
        <v>1</v>
      </c>
      <c r="C5486" s="257" t="s">
        <v>12490</v>
      </c>
      <c r="D5486" s="9">
        <v>9.6236455056904497E-3</v>
      </c>
      <c r="E5486" s="9">
        <v>1721536.5294189453</v>
      </c>
      <c r="F5486" s="257" t="s">
        <v>16836</v>
      </c>
      <c r="G5486" s="9"/>
      <c r="H5486" s="257" t="s">
        <v>23544</v>
      </c>
      <c r="I5486" s="9">
        <v>3</v>
      </c>
    </row>
    <row r="5487" spans="1:9">
      <c r="A5487" s="257" t="s">
        <v>6585</v>
      </c>
      <c r="B5487" s="9">
        <v>2</v>
      </c>
      <c r="C5487" s="257" t="s">
        <v>12490</v>
      </c>
      <c r="D5487" s="9">
        <v>2.8319278163590395E-2</v>
      </c>
      <c r="E5487" s="9">
        <v>1728935.5716552734</v>
      </c>
      <c r="F5487" s="257" t="s">
        <v>16837</v>
      </c>
      <c r="G5487" s="9"/>
      <c r="H5487" s="257" t="s">
        <v>23545</v>
      </c>
      <c r="I5487" s="9">
        <v>3</v>
      </c>
    </row>
    <row r="5488" spans="1:9">
      <c r="A5488" s="257" t="s">
        <v>6586</v>
      </c>
      <c r="B5488" s="9">
        <v>2</v>
      </c>
      <c r="C5488" s="257" t="s">
        <v>12490</v>
      </c>
      <c r="D5488" s="9">
        <v>2.0633690767847039E-2</v>
      </c>
      <c r="E5488" s="9">
        <v>1728935.5716552734</v>
      </c>
      <c r="F5488" s="257" t="s">
        <v>16838</v>
      </c>
      <c r="G5488" s="9"/>
      <c r="H5488" s="257" t="s">
        <v>23546</v>
      </c>
      <c r="I5488" s="9">
        <v>3</v>
      </c>
    </row>
    <row r="5489" spans="1:9">
      <c r="A5489" s="257" t="s">
        <v>6587</v>
      </c>
      <c r="B5489" s="9">
        <v>2</v>
      </c>
      <c r="C5489" s="257" t="s">
        <v>12490</v>
      </c>
      <c r="D5489" s="9"/>
      <c r="E5489" s="9">
        <v>1728935.5716552734</v>
      </c>
      <c r="F5489" s="257" t="s">
        <v>16839</v>
      </c>
      <c r="G5489" s="9"/>
      <c r="H5489" s="257" t="s">
        <v>23547</v>
      </c>
      <c r="I5489" s="9">
        <v>3</v>
      </c>
    </row>
    <row r="5490" spans="1:9">
      <c r="A5490" s="257" t="s">
        <v>6588</v>
      </c>
      <c r="B5490" s="9">
        <v>2</v>
      </c>
      <c r="C5490" s="257" t="s">
        <v>12490</v>
      </c>
      <c r="D5490" s="9">
        <v>2.5816213308908369E-2</v>
      </c>
      <c r="E5490" s="9">
        <v>1728935.5716552734</v>
      </c>
      <c r="F5490" s="257" t="s">
        <v>16840</v>
      </c>
      <c r="G5490" s="9"/>
      <c r="H5490" s="257" t="s">
        <v>23548</v>
      </c>
      <c r="I5490" s="9">
        <v>3</v>
      </c>
    </row>
    <row r="5491" spans="1:9">
      <c r="A5491" s="257" t="s">
        <v>6589</v>
      </c>
      <c r="B5491" s="9">
        <v>2</v>
      </c>
      <c r="C5491" s="257" t="s">
        <v>12490</v>
      </c>
      <c r="D5491" s="9"/>
      <c r="E5491" s="9">
        <v>1728935.5716552734</v>
      </c>
      <c r="F5491" s="257" t="s">
        <v>16841</v>
      </c>
      <c r="G5491" s="9"/>
      <c r="H5491" s="257" t="s">
        <v>23549</v>
      </c>
      <c r="I5491" s="9">
        <v>3</v>
      </c>
    </row>
    <row r="5492" spans="1:9">
      <c r="A5492" s="257" t="s">
        <v>6590</v>
      </c>
      <c r="B5492" s="9">
        <v>2</v>
      </c>
      <c r="C5492" s="257" t="s">
        <v>12490</v>
      </c>
      <c r="D5492" s="9"/>
      <c r="E5492" s="9">
        <v>1728935.5716552734</v>
      </c>
      <c r="F5492" s="257" t="s">
        <v>16842</v>
      </c>
      <c r="G5492" s="9"/>
      <c r="H5492" s="257" t="s">
        <v>23550</v>
      </c>
      <c r="I5492" s="9">
        <v>3</v>
      </c>
    </row>
    <row r="5493" spans="1:9">
      <c r="A5493" s="257" t="s">
        <v>6591</v>
      </c>
      <c r="B5493" s="9">
        <v>2</v>
      </c>
      <c r="C5493" s="257" t="s">
        <v>12490</v>
      </c>
      <c r="D5493" s="9"/>
      <c r="E5493" s="9">
        <v>1728935.5716552734</v>
      </c>
      <c r="F5493" s="257" t="s">
        <v>16843</v>
      </c>
      <c r="G5493" s="9"/>
      <c r="H5493" s="257" t="s">
        <v>23551</v>
      </c>
      <c r="I5493" s="9">
        <v>3</v>
      </c>
    </row>
    <row r="5494" spans="1:9">
      <c r="A5494" s="257" t="s">
        <v>6592</v>
      </c>
      <c r="B5494" s="9">
        <v>2</v>
      </c>
      <c r="C5494" s="257" t="s">
        <v>12490</v>
      </c>
      <c r="D5494" s="9"/>
      <c r="E5494" s="9">
        <v>1728935.5716552734</v>
      </c>
      <c r="F5494" s="257" t="s">
        <v>16844</v>
      </c>
      <c r="G5494" s="9"/>
      <c r="H5494" s="257" t="s">
        <v>23552</v>
      </c>
      <c r="I5494" s="9">
        <v>3</v>
      </c>
    </row>
    <row r="5495" spans="1:9">
      <c r="A5495" s="257" t="s">
        <v>6593</v>
      </c>
      <c r="B5495" s="9">
        <v>2</v>
      </c>
      <c r="C5495" s="257" t="s">
        <v>12490</v>
      </c>
      <c r="D5495" s="9">
        <v>2.0807322795185719E-2</v>
      </c>
      <c r="E5495" s="9">
        <v>1728935.5716552734</v>
      </c>
      <c r="F5495" s="257" t="s">
        <v>16845</v>
      </c>
      <c r="G5495" s="9"/>
      <c r="H5495" s="257" t="s">
        <v>23553</v>
      </c>
      <c r="I5495" s="9">
        <v>3</v>
      </c>
    </row>
    <row r="5496" spans="1:9">
      <c r="A5496" s="257" t="s">
        <v>6594</v>
      </c>
      <c r="B5496" s="9">
        <v>2</v>
      </c>
      <c r="C5496" s="257" t="s">
        <v>12490</v>
      </c>
      <c r="D5496" s="9">
        <v>2.0243131947405946E-2</v>
      </c>
      <c r="E5496" s="9">
        <v>1728935.5716552734</v>
      </c>
      <c r="F5496" s="257" t="s">
        <v>16846</v>
      </c>
      <c r="G5496" s="9"/>
      <c r="H5496" s="257" t="s">
        <v>23554</v>
      </c>
      <c r="I5496" s="9">
        <v>3</v>
      </c>
    </row>
    <row r="5497" spans="1:9">
      <c r="A5497" s="257" t="s">
        <v>6595</v>
      </c>
      <c r="B5497" s="9">
        <v>2</v>
      </c>
      <c r="C5497" s="257" t="s">
        <v>12490</v>
      </c>
      <c r="D5497" s="9">
        <v>1.4817648071721473E-2</v>
      </c>
      <c r="E5497" s="9">
        <v>1728935.5716552734</v>
      </c>
      <c r="F5497" s="257" t="s">
        <v>16847</v>
      </c>
      <c r="G5497" s="9"/>
      <c r="H5497" s="257" t="s">
        <v>23555</v>
      </c>
      <c r="I5497" s="9">
        <v>3</v>
      </c>
    </row>
    <row r="5498" spans="1:9">
      <c r="A5498" s="257" t="s">
        <v>6596</v>
      </c>
      <c r="B5498" s="9">
        <v>2</v>
      </c>
      <c r="C5498" s="257" t="s">
        <v>12490</v>
      </c>
      <c r="D5498" s="9">
        <v>3.7367319909258317E-2</v>
      </c>
      <c r="E5498" s="9">
        <v>1728935.5716552734</v>
      </c>
      <c r="F5498" s="257" t="s">
        <v>16848</v>
      </c>
      <c r="G5498" s="9"/>
      <c r="H5498" s="257" t="s">
        <v>23556</v>
      </c>
      <c r="I5498" s="9">
        <v>3</v>
      </c>
    </row>
    <row r="5499" spans="1:9">
      <c r="A5499" s="257" t="s">
        <v>6597</v>
      </c>
      <c r="B5499" s="9">
        <v>2</v>
      </c>
      <c r="C5499" s="257" t="s">
        <v>12490</v>
      </c>
      <c r="D5499" s="9">
        <v>2.0807322795185719E-2</v>
      </c>
      <c r="E5499" s="9">
        <v>1728935.5716552734</v>
      </c>
      <c r="F5499" s="257" t="s">
        <v>16849</v>
      </c>
      <c r="G5499" s="9"/>
      <c r="H5499" s="257" t="s">
        <v>23557</v>
      </c>
      <c r="I5499" s="9">
        <v>3</v>
      </c>
    </row>
    <row r="5500" spans="1:9">
      <c r="A5500" s="257" t="s">
        <v>6598</v>
      </c>
      <c r="B5500" s="9">
        <v>2</v>
      </c>
      <c r="C5500" s="257" t="s">
        <v>12490</v>
      </c>
      <c r="D5500" s="9">
        <v>2.0807322795185719E-2</v>
      </c>
      <c r="E5500" s="9">
        <v>1728935.5716552734</v>
      </c>
      <c r="F5500" s="257" t="s">
        <v>16850</v>
      </c>
      <c r="G5500" s="9"/>
      <c r="H5500" s="257" t="s">
        <v>23558</v>
      </c>
      <c r="I5500" s="9">
        <v>3</v>
      </c>
    </row>
    <row r="5501" spans="1:9">
      <c r="A5501" s="257" t="s">
        <v>6599</v>
      </c>
      <c r="B5501" s="9">
        <v>2</v>
      </c>
      <c r="C5501" s="257" t="s">
        <v>12490</v>
      </c>
      <c r="D5501" s="9">
        <v>2.0633690767847039E-2</v>
      </c>
      <c r="E5501" s="9">
        <v>1728935.5716552734</v>
      </c>
      <c r="F5501" s="257" t="s">
        <v>16851</v>
      </c>
      <c r="G5501" s="9"/>
      <c r="H5501" s="257" t="s">
        <v>23559</v>
      </c>
      <c r="I5501" s="9">
        <v>3</v>
      </c>
    </row>
    <row r="5502" spans="1:9">
      <c r="A5502" s="257" t="s">
        <v>6600</v>
      </c>
      <c r="B5502" s="9">
        <v>2</v>
      </c>
      <c r="C5502" s="257" t="s">
        <v>12490</v>
      </c>
      <c r="D5502" s="9">
        <v>1.4047368382504095E-2</v>
      </c>
      <c r="E5502" s="9">
        <v>1728935.5716552734</v>
      </c>
      <c r="F5502" s="257" t="s">
        <v>16852</v>
      </c>
      <c r="G5502" s="9"/>
      <c r="H5502" s="257" t="s">
        <v>23560</v>
      </c>
      <c r="I5502" s="9">
        <v>3</v>
      </c>
    </row>
    <row r="5503" spans="1:9">
      <c r="A5503" s="257" t="s">
        <v>6601</v>
      </c>
      <c r="B5503" s="9">
        <v>2</v>
      </c>
      <c r="C5503" s="257" t="s">
        <v>12490</v>
      </c>
      <c r="D5503" s="9">
        <v>1.7255847984509028E-2</v>
      </c>
      <c r="E5503" s="9">
        <v>1728935.5716552734</v>
      </c>
      <c r="F5503" s="257" t="s">
        <v>16853</v>
      </c>
      <c r="G5503" s="9"/>
      <c r="H5503" s="257" t="s">
        <v>23561</v>
      </c>
      <c r="I5503" s="9">
        <v>3</v>
      </c>
    </row>
    <row r="5504" spans="1:9">
      <c r="A5504" s="257" t="s">
        <v>6602</v>
      </c>
      <c r="B5504" s="9">
        <v>2</v>
      </c>
      <c r="C5504" s="257" t="s">
        <v>12490</v>
      </c>
      <c r="D5504" s="9">
        <v>3.7446555105965555E-2</v>
      </c>
      <c r="E5504" s="9">
        <v>1728935.5716552734</v>
      </c>
      <c r="F5504" s="257" t="s">
        <v>16854</v>
      </c>
      <c r="G5504" s="9"/>
      <c r="H5504" s="257" t="s">
        <v>23562</v>
      </c>
      <c r="I5504" s="9">
        <v>3</v>
      </c>
    </row>
    <row r="5505" spans="1:9">
      <c r="A5505" s="257" t="s">
        <v>6603</v>
      </c>
      <c r="B5505" s="9">
        <v>2</v>
      </c>
      <c r="C5505" s="257" t="s">
        <v>12490</v>
      </c>
      <c r="D5505" s="9"/>
      <c r="E5505" s="9">
        <v>1728935.5716552734</v>
      </c>
      <c r="F5505" s="257" t="s">
        <v>16855</v>
      </c>
      <c r="G5505" s="9"/>
      <c r="H5505" s="257" t="s">
        <v>23563</v>
      </c>
      <c r="I5505" s="9">
        <v>3</v>
      </c>
    </row>
    <row r="5506" spans="1:9">
      <c r="A5506" s="257" t="s">
        <v>6604</v>
      </c>
      <c r="B5506" s="9">
        <v>2</v>
      </c>
      <c r="C5506" s="257" t="s">
        <v>12490</v>
      </c>
      <c r="D5506" s="9">
        <v>8.6740431979074589E-3</v>
      </c>
      <c r="E5506" s="9">
        <v>1728935.5716552734</v>
      </c>
      <c r="F5506" s="257" t="s">
        <v>16856</v>
      </c>
      <c r="G5506" s="9"/>
      <c r="H5506" s="257" t="s">
        <v>23564</v>
      </c>
      <c r="I5506" s="9">
        <v>3</v>
      </c>
    </row>
    <row r="5507" spans="1:9">
      <c r="A5507" s="257" t="s">
        <v>6605</v>
      </c>
      <c r="B5507" s="9">
        <v>2</v>
      </c>
      <c r="C5507" s="257" t="s">
        <v>12490</v>
      </c>
      <c r="D5507" s="9">
        <v>2.1085401717721913E-2</v>
      </c>
      <c r="E5507" s="9">
        <v>1728935.5716552734</v>
      </c>
      <c r="F5507" s="257" t="s">
        <v>16857</v>
      </c>
      <c r="G5507" s="9"/>
      <c r="H5507" s="257" t="s">
        <v>23565</v>
      </c>
      <c r="I5507" s="9">
        <v>3</v>
      </c>
    </row>
    <row r="5508" spans="1:9">
      <c r="A5508" s="257" t="s">
        <v>6606</v>
      </c>
      <c r="B5508" s="9">
        <v>2</v>
      </c>
      <c r="C5508" s="257" t="s">
        <v>12490</v>
      </c>
      <c r="D5508" s="9">
        <v>2.2772416815717275E-2</v>
      </c>
      <c r="E5508" s="9">
        <v>1728935.5716552734</v>
      </c>
      <c r="F5508" s="257" t="s">
        <v>16858</v>
      </c>
      <c r="G5508" s="9"/>
      <c r="H5508" s="257" t="s">
        <v>23566</v>
      </c>
      <c r="I5508" s="9">
        <v>3</v>
      </c>
    </row>
    <row r="5509" spans="1:9">
      <c r="A5509" s="257" t="s">
        <v>6607</v>
      </c>
      <c r="B5509" s="9">
        <v>2</v>
      </c>
      <c r="C5509" s="257" t="s">
        <v>12490</v>
      </c>
      <c r="D5509" s="9"/>
      <c r="E5509" s="9">
        <v>1728935.5716552734</v>
      </c>
      <c r="F5509" s="257" t="s">
        <v>16859</v>
      </c>
      <c r="G5509" s="9"/>
      <c r="H5509" s="257" t="s">
        <v>23567</v>
      </c>
      <c r="I5509" s="9">
        <v>3</v>
      </c>
    </row>
    <row r="5510" spans="1:9">
      <c r="A5510" s="257" t="s">
        <v>6608</v>
      </c>
      <c r="B5510" s="9">
        <v>2</v>
      </c>
      <c r="C5510" s="257" t="s">
        <v>12490</v>
      </c>
      <c r="D5510" s="9">
        <v>1.4817648071721473E-2</v>
      </c>
      <c r="E5510" s="9">
        <v>1728935.5716552734</v>
      </c>
      <c r="F5510" s="257" t="s">
        <v>16860</v>
      </c>
      <c r="G5510" s="9"/>
      <c r="H5510" s="257" t="s">
        <v>23568</v>
      </c>
      <c r="I5510" s="9">
        <v>3</v>
      </c>
    </row>
    <row r="5511" spans="1:9">
      <c r="A5511" s="257" t="s">
        <v>6609</v>
      </c>
      <c r="B5511" s="9">
        <v>2</v>
      </c>
      <c r="C5511" s="257" t="s">
        <v>12490</v>
      </c>
      <c r="D5511" s="9"/>
      <c r="E5511" s="9">
        <v>1728935.5716552734</v>
      </c>
      <c r="F5511" s="257" t="s">
        <v>16861</v>
      </c>
      <c r="G5511" s="9"/>
      <c r="H5511" s="257" t="s">
        <v>23569</v>
      </c>
      <c r="I5511" s="9">
        <v>3</v>
      </c>
    </row>
    <row r="5512" spans="1:9">
      <c r="A5512" s="257" t="s">
        <v>6610</v>
      </c>
      <c r="B5512" s="9">
        <v>3</v>
      </c>
      <c r="C5512" s="257" t="s">
        <v>12490</v>
      </c>
      <c r="D5512" s="9">
        <v>2.7314594880644128E-2</v>
      </c>
      <c r="E5512" s="9">
        <v>1724459.8235549927</v>
      </c>
      <c r="F5512" s="257" t="s">
        <v>16862</v>
      </c>
      <c r="G5512" s="9"/>
      <c r="H5512" s="257" t="s">
        <v>23570</v>
      </c>
      <c r="I5512" s="9">
        <v>3</v>
      </c>
    </row>
    <row r="5513" spans="1:9">
      <c r="A5513" s="257" t="s">
        <v>6611</v>
      </c>
      <c r="B5513" s="9">
        <v>3</v>
      </c>
      <c r="C5513" s="257" t="s">
        <v>12490</v>
      </c>
      <c r="D5513" s="9"/>
      <c r="E5513" s="9">
        <v>1724459.8235549927</v>
      </c>
      <c r="F5513" s="257" t="s">
        <v>16863</v>
      </c>
      <c r="G5513" s="9"/>
      <c r="H5513" s="257" t="s">
        <v>23571</v>
      </c>
      <c r="I5513" s="9">
        <v>3</v>
      </c>
    </row>
    <row r="5514" spans="1:9">
      <c r="A5514" s="257" t="s">
        <v>6612</v>
      </c>
      <c r="B5514" s="9">
        <v>3</v>
      </c>
      <c r="C5514" s="257" t="s">
        <v>12490</v>
      </c>
      <c r="D5514" s="9">
        <v>2.2893337762086428E-2</v>
      </c>
      <c r="E5514" s="9">
        <v>1724459.8235549927</v>
      </c>
      <c r="F5514" s="257" t="s">
        <v>16864</v>
      </c>
      <c r="G5514" s="9"/>
      <c r="H5514" s="257" t="s">
        <v>23572</v>
      </c>
      <c r="I5514" s="9">
        <v>3</v>
      </c>
    </row>
    <row r="5515" spans="1:9">
      <c r="A5515" s="257" t="s">
        <v>6613</v>
      </c>
      <c r="B5515" s="9">
        <v>3</v>
      </c>
      <c r="C5515" s="257" t="s">
        <v>12490</v>
      </c>
      <c r="D5515" s="9"/>
      <c r="E5515" s="9">
        <v>1724459.8235549927</v>
      </c>
      <c r="F5515" s="257" t="s">
        <v>16865</v>
      </c>
      <c r="G5515" s="9"/>
      <c r="H5515" s="257" t="s">
        <v>23573</v>
      </c>
      <c r="I5515" s="9">
        <v>3</v>
      </c>
    </row>
    <row r="5516" spans="1:9">
      <c r="A5516" s="257" t="s">
        <v>6614</v>
      </c>
      <c r="B5516" s="9">
        <v>3</v>
      </c>
      <c r="C5516" s="257" t="s">
        <v>12490</v>
      </c>
      <c r="D5516" s="9"/>
      <c r="E5516" s="9">
        <v>1724459.8235549927</v>
      </c>
      <c r="F5516" s="257" t="s">
        <v>16866</v>
      </c>
      <c r="G5516" s="9"/>
      <c r="H5516" s="257" t="s">
        <v>23574</v>
      </c>
      <c r="I5516" s="9">
        <v>3</v>
      </c>
    </row>
    <row r="5517" spans="1:9">
      <c r="A5517" s="257" t="s">
        <v>6615</v>
      </c>
      <c r="B5517" s="9">
        <v>3</v>
      </c>
      <c r="C5517" s="257" t="s">
        <v>12490</v>
      </c>
      <c r="D5517" s="9">
        <v>2.5818007946193818E-2</v>
      </c>
      <c r="E5517" s="9">
        <v>1724459.8235549927</v>
      </c>
      <c r="F5517" s="257" t="s">
        <v>16867</v>
      </c>
      <c r="G5517" s="9"/>
      <c r="H5517" s="257" t="s">
        <v>23575</v>
      </c>
      <c r="I5517" s="9">
        <v>3</v>
      </c>
    </row>
    <row r="5518" spans="1:9">
      <c r="A5518" s="257" t="s">
        <v>6616</v>
      </c>
      <c r="B5518" s="9">
        <v>3</v>
      </c>
      <c r="C5518" s="257" t="s">
        <v>12490</v>
      </c>
      <c r="D5518" s="9">
        <v>2.4361986843100647E-2</v>
      </c>
      <c r="E5518" s="9">
        <v>1724459.8235549927</v>
      </c>
      <c r="F5518" s="257" t="s">
        <v>16868</v>
      </c>
      <c r="G5518" s="9"/>
      <c r="H5518" s="257" t="s">
        <v>23576</v>
      </c>
      <c r="I5518" s="9">
        <v>3</v>
      </c>
    </row>
    <row r="5519" spans="1:9">
      <c r="A5519" s="257" t="s">
        <v>6617</v>
      </c>
      <c r="B5519" s="9">
        <v>3</v>
      </c>
      <c r="C5519" s="257" t="s">
        <v>12490</v>
      </c>
      <c r="D5519" s="9"/>
      <c r="E5519" s="9">
        <v>1724459.8235549927</v>
      </c>
      <c r="F5519" s="257" t="s">
        <v>16869</v>
      </c>
      <c r="G5519" s="9"/>
      <c r="H5519" s="257" t="s">
        <v>23577</v>
      </c>
      <c r="I5519" s="9">
        <v>3</v>
      </c>
    </row>
    <row r="5520" spans="1:9">
      <c r="A5520" s="257" t="s">
        <v>6618</v>
      </c>
      <c r="B5520" s="9">
        <v>3</v>
      </c>
      <c r="C5520" s="257" t="s">
        <v>12490</v>
      </c>
      <c r="D5520" s="9">
        <v>2.7360228954859143E-2</v>
      </c>
      <c r="E5520" s="9">
        <v>1724459.8235549927</v>
      </c>
      <c r="F5520" s="257" t="s">
        <v>16870</v>
      </c>
      <c r="G5520" s="9"/>
      <c r="H5520" s="257" t="s">
        <v>23578</v>
      </c>
      <c r="I5520" s="9">
        <v>3</v>
      </c>
    </row>
    <row r="5521" spans="1:9">
      <c r="A5521" s="257" t="s">
        <v>6619</v>
      </c>
      <c r="B5521" s="9">
        <v>3</v>
      </c>
      <c r="C5521" s="257" t="s">
        <v>12490</v>
      </c>
      <c r="D5521" s="9">
        <v>2.9719429798462968E-2</v>
      </c>
      <c r="E5521" s="9">
        <v>1724459.8235549927</v>
      </c>
      <c r="F5521" s="257" t="s">
        <v>16871</v>
      </c>
      <c r="G5521" s="9"/>
      <c r="H5521" s="257" t="s">
        <v>23579</v>
      </c>
      <c r="I5521" s="9">
        <v>3</v>
      </c>
    </row>
    <row r="5522" spans="1:9">
      <c r="A5522" s="257" t="s">
        <v>6620</v>
      </c>
      <c r="B5522" s="9">
        <v>3</v>
      </c>
      <c r="C5522" s="257" t="s">
        <v>12490</v>
      </c>
      <c r="D5522" s="9">
        <v>2.1741740658339559E-2</v>
      </c>
      <c r="E5522" s="9">
        <v>1724459.8235549927</v>
      </c>
      <c r="F5522" s="257" t="s">
        <v>16872</v>
      </c>
      <c r="G5522" s="9"/>
      <c r="H5522" s="257" t="s">
        <v>23580</v>
      </c>
      <c r="I5522" s="9">
        <v>3</v>
      </c>
    </row>
    <row r="5523" spans="1:9">
      <c r="A5523" s="257" t="s">
        <v>6621</v>
      </c>
      <c r="B5523" s="9">
        <v>3</v>
      </c>
      <c r="C5523" s="257" t="s">
        <v>12490</v>
      </c>
      <c r="D5523" s="9">
        <v>2.7360228954859143E-2</v>
      </c>
      <c r="E5523" s="9">
        <v>1724459.8235549927</v>
      </c>
      <c r="F5523" s="257" t="s">
        <v>16873</v>
      </c>
      <c r="G5523" s="9"/>
      <c r="H5523" s="257" t="s">
        <v>23581</v>
      </c>
      <c r="I5523" s="9">
        <v>3</v>
      </c>
    </row>
    <row r="5524" spans="1:9">
      <c r="A5524" s="257" t="s">
        <v>6622</v>
      </c>
      <c r="B5524" s="9">
        <v>3</v>
      </c>
      <c r="C5524" s="257" t="s">
        <v>12490</v>
      </c>
      <c r="D5524" s="9"/>
      <c r="E5524" s="9">
        <v>1724459.8235549927</v>
      </c>
      <c r="F5524" s="257" t="s">
        <v>16874</v>
      </c>
      <c r="G5524" s="9"/>
      <c r="H5524" s="257" t="s">
        <v>23582</v>
      </c>
      <c r="I5524" s="9">
        <v>3</v>
      </c>
    </row>
    <row r="5525" spans="1:9">
      <c r="A5525" s="257" t="s">
        <v>6623</v>
      </c>
      <c r="B5525" s="9">
        <v>3</v>
      </c>
      <c r="C5525" s="257" t="s">
        <v>12490</v>
      </c>
      <c r="D5525" s="9">
        <v>4.5895122583935799E-2</v>
      </c>
      <c r="E5525" s="9">
        <v>1724459.8235549927</v>
      </c>
      <c r="F5525" s="257" t="s">
        <v>16875</v>
      </c>
      <c r="G5525" s="9"/>
      <c r="H5525" s="257" t="s">
        <v>23583</v>
      </c>
      <c r="I5525" s="9">
        <v>3</v>
      </c>
    </row>
    <row r="5526" spans="1:9">
      <c r="A5526" s="257" t="s">
        <v>6624</v>
      </c>
      <c r="B5526" s="9">
        <v>3</v>
      </c>
      <c r="C5526" s="257" t="s">
        <v>12490</v>
      </c>
      <c r="D5526" s="9">
        <v>4.6386531257942239E-2</v>
      </c>
      <c r="E5526" s="9">
        <v>1724459.8235549927</v>
      </c>
      <c r="F5526" s="257" t="s">
        <v>16876</v>
      </c>
      <c r="G5526" s="9"/>
      <c r="H5526" s="257" t="s">
        <v>23584</v>
      </c>
      <c r="I5526" s="9">
        <v>3</v>
      </c>
    </row>
    <row r="5527" spans="1:9">
      <c r="A5527" s="257" t="s">
        <v>6625</v>
      </c>
      <c r="B5527" s="9">
        <v>3</v>
      </c>
      <c r="C5527" s="257" t="s">
        <v>12490</v>
      </c>
      <c r="D5527" s="9"/>
      <c r="E5527" s="9">
        <v>1724459.8235549927</v>
      </c>
      <c r="F5527" s="257" t="s">
        <v>16877</v>
      </c>
      <c r="G5527" s="9"/>
      <c r="H5527" s="257" t="s">
        <v>23585</v>
      </c>
      <c r="I5527" s="9">
        <v>3</v>
      </c>
    </row>
    <row r="5528" spans="1:9">
      <c r="A5528" s="257" t="s">
        <v>6626</v>
      </c>
      <c r="B5528" s="9">
        <v>3</v>
      </c>
      <c r="C5528" s="257" t="s">
        <v>12490</v>
      </c>
      <c r="D5528" s="9">
        <v>3.4924892030359277E-2</v>
      </c>
      <c r="E5528" s="9">
        <v>1724459.8235549927</v>
      </c>
      <c r="F5528" s="257" t="s">
        <v>16878</v>
      </c>
      <c r="G5528" s="9"/>
      <c r="H5528" s="257" t="s">
        <v>23586</v>
      </c>
      <c r="I5528" s="9">
        <v>3</v>
      </c>
    </row>
    <row r="5529" spans="1:9">
      <c r="A5529" s="257" t="s">
        <v>6627</v>
      </c>
      <c r="B5529" s="9">
        <v>3</v>
      </c>
      <c r="C5529" s="257" t="s">
        <v>12490</v>
      </c>
      <c r="D5529" s="9">
        <v>2.9858058890953047E-2</v>
      </c>
      <c r="E5529" s="9">
        <v>1724459.8235549927</v>
      </c>
      <c r="F5529" s="257" t="s">
        <v>16879</v>
      </c>
      <c r="G5529" s="9"/>
      <c r="H5529" s="257" t="s">
        <v>23587</v>
      </c>
      <c r="I5529" s="9">
        <v>3</v>
      </c>
    </row>
    <row r="5530" spans="1:9">
      <c r="A5530" s="257" t="s">
        <v>6628</v>
      </c>
      <c r="B5530" s="9">
        <v>3</v>
      </c>
      <c r="C5530" s="257" t="s">
        <v>12490</v>
      </c>
      <c r="D5530" s="9"/>
      <c r="E5530" s="9">
        <v>1724459.8235549927</v>
      </c>
      <c r="F5530" s="257" t="s">
        <v>16880</v>
      </c>
      <c r="G5530" s="9"/>
      <c r="H5530" s="257" t="s">
        <v>23588</v>
      </c>
      <c r="I5530" s="9">
        <v>3</v>
      </c>
    </row>
    <row r="5531" spans="1:9">
      <c r="A5531" s="257" t="s">
        <v>6629</v>
      </c>
      <c r="B5531" s="9">
        <v>3</v>
      </c>
      <c r="C5531" s="257" t="s">
        <v>12490</v>
      </c>
      <c r="D5531" s="9">
        <v>2.5818007946193818E-2</v>
      </c>
      <c r="E5531" s="9">
        <v>1724459.8235549927</v>
      </c>
      <c r="F5531" s="257" t="s">
        <v>16881</v>
      </c>
      <c r="G5531" s="9"/>
      <c r="H5531" s="257" t="s">
        <v>23589</v>
      </c>
      <c r="I5531" s="9">
        <v>3</v>
      </c>
    </row>
    <row r="5532" spans="1:9">
      <c r="A5532" s="257" t="s">
        <v>6630</v>
      </c>
      <c r="B5532" s="9">
        <v>3</v>
      </c>
      <c r="C5532" s="257" t="s">
        <v>12490</v>
      </c>
      <c r="D5532" s="9">
        <v>2.9858058890953047E-2</v>
      </c>
      <c r="E5532" s="9">
        <v>1724459.8235549927</v>
      </c>
      <c r="F5532" s="257" t="s">
        <v>16882</v>
      </c>
      <c r="G5532" s="9"/>
      <c r="H5532" s="257" t="s">
        <v>23590</v>
      </c>
      <c r="I5532" s="9">
        <v>3</v>
      </c>
    </row>
    <row r="5533" spans="1:9">
      <c r="A5533" s="257" t="s">
        <v>6631</v>
      </c>
      <c r="B5533" s="9">
        <v>3</v>
      </c>
      <c r="C5533" s="257" t="s">
        <v>12490</v>
      </c>
      <c r="D5533" s="9">
        <v>1.4205059467144864E-2</v>
      </c>
      <c r="E5533" s="9">
        <v>1724459.8235549927</v>
      </c>
      <c r="F5533" s="257" t="s">
        <v>16883</v>
      </c>
      <c r="G5533" s="9"/>
      <c r="H5533" s="257" t="s">
        <v>23591</v>
      </c>
      <c r="I5533" s="9">
        <v>3</v>
      </c>
    </row>
    <row r="5534" spans="1:9">
      <c r="A5534" s="257" t="s">
        <v>6632</v>
      </c>
      <c r="B5534" s="9">
        <v>3</v>
      </c>
      <c r="C5534" s="257" t="s">
        <v>12490</v>
      </c>
      <c r="D5534" s="9"/>
      <c r="E5534" s="9">
        <v>1724459.8235549927</v>
      </c>
      <c r="F5534" s="257" t="s">
        <v>16884</v>
      </c>
      <c r="G5534" s="9"/>
      <c r="H5534" s="257" t="s">
        <v>23592</v>
      </c>
      <c r="I5534" s="9">
        <v>3</v>
      </c>
    </row>
    <row r="5535" spans="1:9">
      <c r="A5535" s="257" t="s">
        <v>6633</v>
      </c>
      <c r="B5535" s="9">
        <v>3</v>
      </c>
      <c r="C5535" s="257" t="s">
        <v>12490</v>
      </c>
      <c r="D5535" s="9">
        <v>2.3389442919678136E-2</v>
      </c>
      <c r="E5535" s="9">
        <v>1724459.8235549927</v>
      </c>
      <c r="F5535" s="257" t="s">
        <v>16885</v>
      </c>
      <c r="G5535" s="9"/>
      <c r="H5535" s="257" t="s">
        <v>23593</v>
      </c>
      <c r="I5535" s="9">
        <v>3</v>
      </c>
    </row>
    <row r="5536" spans="1:9">
      <c r="A5536" s="257" t="s">
        <v>6634</v>
      </c>
      <c r="B5536" s="9">
        <v>3</v>
      </c>
      <c r="C5536" s="257" t="s">
        <v>12490</v>
      </c>
      <c r="D5536" s="9">
        <v>2.9858058890953047E-2</v>
      </c>
      <c r="E5536" s="9">
        <v>1724459.8235549927</v>
      </c>
      <c r="F5536" s="257" t="s">
        <v>16886</v>
      </c>
      <c r="G5536" s="9"/>
      <c r="H5536" s="257" t="s">
        <v>23594</v>
      </c>
      <c r="I5536" s="9">
        <v>3</v>
      </c>
    </row>
    <row r="5537" spans="1:9">
      <c r="A5537" s="257" t="s">
        <v>6635</v>
      </c>
      <c r="B5537" s="9">
        <v>4</v>
      </c>
      <c r="C5537" s="257" t="s">
        <v>12490</v>
      </c>
      <c r="D5537" s="9">
        <v>5.5847824462011336E-2</v>
      </c>
      <c r="E5537" s="9">
        <v>1728561.5107574463</v>
      </c>
      <c r="F5537" s="257" t="s">
        <v>16887</v>
      </c>
      <c r="G5537" s="9"/>
      <c r="H5537" s="257" t="s">
        <v>23595</v>
      </c>
      <c r="I5537" s="9">
        <v>3</v>
      </c>
    </row>
    <row r="5538" spans="1:9">
      <c r="A5538" s="257" t="s">
        <v>6636</v>
      </c>
      <c r="B5538" s="9">
        <v>4</v>
      </c>
      <c r="C5538" s="257" t="s">
        <v>12490</v>
      </c>
      <c r="D5538" s="9">
        <v>4.4585235695286107E-2</v>
      </c>
      <c r="E5538" s="9">
        <v>1728561.5107574463</v>
      </c>
      <c r="F5538" s="257" t="s">
        <v>16888</v>
      </c>
      <c r="G5538" s="9"/>
      <c r="H5538" s="257" t="s">
        <v>23596</v>
      </c>
      <c r="I5538" s="9">
        <v>3</v>
      </c>
    </row>
    <row r="5539" spans="1:9">
      <c r="A5539" s="257" t="s">
        <v>6637</v>
      </c>
      <c r="B5539" s="9">
        <v>4</v>
      </c>
      <c r="C5539" s="257" t="s">
        <v>12490</v>
      </c>
      <c r="D5539" s="9">
        <v>4.3633177021925956E-2</v>
      </c>
      <c r="E5539" s="9">
        <v>1728561.5107574463</v>
      </c>
      <c r="F5539" s="257" t="s">
        <v>16889</v>
      </c>
      <c r="G5539" s="9"/>
      <c r="H5539" s="257" t="s">
        <v>23597</v>
      </c>
      <c r="I5539" s="9">
        <v>3</v>
      </c>
    </row>
    <row r="5540" spans="1:9">
      <c r="A5540" s="257" t="s">
        <v>6638</v>
      </c>
      <c r="B5540" s="9">
        <v>4</v>
      </c>
      <c r="C5540" s="257" t="s">
        <v>12490</v>
      </c>
      <c r="D5540" s="9">
        <v>3.1357172683946492E-2</v>
      </c>
      <c r="E5540" s="9">
        <v>1728561.5107574463</v>
      </c>
      <c r="F5540" s="257" t="s">
        <v>16890</v>
      </c>
      <c r="G5540" s="9"/>
      <c r="H5540" s="257" t="s">
        <v>23598</v>
      </c>
      <c r="I5540" s="9">
        <v>3</v>
      </c>
    </row>
    <row r="5541" spans="1:9">
      <c r="A5541" s="257" t="s">
        <v>6639</v>
      </c>
      <c r="B5541" s="9">
        <v>4</v>
      </c>
      <c r="C5541" s="257" t="s">
        <v>12490</v>
      </c>
      <c r="D5541" s="9">
        <v>2.7647271653358268E-2</v>
      </c>
      <c r="E5541" s="9">
        <v>1728561.5107574463</v>
      </c>
      <c r="F5541" s="257" t="s">
        <v>16891</v>
      </c>
      <c r="G5541" s="9"/>
      <c r="H5541" s="257" t="s">
        <v>23599</v>
      </c>
      <c r="I5541" s="9">
        <v>3</v>
      </c>
    </row>
    <row r="5542" spans="1:9">
      <c r="A5542" s="257" t="s">
        <v>6640</v>
      </c>
      <c r="B5542" s="9">
        <v>4</v>
      </c>
      <c r="C5542" s="257" t="s">
        <v>12490</v>
      </c>
      <c r="D5542" s="9">
        <v>3.9372508393588627E-2</v>
      </c>
      <c r="E5542" s="9">
        <v>1728561.5107574463</v>
      </c>
      <c r="F5542" s="257" t="s">
        <v>16892</v>
      </c>
      <c r="G5542" s="9"/>
      <c r="H5542" s="257" t="s">
        <v>23600</v>
      </c>
      <c r="I5542" s="9">
        <v>3</v>
      </c>
    </row>
    <row r="5543" spans="1:9">
      <c r="A5543" s="257" t="s">
        <v>6641</v>
      </c>
      <c r="B5543" s="9">
        <v>4</v>
      </c>
      <c r="C5543" s="257" t="s">
        <v>12490</v>
      </c>
      <c r="D5543" s="9">
        <v>3.1202656400071711E-2</v>
      </c>
      <c r="E5543" s="9">
        <v>1728561.5107574463</v>
      </c>
      <c r="F5543" s="257" t="s">
        <v>16893</v>
      </c>
      <c r="G5543" s="9"/>
      <c r="H5543" s="257" t="s">
        <v>23601</v>
      </c>
      <c r="I5543" s="9">
        <v>3</v>
      </c>
    </row>
    <row r="5544" spans="1:9">
      <c r="A5544" s="257" t="s">
        <v>6642</v>
      </c>
      <c r="B5544" s="9">
        <v>4</v>
      </c>
      <c r="C5544" s="257" t="s">
        <v>12490</v>
      </c>
      <c r="D5544" s="9">
        <v>4.4585235695286107E-2</v>
      </c>
      <c r="E5544" s="9">
        <v>1728561.5107574463</v>
      </c>
      <c r="F5544" s="257" t="s">
        <v>16894</v>
      </c>
      <c r="G5544" s="9"/>
      <c r="H5544" s="257" t="s">
        <v>23602</v>
      </c>
      <c r="I5544" s="9">
        <v>3</v>
      </c>
    </row>
    <row r="5545" spans="1:9">
      <c r="A5545" s="257" t="s">
        <v>6643</v>
      </c>
      <c r="B5545" s="9">
        <v>4</v>
      </c>
      <c r="C5545" s="257" t="s">
        <v>12490</v>
      </c>
      <c r="D5545" s="9"/>
      <c r="E5545" s="9">
        <v>1728561.5107574463</v>
      </c>
      <c r="F5545" s="257" t="s">
        <v>16895</v>
      </c>
      <c r="G5545" s="9"/>
      <c r="H5545" s="257" t="s">
        <v>23603</v>
      </c>
      <c r="I5545" s="9">
        <v>3</v>
      </c>
    </row>
    <row r="5546" spans="1:9">
      <c r="A5546" s="257" t="s">
        <v>6644</v>
      </c>
      <c r="B5546" s="9">
        <v>4</v>
      </c>
      <c r="C5546" s="257" t="s">
        <v>12490</v>
      </c>
      <c r="D5546" s="9">
        <v>4.4585235695286107E-2</v>
      </c>
      <c r="E5546" s="9">
        <v>1728561.5107574463</v>
      </c>
      <c r="F5546" s="257" t="s">
        <v>16896</v>
      </c>
      <c r="G5546" s="9"/>
      <c r="H5546" s="257" t="s">
        <v>23604</v>
      </c>
      <c r="I5546" s="9">
        <v>3</v>
      </c>
    </row>
    <row r="5547" spans="1:9">
      <c r="A5547" s="257" t="s">
        <v>6645</v>
      </c>
      <c r="B5547" s="9">
        <v>4</v>
      </c>
      <c r="C5547" s="257" t="s">
        <v>12490</v>
      </c>
      <c r="D5547" s="9">
        <v>3.9372508393588627E-2</v>
      </c>
      <c r="E5547" s="9">
        <v>1728561.5107574463</v>
      </c>
      <c r="F5547" s="257" t="s">
        <v>16897</v>
      </c>
      <c r="G5547" s="9"/>
      <c r="H5547" s="257" t="s">
        <v>23605</v>
      </c>
      <c r="I5547" s="9">
        <v>3</v>
      </c>
    </row>
    <row r="5548" spans="1:9">
      <c r="A5548" s="257" t="s">
        <v>6646</v>
      </c>
      <c r="B5548" s="9">
        <v>4</v>
      </c>
      <c r="C5548" s="257" t="s">
        <v>12490</v>
      </c>
      <c r="D5548" s="9">
        <v>3.9201453325315272E-2</v>
      </c>
      <c r="E5548" s="9">
        <v>1728561.5107574463</v>
      </c>
      <c r="F5548" s="257" t="s">
        <v>16898</v>
      </c>
      <c r="G5548" s="9"/>
      <c r="H5548" s="257" t="s">
        <v>23606</v>
      </c>
      <c r="I5548" s="9">
        <v>3</v>
      </c>
    </row>
    <row r="5549" spans="1:9">
      <c r="A5549" s="257" t="s">
        <v>6647</v>
      </c>
      <c r="B5549" s="9">
        <v>4</v>
      </c>
      <c r="C5549" s="257" t="s">
        <v>12490</v>
      </c>
      <c r="D5549" s="9"/>
      <c r="E5549" s="9">
        <v>1728561.5107574463</v>
      </c>
      <c r="F5549" s="257" t="s">
        <v>16899</v>
      </c>
      <c r="G5549" s="9"/>
      <c r="H5549" s="257" t="s">
        <v>23607</v>
      </c>
      <c r="I5549" s="9">
        <v>3</v>
      </c>
    </row>
    <row r="5550" spans="1:9">
      <c r="A5550" s="257" t="s">
        <v>6648</v>
      </c>
      <c r="B5550" s="9">
        <v>4</v>
      </c>
      <c r="C5550" s="257" t="s">
        <v>12490</v>
      </c>
      <c r="D5550" s="9">
        <v>1.1384745360381608E-2</v>
      </c>
      <c r="E5550" s="9">
        <v>1728561.5107574463</v>
      </c>
      <c r="F5550" s="257" t="s">
        <v>16900</v>
      </c>
      <c r="G5550" s="9"/>
      <c r="H5550" s="257" t="s">
        <v>23608</v>
      </c>
      <c r="I5550" s="9">
        <v>3</v>
      </c>
    </row>
    <row r="5551" spans="1:9">
      <c r="A5551" s="257" t="s">
        <v>6649</v>
      </c>
      <c r="B5551" s="9">
        <v>4</v>
      </c>
      <c r="C5551" s="257" t="s">
        <v>12490</v>
      </c>
      <c r="D5551" s="9">
        <v>4.3633177021925956E-2</v>
      </c>
      <c r="E5551" s="9">
        <v>1728561.5107574463</v>
      </c>
      <c r="F5551" s="257" t="s">
        <v>16901</v>
      </c>
      <c r="G5551" s="9"/>
      <c r="H5551" s="257" t="s">
        <v>23609</v>
      </c>
      <c r="I5551" s="9">
        <v>3</v>
      </c>
    </row>
    <row r="5552" spans="1:9">
      <c r="A5552" s="257" t="s">
        <v>6650</v>
      </c>
      <c r="B5552" s="9">
        <v>4</v>
      </c>
      <c r="C5552" s="257" t="s">
        <v>12490</v>
      </c>
      <c r="D5552" s="9"/>
      <c r="E5552" s="9">
        <v>1728561.5107574463</v>
      </c>
      <c r="F5552" s="257" t="s">
        <v>16902</v>
      </c>
      <c r="G5552" s="9"/>
      <c r="H5552" s="257" t="s">
        <v>23610</v>
      </c>
      <c r="I5552" s="9">
        <v>3</v>
      </c>
    </row>
    <row r="5553" spans="1:9">
      <c r="A5553" s="257" t="s">
        <v>6651</v>
      </c>
      <c r="B5553" s="9">
        <v>4</v>
      </c>
      <c r="C5553" s="257" t="s">
        <v>12490</v>
      </c>
      <c r="D5553" s="9">
        <v>3.9589897477064678E-2</v>
      </c>
      <c r="E5553" s="9">
        <v>1728561.5107574463</v>
      </c>
      <c r="F5553" s="257" t="s">
        <v>16903</v>
      </c>
      <c r="G5553" s="9"/>
      <c r="H5553" s="257" t="s">
        <v>23611</v>
      </c>
      <c r="I5553" s="9">
        <v>3</v>
      </c>
    </row>
    <row r="5554" spans="1:9">
      <c r="A5554" s="257" t="s">
        <v>6652</v>
      </c>
      <c r="B5554" s="9">
        <v>4</v>
      </c>
      <c r="C5554" s="257" t="s">
        <v>12490</v>
      </c>
      <c r="D5554" s="9">
        <v>5.8354640922200288E-2</v>
      </c>
      <c r="E5554" s="9">
        <v>1728561.5107574463</v>
      </c>
      <c r="F5554" s="257" t="s">
        <v>16904</v>
      </c>
      <c r="G5554" s="9"/>
      <c r="H5554" s="257" t="s">
        <v>23612</v>
      </c>
      <c r="I5554" s="9">
        <v>3</v>
      </c>
    </row>
    <row r="5555" spans="1:9">
      <c r="A5555" s="257" t="s">
        <v>6653</v>
      </c>
      <c r="B5555" s="9">
        <v>4</v>
      </c>
      <c r="C5555" s="257" t="s">
        <v>12490</v>
      </c>
      <c r="D5555" s="9">
        <v>4.1819172695839055E-2</v>
      </c>
      <c r="E5555" s="9">
        <v>1728561.5107574463</v>
      </c>
      <c r="F5555" s="257" t="s">
        <v>16905</v>
      </c>
      <c r="G5555" s="9"/>
      <c r="H5555" s="257" t="s">
        <v>23613</v>
      </c>
      <c r="I5555" s="9">
        <v>3</v>
      </c>
    </row>
    <row r="5556" spans="1:9">
      <c r="A5556" s="257" t="s">
        <v>6654</v>
      </c>
      <c r="B5556" s="9">
        <v>4</v>
      </c>
      <c r="C5556" s="257" t="s">
        <v>12490</v>
      </c>
      <c r="D5556" s="9"/>
      <c r="E5556" s="9">
        <v>1728561.5107574463</v>
      </c>
      <c r="F5556" s="257" t="s">
        <v>16906</v>
      </c>
      <c r="G5556" s="9"/>
      <c r="H5556" s="257" t="s">
        <v>23614</v>
      </c>
      <c r="I5556" s="9">
        <v>3</v>
      </c>
    </row>
    <row r="5557" spans="1:9">
      <c r="A5557" s="257" t="s">
        <v>6655</v>
      </c>
      <c r="B5557" s="9">
        <v>4</v>
      </c>
      <c r="C5557" s="257" t="s">
        <v>12490</v>
      </c>
      <c r="D5557" s="9"/>
      <c r="E5557" s="9">
        <v>1728561.5107574463</v>
      </c>
      <c r="F5557" s="257" t="s">
        <v>16907</v>
      </c>
      <c r="G5557" s="9"/>
      <c r="H5557" s="257" t="s">
        <v>23615</v>
      </c>
      <c r="I5557" s="9">
        <v>3</v>
      </c>
    </row>
    <row r="5558" spans="1:9">
      <c r="A5558" s="257" t="s">
        <v>6656</v>
      </c>
      <c r="B5558" s="9">
        <v>4</v>
      </c>
      <c r="C5558" s="257" t="s">
        <v>12490</v>
      </c>
      <c r="D5558" s="9">
        <v>4.5779260845661487E-2</v>
      </c>
      <c r="E5558" s="9">
        <v>1728561.5107574463</v>
      </c>
      <c r="F5558" s="257" t="s">
        <v>16908</v>
      </c>
      <c r="G5558" s="9"/>
      <c r="H5558" s="257" t="s">
        <v>23616</v>
      </c>
      <c r="I5558" s="9">
        <v>3</v>
      </c>
    </row>
    <row r="5559" spans="1:9">
      <c r="A5559" s="257" t="s">
        <v>6657</v>
      </c>
      <c r="B5559" s="9">
        <v>4</v>
      </c>
      <c r="C5559" s="257" t="s">
        <v>12490</v>
      </c>
      <c r="D5559" s="9"/>
      <c r="E5559" s="9">
        <v>1728561.5107574463</v>
      </c>
      <c r="F5559" s="257" t="s">
        <v>16909</v>
      </c>
      <c r="G5559" s="9"/>
      <c r="H5559" s="257" t="s">
        <v>23617</v>
      </c>
      <c r="I5559" s="9">
        <v>3</v>
      </c>
    </row>
    <row r="5560" spans="1:9">
      <c r="A5560" s="257" t="s">
        <v>6658</v>
      </c>
      <c r="B5560" s="9">
        <v>4</v>
      </c>
      <c r="C5560" s="257" t="s">
        <v>12490</v>
      </c>
      <c r="D5560" s="9"/>
      <c r="E5560" s="9">
        <v>1728561.5107574463</v>
      </c>
      <c r="F5560" s="257" t="s">
        <v>16910</v>
      </c>
      <c r="G5560" s="9"/>
      <c r="H5560" s="257" t="s">
        <v>23618</v>
      </c>
      <c r="I5560" s="9">
        <v>3</v>
      </c>
    </row>
    <row r="5561" spans="1:9">
      <c r="A5561" s="257" t="s">
        <v>6659</v>
      </c>
      <c r="B5561" s="9">
        <v>4</v>
      </c>
      <c r="C5561" s="257" t="s">
        <v>12490</v>
      </c>
      <c r="D5561" s="9"/>
      <c r="E5561" s="9">
        <v>1728561.5107574463</v>
      </c>
      <c r="F5561" s="257" t="s">
        <v>16911</v>
      </c>
      <c r="G5561" s="9"/>
      <c r="H5561" s="257" t="s">
        <v>23619</v>
      </c>
      <c r="I5561" s="9">
        <v>3</v>
      </c>
    </row>
    <row r="5562" spans="1:9">
      <c r="A5562" s="257" t="s">
        <v>6660</v>
      </c>
      <c r="B5562" s="9">
        <v>5</v>
      </c>
      <c r="C5562" s="257" t="s">
        <v>12490</v>
      </c>
      <c r="D5562" s="9">
        <v>5.5418227280473228E-2</v>
      </c>
      <c r="E5562" s="9">
        <v>1724465.2324523926</v>
      </c>
      <c r="F5562" s="257" t="s">
        <v>16912</v>
      </c>
      <c r="G5562" s="9"/>
      <c r="H5562" s="257" t="s">
        <v>23620</v>
      </c>
      <c r="I5562" s="9">
        <v>3</v>
      </c>
    </row>
    <row r="5563" spans="1:9">
      <c r="A5563" s="257" t="s">
        <v>6661</v>
      </c>
      <c r="B5563" s="9">
        <v>5</v>
      </c>
      <c r="C5563" s="257" t="s">
        <v>12490</v>
      </c>
      <c r="D5563" s="9"/>
      <c r="E5563" s="9">
        <v>1724465.2324523926</v>
      </c>
      <c r="F5563" s="257" t="s">
        <v>16913</v>
      </c>
      <c r="G5563" s="9"/>
      <c r="H5563" s="257" t="s">
        <v>23621</v>
      </c>
      <c r="I5563" s="9">
        <v>3</v>
      </c>
    </row>
    <row r="5564" spans="1:9">
      <c r="A5564" s="257" t="s">
        <v>6662</v>
      </c>
      <c r="B5564" s="9">
        <v>5</v>
      </c>
      <c r="C5564" s="257" t="s">
        <v>12490</v>
      </c>
      <c r="D5564" s="9"/>
      <c r="E5564" s="9">
        <v>1724465.2324523926</v>
      </c>
      <c r="F5564" s="257" t="s">
        <v>16914</v>
      </c>
      <c r="G5564" s="9"/>
      <c r="H5564" s="257" t="s">
        <v>23622</v>
      </c>
      <c r="I5564" s="9">
        <v>3</v>
      </c>
    </row>
    <row r="5565" spans="1:9">
      <c r="A5565" s="257" t="s">
        <v>6663</v>
      </c>
      <c r="B5565" s="9">
        <v>5</v>
      </c>
      <c r="C5565" s="257" t="s">
        <v>12490</v>
      </c>
      <c r="D5565" s="9">
        <v>5.8565203957735533E-2</v>
      </c>
      <c r="E5565" s="9">
        <v>1724465.2324523926</v>
      </c>
      <c r="F5565" s="257" t="s">
        <v>16915</v>
      </c>
      <c r="G5565" s="9"/>
      <c r="H5565" s="257" t="s">
        <v>23623</v>
      </c>
      <c r="I5565" s="9">
        <v>3</v>
      </c>
    </row>
    <row r="5566" spans="1:9">
      <c r="A5566" s="257" t="s">
        <v>6664</v>
      </c>
      <c r="B5566" s="9">
        <v>5</v>
      </c>
      <c r="C5566" s="257" t="s">
        <v>12490</v>
      </c>
      <c r="D5566" s="9"/>
      <c r="E5566" s="9">
        <v>1724465.2324523926</v>
      </c>
      <c r="F5566" s="257" t="s">
        <v>16916</v>
      </c>
      <c r="G5566" s="9"/>
      <c r="H5566" s="257" t="s">
        <v>23624</v>
      </c>
      <c r="I5566" s="9">
        <v>3</v>
      </c>
    </row>
    <row r="5567" spans="1:9">
      <c r="A5567" s="257" t="s">
        <v>6665</v>
      </c>
      <c r="B5567" s="9">
        <v>5</v>
      </c>
      <c r="C5567" s="257" t="s">
        <v>12490</v>
      </c>
      <c r="D5567" s="9">
        <v>5.1212525575726975E-2</v>
      </c>
      <c r="E5567" s="9">
        <v>1724465.2324523926</v>
      </c>
      <c r="F5567" s="257" t="s">
        <v>16917</v>
      </c>
      <c r="G5567" s="9"/>
      <c r="H5567" s="257" t="s">
        <v>23625</v>
      </c>
      <c r="I5567" s="9">
        <v>3</v>
      </c>
    </row>
    <row r="5568" spans="1:9">
      <c r="A5568" s="257" t="s">
        <v>6666</v>
      </c>
      <c r="B5568" s="9">
        <v>5</v>
      </c>
      <c r="C5568" s="257" t="s">
        <v>12490</v>
      </c>
      <c r="D5568" s="9">
        <v>6.9262926254852669E-2</v>
      </c>
      <c r="E5568" s="9">
        <v>1724465.2324523926</v>
      </c>
      <c r="F5568" s="257" t="s">
        <v>16918</v>
      </c>
      <c r="G5568" s="9"/>
      <c r="H5568" s="257" t="s">
        <v>23626</v>
      </c>
      <c r="I5568" s="9">
        <v>3</v>
      </c>
    </row>
    <row r="5569" spans="1:9">
      <c r="A5569" s="257" t="s">
        <v>6667</v>
      </c>
      <c r="B5569" s="9">
        <v>5</v>
      </c>
      <c r="C5569" s="257" t="s">
        <v>12490</v>
      </c>
      <c r="D5569" s="9">
        <v>6.8156677179737779E-2</v>
      </c>
      <c r="E5569" s="9">
        <v>1724465.2324523926</v>
      </c>
      <c r="F5569" s="257" t="s">
        <v>16919</v>
      </c>
      <c r="G5569" s="9"/>
      <c r="H5569" s="257" t="s">
        <v>23627</v>
      </c>
      <c r="I5569" s="9">
        <v>3</v>
      </c>
    </row>
    <row r="5570" spans="1:9">
      <c r="A5570" s="257" t="s">
        <v>6668</v>
      </c>
      <c r="B5570" s="9">
        <v>5</v>
      </c>
      <c r="C5570" s="257" t="s">
        <v>12490</v>
      </c>
      <c r="D5570" s="9">
        <v>5.5418227280473228E-2</v>
      </c>
      <c r="E5570" s="9">
        <v>1724465.2324523926</v>
      </c>
      <c r="F5570" s="257" t="s">
        <v>16920</v>
      </c>
      <c r="G5570" s="9"/>
      <c r="H5570" s="257" t="s">
        <v>23628</v>
      </c>
      <c r="I5570" s="9">
        <v>3</v>
      </c>
    </row>
    <row r="5571" spans="1:9">
      <c r="A5571" s="257" t="s">
        <v>6669</v>
      </c>
      <c r="B5571" s="9">
        <v>5</v>
      </c>
      <c r="C5571" s="257" t="s">
        <v>12490</v>
      </c>
      <c r="D5571" s="9"/>
      <c r="E5571" s="9">
        <v>1724465.2324523926</v>
      </c>
      <c r="F5571" s="257" t="s">
        <v>16921</v>
      </c>
      <c r="G5571" s="9"/>
      <c r="H5571" s="257" t="s">
        <v>23629</v>
      </c>
      <c r="I5571" s="9">
        <v>3</v>
      </c>
    </row>
    <row r="5572" spans="1:9">
      <c r="A5572" s="257" t="s">
        <v>6670</v>
      </c>
      <c r="B5572" s="9">
        <v>5</v>
      </c>
      <c r="C5572" s="257" t="s">
        <v>12490</v>
      </c>
      <c r="D5572" s="9">
        <v>5.6814308089299499E-2</v>
      </c>
      <c r="E5572" s="9">
        <v>1724465.2324523926</v>
      </c>
      <c r="F5572" s="257" t="s">
        <v>16922</v>
      </c>
      <c r="G5572" s="9"/>
      <c r="H5572" s="257" t="s">
        <v>23630</v>
      </c>
      <c r="I5572" s="9">
        <v>3</v>
      </c>
    </row>
    <row r="5573" spans="1:9">
      <c r="A5573" s="257" t="s">
        <v>6671</v>
      </c>
      <c r="B5573" s="9">
        <v>5</v>
      </c>
      <c r="C5573" s="257" t="s">
        <v>12490</v>
      </c>
      <c r="D5573" s="9">
        <v>5.1212525575726975E-2</v>
      </c>
      <c r="E5573" s="9">
        <v>1724465.2324523926</v>
      </c>
      <c r="F5573" s="257" t="s">
        <v>16923</v>
      </c>
      <c r="G5573" s="9"/>
      <c r="H5573" s="257" t="s">
        <v>23631</v>
      </c>
      <c r="I5573" s="9">
        <v>3</v>
      </c>
    </row>
    <row r="5574" spans="1:9">
      <c r="A5574" s="257" t="s">
        <v>6672</v>
      </c>
      <c r="B5574" s="9">
        <v>5</v>
      </c>
      <c r="C5574" s="257" t="s">
        <v>12490</v>
      </c>
      <c r="D5574" s="9"/>
      <c r="E5574" s="9">
        <v>1724465.2324523926</v>
      </c>
      <c r="F5574" s="257" t="s">
        <v>16924</v>
      </c>
      <c r="G5574" s="9"/>
      <c r="H5574" s="257" t="s">
        <v>23632</v>
      </c>
      <c r="I5574" s="9">
        <v>3</v>
      </c>
    </row>
    <row r="5575" spans="1:9">
      <c r="A5575" s="257" t="s">
        <v>6673</v>
      </c>
      <c r="B5575" s="9">
        <v>5</v>
      </c>
      <c r="C5575" s="257" t="s">
        <v>12490</v>
      </c>
      <c r="D5575" s="9"/>
      <c r="E5575" s="9">
        <v>1724465.2324523926</v>
      </c>
      <c r="F5575" s="257" t="s">
        <v>16925</v>
      </c>
      <c r="G5575" s="9"/>
      <c r="H5575" s="257" t="s">
        <v>23633</v>
      </c>
      <c r="I5575" s="9">
        <v>3</v>
      </c>
    </row>
    <row r="5576" spans="1:9">
      <c r="A5576" s="257" t="s">
        <v>6674</v>
      </c>
      <c r="B5576" s="9">
        <v>5</v>
      </c>
      <c r="C5576" s="257" t="s">
        <v>12490</v>
      </c>
      <c r="D5576" s="9">
        <v>5.2426945031584793E-2</v>
      </c>
      <c r="E5576" s="9">
        <v>1724465.2324523926</v>
      </c>
      <c r="F5576" s="257" t="s">
        <v>16926</v>
      </c>
      <c r="G5576" s="9"/>
      <c r="H5576" s="257" t="s">
        <v>23634</v>
      </c>
      <c r="I5576" s="9">
        <v>3</v>
      </c>
    </row>
    <row r="5577" spans="1:9">
      <c r="A5577" s="257" t="s">
        <v>6675</v>
      </c>
      <c r="B5577" s="9">
        <v>5</v>
      </c>
      <c r="C5577" s="257" t="s">
        <v>12490</v>
      </c>
      <c r="D5577" s="9"/>
      <c r="E5577" s="9">
        <v>1724465.2324523926</v>
      </c>
      <c r="F5577" s="257" t="s">
        <v>16927</v>
      </c>
      <c r="G5577" s="9"/>
      <c r="H5577" s="257" t="s">
        <v>23635</v>
      </c>
      <c r="I5577" s="9">
        <v>3</v>
      </c>
    </row>
    <row r="5578" spans="1:9">
      <c r="A5578" s="257" t="s">
        <v>6676</v>
      </c>
      <c r="B5578" s="9">
        <v>5</v>
      </c>
      <c r="C5578" s="257" t="s">
        <v>12490</v>
      </c>
      <c r="D5578" s="9">
        <v>4.553168747092648E-2</v>
      </c>
      <c r="E5578" s="9">
        <v>1724465.2324523926</v>
      </c>
      <c r="F5578" s="257" t="s">
        <v>16928</v>
      </c>
      <c r="G5578" s="9"/>
      <c r="H5578" s="257" t="s">
        <v>23636</v>
      </c>
      <c r="I5578" s="9">
        <v>3</v>
      </c>
    </row>
    <row r="5579" spans="1:9">
      <c r="A5579" s="257" t="s">
        <v>6677</v>
      </c>
      <c r="B5579" s="9">
        <v>5</v>
      </c>
      <c r="C5579" s="257" t="s">
        <v>12490</v>
      </c>
      <c r="D5579" s="9">
        <v>5.6814308089299499E-2</v>
      </c>
      <c r="E5579" s="9">
        <v>1724465.2324523926</v>
      </c>
      <c r="F5579" s="257" t="s">
        <v>16929</v>
      </c>
      <c r="G5579" s="9"/>
      <c r="H5579" s="257" t="s">
        <v>23637</v>
      </c>
      <c r="I5579" s="9">
        <v>3</v>
      </c>
    </row>
    <row r="5580" spans="1:9">
      <c r="A5580" s="257" t="s">
        <v>6678</v>
      </c>
      <c r="B5580" s="9">
        <v>5</v>
      </c>
      <c r="C5580" s="257" t="s">
        <v>12490</v>
      </c>
      <c r="D5580" s="9">
        <v>9.5647078387357722E-3</v>
      </c>
      <c r="E5580" s="9">
        <v>1724465.2324523926</v>
      </c>
      <c r="F5580" s="257" t="s">
        <v>16930</v>
      </c>
      <c r="G5580" s="9"/>
      <c r="H5580" s="257" t="s">
        <v>23638</v>
      </c>
      <c r="I5580" s="9">
        <v>3</v>
      </c>
    </row>
    <row r="5581" spans="1:9">
      <c r="A5581" s="257" t="s">
        <v>6679</v>
      </c>
      <c r="B5581" s="9">
        <v>5</v>
      </c>
      <c r="C5581" s="257" t="s">
        <v>12490</v>
      </c>
      <c r="D5581" s="9"/>
      <c r="E5581" s="9">
        <v>1724465.2324523926</v>
      </c>
      <c r="F5581" s="257" t="s">
        <v>16931</v>
      </c>
      <c r="G5581" s="9"/>
      <c r="H5581" s="257" t="s">
        <v>23639</v>
      </c>
      <c r="I5581" s="9">
        <v>3</v>
      </c>
    </row>
    <row r="5582" spans="1:9">
      <c r="A5582" s="257" t="s">
        <v>6680</v>
      </c>
      <c r="B5582" s="9">
        <v>5</v>
      </c>
      <c r="C5582" s="257" t="s">
        <v>12490</v>
      </c>
      <c r="D5582" s="9">
        <v>5.6814308089299499E-2</v>
      </c>
      <c r="E5582" s="9">
        <v>1724465.2324523926</v>
      </c>
      <c r="F5582" s="257" t="s">
        <v>16932</v>
      </c>
      <c r="G5582" s="9"/>
      <c r="H5582" s="257" t="s">
        <v>23640</v>
      </c>
      <c r="I5582" s="9">
        <v>3</v>
      </c>
    </row>
    <row r="5583" spans="1:9">
      <c r="A5583" s="257" t="s">
        <v>6681</v>
      </c>
      <c r="B5583" s="9">
        <v>5</v>
      </c>
      <c r="C5583" s="257" t="s">
        <v>12490</v>
      </c>
      <c r="D5583" s="9">
        <v>5.2204149829311125E-2</v>
      </c>
      <c r="E5583" s="9">
        <v>1724465.2324523926</v>
      </c>
      <c r="F5583" s="257" t="s">
        <v>16933</v>
      </c>
      <c r="G5583" s="9"/>
      <c r="H5583" s="257" t="s">
        <v>23641</v>
      </c>
      <c r="I5583" s="9">
        <v>3</v>
      </c>
    </row>
    <row r="5584" spans="1:9">
      <c r="A5584" s="257" t="s">
        <v>6682</v>
      </c>
      <c r="B5584" s="9">
        <v>5</v>
      </c>
      <c r="C5584" s="257" t="s">
        <v>12490</v>
      </c>
      <c r="D5584" s="9">
        <v>3.8612168346694169E-2</v>
      </c>
      <c r="E5584" s="9">
        <v>1724465.2324523926</v>
      </c>
      <c r="F5584" s="257" t="s">
        <v>16934</v>
      </c>
      <c r="G5584" s="9"/>
      <c r="H5584" s="257" t="s">
        <v>23642</v>
      </c>
      <c r="I5584" s="9">
        <v>3</v>
      </c>
    </row>
    <row r="5585" spans="1:9">
      <c r="A5585" s="257" t="s">
        <v>6683</v>
      </c>
      <c r="B5585" s="9">
        <v>5</v>
      </c>
      <c r="C5585" s="257" t="s">
        <v>12490</v>
      </c>
      <c r="D5585" s="9">
        <v>4.4962651424182438E-2</v>
      </c>
      <c r="E5585" s="9">
        <v>1724465.2324523926</v>
      </c>
      <c r="F5585" s="257" t="s">
        <v>16935</v>
      </c>
      <c r="G5585" s="9"/>
      <c r="H5585" s="257" t="s">
        <v>23643</v>
      </c>
      <c r="I5585" s="9">
        <v>3</v>
      </c>
    </row>
    <row r="5586" spans="1:9">
      <c r="A5586" s="257" t="s">
        <v>6684</v>
      </c>
      <c r="B5586" s="9">
        <v>5</v>
      </c>
      <c r="C5586" s="257" t="s">
        <v>12490</v>
      </c>
      <c r="D5586" s="9">
        <v>4.9669153987096287E-2</v>
      </c>
      <c r="E5586" s="9">
        <v>1724465.2324523926</v>
      </c>
      <c r="F5586" s="257" t="s">
        <v>16936</v>
      </c>
      <c r="G5586" s="9"/>
      <c r="H5586" s="257" t="s">
        <v>23644</v>
      </c>
      <c r="I5586" s="9">
        <v>3</v>
      </c>
    </row>
    <row r="5587" spans="1:9">
      <c r="A5587" s="257" t="s">
        <v>6685</v>
      </c>
      <c r="B5587" s="9">
        <v>6</v>
      </c>
      <c r="C5587" s="257" t="s">
        <v>12490</v>
      </c>
      <c r="D5587" s="9">
        <v>8.0093546098589666E-2</v>
      </c>
      <c r="E5587" s="9">
        <v>1727309.5965805054</v>
      </c>
      <c r="F5587" s="257" t="s">
        <v>16937</v>
      </c>
      <c r="G5587" s="9"/>
      <c r="H5587" s="257" t="s">
        <v>23645</v>
      </c>
      <c r="I5587" s="9">
        <v>3</v>
      </c>
    </row>
    <row r="5588" spans="1:9">
      <c r="A5588" s="257" t="s">
        <v>6686</v>
      </c>
      <c r="B5588" s="9">
        <v>6</v>
      </c>
      <c r="C5588" s="257" t="s">
        <v>12490</v>
      </c>
      <c r="D5588" s="9">
        <v>5.7175895232142122E-2</v>
      </c>
      <c r="E5588" s="9">
        <v>1727309.5965805054</v>
      </c>
      <c r="F5588" s="257" t="s">
        <v>16938</v>
      </c>
      <c r="G5588" s="9"/>
      <c r="H5588" s="257" t="s">
        <v>23646</v>
      </c>
      <c r="I5588" s="9">
        <v>3</v>
      </c>
    </row>
    <row r="5589" spans="1:9">
      <c r="A5589" s="257" t="s">
        <v>6687</v>
      </c>
      <c r="B5589" s="9">
        <v>6</v>
      </c>
      <c r="C5589" s="257" t="s">
        <v>12490</v>
      </c>
      <c r="D5589" s="9">
        <v>7.4407416941388291E-2</v>
      </c>
      <c r="E5589" s="9">
        <v>1727309.5965805054</v>
      </c>
      <c r="F5589" s="257" t="s">
        <v>16939</v>
      </c>
      <c r="G5589" s="9"/>
      <c r="H5589" s="257" t="s">
        <v>23647</v>
      </c>
      <c r="I5589" s="9">
        <v>3</v>
      </c>
    </row>
    <row r="5590" spans="1:9">
      <c r="A5590" s="257" t="s">
        <v>6688</v>
      </c>
      <c r="B5590" s="9">
        <v>6</v>
      </c>
      <c r="C5590" s="257" t="s">
        <v>12490</v>
      </c>
      <c r="D5590" s="9">
        <v>8.1353075837813579E-2</v>
      </c>
      <c r="E5590" s="9">
        <v>1727309.5965805054</v>
      </c>
      <c r="F5590" s="257" t="s">
        <v>16940</v>
      </c>
      <c r="G5590" s="9"/>
      <c r="H5590" s="257" t="s">
        <v>23648</v>
      </c>
      <c r="I5590" s="9">
        <v>3</v>
      </c>
    </row>
    <row r="5591" spans="1:9">
      <c r="A5591" s="257" t="s">
        <v>6689</v>
      </c>
      <c r="B5591" s="9">
        <v>6</v>
      </c>
      <c r="C5591" s="257" t="s">
        <v>12490</v>
      </c>
      <c r="D5591" s="9"/>
      <c r="E5591" s="9">
        <v>1727309.5965805054</v>
      </c>
      <c r="F5591" s="257" t="s">
        <v>16941</v>
      </c>
      <c r="G5591" s="9"/>
      <c r="H5591" s="257" t="s">
        <v>23649</v>
      </c>
      <c r="I5591" s="9">
        <v>3</v>
      </c>
    </row>
    <row r="5592" spans="1:9">
      <c r="A5592" s="257" t="s">
        <v>6690</v>
      </c>
      <c r="B5592" s="9">
        <v>6</v>
      </c>
      <c r="C5592" s="257" t="s">
        <v>12490</v>
      </c>
      <c r="D5592" s="9"/>
      <c r="E5592" s="9">
        <v>1727309.5965805054</v>
      </c>
      <c r="F5592" s="257" t="s">
        <v>16942</v>
      </c>
      <c r="G5592" s="9"/>
      <c r="H5592" s="257" t="s">
        <v>23650</v>
      </c>
      <c r="I5592" s="9">
        <v>3</v>
      </c>
    </row>
    <row r="5593" spans="1:9">
      <c r="A5593" s="257" t="s">
        <v>6691</v>
      </c>
      <c r="B5593" s="9">
        <v>6</v>
      </c>
      <c r="C5593" s="257" t="s">
        <v>12490</v>
      </c>
      <c r="D5593" s="9"/>
      <c r="E5593" s="9">
        <v>1727309.5965805054</v>
      </c>
      <c r="F5593" s="257" t="s">
        <v>16943</v>
      </c>
      <c r="G5593" s="9"/>
      <c r="H5593" s="257" t="s">
        <v>23651</v>
      </c>
      <c r="I5593" s="9">
        <v>3</v>
      </c>
    </row>
    <row r="5594" spans="1:9">
      <c r="A5594" s="257" t="s">
        <v>6692</v>
      </c>
      <c r="B5594" s="9">
        <v>6</v>
      </c>
      <c r="C5594" s="257" t="s">
        <v>12490</v>
      </c>
      <c r="D5594" s="9">
        <v>6.11360524424523E-2</v>
      </c>
      <c r="E5594" s="9">
        <v>1727309.5965805054</v>
      </c>
      <c r="F5594" s="257" t="s">
        <v>16944</v>
      </c>
      <c r="G5594" s="9"/>
      <c r="H5594" s="257" t="s">
        <v>23652</v>
      </c>
      <c r="I5594" s="9">
        <v>3</v>
      </c>
    </row>
    <row r="5595" spans="1:9">
      <c r="A5595" s="257" t="s">
        <v>6693</v>
      </c>
      <c r="B5595" s="9">
        <v>6</v>
      </c>
      <c r="C5595" s="257" t="s">
        <v>12490</v>
      </c>
      <c r="D5595" s="9">
        <v>7.7571031124064257E-2</v>
      </c>
      <c r="E5595" s="9">
        <v>1727309.5965805054</v>
      </c>
      <c r="F5595" s="257" t="s">
        <v>16945</v>
      </c>
      <c r="G5595" s="9"/>
      <c r="H5595" s="257" t="s">
        <v>23653</v>
      </c>
      <c r="I5595" s="9">
        <v>3</v>
      </c>
    </row>
    <row r="5596" spans="1:9">
      <c r="A5596" s="257" t="s">
        <v>6694</v>
      </c>
      <c r="B5596" s="9">
        <v>6</v>
      </c>
      <c r="C5596" s="257" t="s">
        <v>12490</v>
      </c>
      <c r="D5596" s="9"/>
      <c r="E5596" s="9">
        <v>1727309.5965805054</v>
      </c>
      <c r="F5596" s="257" t="s">
        <v>16946</v>
      </c>
      <c r="G5596" s="9"/>
      <c r="H5596" s="257" t="s">
        <v>23654</v>
      </c>
      <c r="I5596" s="9">
        <v>3</v>
      </c>
    </row>
    <row r="5597" spans="1:9">
      <c r="A5597" s="257" t="s">
        <v>6695</v>
      </c>
      <c r="B5597" s="9">
        <v>6</v>
      </c>
      <c r="C5597" s="257" t="s">
        <v>12490</v>
      </c>
      <c r="D5597" s="9">
        <v>7.9896364354204788E-2</v>
      </c>
      <c r="E5597" s="9">
        <v>1727309.5965805054</v>
      </c>
      <c r="F5597" s="257" t="s">
        <v>16947</v>
      </c>
      <c r="G5597" s="9"/>
      <c r="H5597" s="257" t="s">
        <v>23655</v>
      </c>
      <c r="I5597" s="9">
        <v>3</v>
      </c>
    </row>
    <row r="5598" spans="1:9">
      <c r="A5598" s="257" t="s">
        <v>6696</v>
      </c>
      <c r="B5598" s="9">
        <v>6</v>
      </c>
      <c r="C5598" s="257" t="s">
        <v>12490</v>
      </c>
      <c r="D5598" s="9"/>
      <c r="E5598" s="9">
        <v>1727309.5965805054</v>
      </c>
      <c r="F5598" s="257" t="s">
        <v>16948</v>
      </c>
      <c r="G5598" s="9"/>
      <c r="H5598" s="257" t="s">
        <v>23656</v>
      </c>
      <c r="I5598" s="9">
        <v>3</v>
      </c>
    </row>
    <row r="5599" spans="1:9">
      <c r="A5599" s="257" t="s">
        <v>6697</v>
      </c>
      <c r="B5599" s="9">
        <v>6</v>
      </c>
      <c r="C5599" s="257" t="s">
        <v>12490</v>
      </c>
      <c r="D5599" s="9">
        <v>6.312123584585376E-2</v>
      </c>
      <c r="E5599" s="9">
        <v>1727309.5965805054</v>
      </c>
      <c r="F5599" s="257" t="s">
        <v>16949</v>
      </c>
      <c r="G5599" s="9"/>
      <c r="H5599" s="257" t="s">
        <v>23657</v>
      </c>
      <c r="I5599" s="9">
        <v>3</v>
      </c>
    </row>
    <row r="5600" spans="1:9">
      <c r="A5600" s="257" t="s">
        <v>6698</v>
      </c>
      <c r="B5600" s="9">
        <v>6</v>
      </c>
      <c r="C5600" s="257" t="s">
        <v>12490</v>
      </c>
      <c r="D5600" s="9"/>
      <c r="E5600" s="9">
        <v>1727309.5965805054</v>
      </c>
      <c r="F5600" s="257" t="s">
        <v>16950</v>
      </c>
      <c r="G5600" s="9"/>
      <c r="H5600" s="257" t="s">
        <v>23658</v>
      </c>
      <c r="I5600" s="9">
        <v>3</v>
      </c>
    </row>
    <row r="5601" spans="1:9">
      <c r="A5601" s="257" t="s">
        <v>6699</v>
      </c>
      <c r="B5601" s="9">
        <v>6</v>
      </c>
      <c r="C5601" s="257" t="s">
        <v>12490</v>
      </c>
      <c r="D5601" s="9">
        <v>7.1294345129071887E-2</v>
      </c>
      <c r="E5601" s="9">
        <v>1727309.5965805054</v>
      </c>
      <c r="F5601" s="257" t="s">
        <v>16951</v>
      </c>
      <c r="G5601" s="9"/>
      <c r="H5601" s="257" t="s">
        <v>23659</v>
      </c>
      <c r="I5601" s="9">
        <v>3</v>
      </c>
    </row>
    <row r="5602" spans="1:9">
      <c r="A5602" s="257" t="s">
        <v>6700</v>
      </c>
      <c r="B5602" s="9">
        <v>6</v>
      </c>
      <c r="C5602" s="257" t="s">
        <v>12490</v>
      </c>
      <c r="D5602" s="9">
        <v>8.0093546098589666E-2</v>
      </c>
      <c r="E5602" s="9">
        <v>1727309.5965805054</v>
      </c>
      <c r="F5602" s="257" t="s">
        <v>16952</v>
      </c>
      <c r="G5602" s="9"/>
      <c r="H5602" s="257" t="s">
        <v>23660</v>
      </c>
      <c r="I5602" s="9">
        <v>3</v>
      </c>
    </row>
    <row r="5603" spans="1:9">
      <c r="A5603" s="257" t="s">
        <v>6701</v>
      </c>
      <c r="B5603" s="9">
        <v>6</v>
      </c>
      <c r="C5603" s="257" t="s">
        <v>12490</v>
      </c>
      <c r="D5603" s="9">
        <v>7.1294345129071887E-2</v>
      </c>
      <c r="E5603" s="9">
        <v>1727309.5965805054</v>
      </c>
      <c r="F5603" s="257" t="s">
        <v>16953</v>
      </c>
      <c r="G5603" s="9"/>
      <c r="H5603" s="257" t="s">
        <v>23661</v>
      </c>
      <c r="I5603" s="9">
        <v>3</v>
      </c>
    </row>
    <row r="5604" spans="1:9">
      <c r="A5604" s="257" t="s">
        <v>6702</v>
      </c>
      <c r="B5604" s="9">
        <v>6</v>
      </c>
      <c r="C5604" s="257" t="s">
        <v>12490</v>
      </c>
      <c r="D5604" s="9">
        <v>7.7571031124064257E-2</v>
      </c>
      <c r="E5604" s="9">
        <v>1727309.5965805054</v>
      </c>
      <c r="F5604" s="257" t="s">
        <v>16954</v>
      </c>
      <c r="G5604" s="9"/>
      <c r="H5604" s="257" t="s">
        <v>23662</v>
      </c>
      <c r="I5604" s="9">
        <v>3</v>
      </c>
    </row>
    <row r="5605" spans="1:9">
      <c r="A5605" s="257" t="s">
        <v>6703</v>
      </c>
      <c r="B5605" s="9">
        <v>6</v>
      </c>
      <c r="C5605" s="257" t="s">
        <v>12490</v>
      </c>
      <c r="D5605" s="9">
        <v>3.9061917323978228E-2</v>
      </c>
      <c r="E5605" s="9">
        <v>1727309.5965805054</v>
      </c>
      <c r="F5605" s="257" t="s">
        <v>16955</v>
      </c>
      <c r="G5605" s="9"/>
      <c r="H5605" s="257" t="s">
        <v>23663</v>
      </c>
      <c r="I5605" s="9">
        <v>3</v>
      </c>
    </row>
    <row r="5606" spans="1:9">
      <c r="A5606" s="257" t="s">
        <v>6704</v>
      </c>
      <c r="B5606" s="9">
        <v>6</v>
      </c>
      <c r="C5606" s="257" t="s">
        <v>12490</v>
      </c>
      <c r="D5606" s="9"/>
      <c r="E5606" s="9">
        <v>1727309.5965805054</v>
      </c>
      <c r="F5606" s="257" t="s">
        <v>16956</v>
      </c>
      <c r="G5606" s="9"/>
      <c r="H5606" s="257" t="s">
        <v>23664</v>
      </c>
      <c r="I5606" s="9">
        <v>3</v>
      </c>
    </row>
    <row r="5607" spans="1:9">
      <c r="A5607" s="257" t="s">
        <v>6705</v>
      </c>
      <c r="B5607" s="9">
        <v>6</v>
      </c>
      <c r="C5607" s="257" t="s">
        <v>12490</v>
      </c>
      <c r="D5607" s="9">
        <v>7.7571031124064257E-2</v>
      </c>
      <c r="E5607" s="9">
        <v>1727309.5965805054</v>
      </c>
      <c r="F5607" s="257" t="s">
        <v>16957</v>
      </c>
      <c r="G5607" s="9"/>
      <c r="H5607" s="257" t="s">
        <v>23665</v>
      </c>
      <c r="I5607" s="9">
        <v>3</v>
      </c>
    </row>
    <row r="5608" spans="1:9">
      <c r="A5608" s="257" t="s">
        <v>6706</v>
      </c>
      <c r="B5608" s="9">
        <v>6</v>
      </c>
      <c r="C5608" s="257" t="s">
        <v>12490</v>
      </c>
      <c r="D5608" s="9">
        <v>7.4949037148265646E-2</v>
      </c>
      <c r="E5608" s="9">
        <v>1727309.5965805054</v>
      </c>
      <c r="F5608" s="257" t="s">
        <v>16958</v>
      </c>
      <c r="G5608" s="9"/>
      <c r="H5608" s="257" t="s">
        <v>23666</v>
      </c>
      <c r="I5608" s="9">
        <v>3</v>
      </c>
    </row>
    <row r="5609" spans="1:9">
      <c r="A5609" s="257" t="s">
        <v>6707</v>
      </c>
      <c r="B5609" s="9">
        <v>6</v>
      </c>
      <c r="C5609" s="257" t="s">
        <v>12490</v>
      </c>
      <c r="D5609" s="9">
        <v>6.84186092233625E-2</v>
      </c>
      <c r="E5609" s="9">
        <v>1727309.5965805054</v>
      </c>
      <c r="F5609" s="257" t="s">
        <v>16959</v>
      </c>
      <c r="G5609" s="9"/>
      <c r="H5609" s="257" t="s">
        <v>23667</v>
      </c>
      <c r="I5609" s="9">
        <v>3</v>
      </c>
    </row>
    <row r="5610" spans="1:9">
      <c r="A5610" s="257" t="s">
        <v>6708</v>
      </c>
      <c r="B5610" s="9">
        <v>6</v>
      </c>
      <c r="C5610" s="257" t="s">
        <v>12490</v>
      </c>
      <c r="D5610" s="9">
        <v>7.5627411085458257E-2</v>
      </c>
      <c r="E5610" s="9">
        <v>1727309.5965805054</v>
      </c>
      <c r="F5610" s="257" t="s">
        <v>16960</v>
      </c>
      <c r="G5610" s="9"/>
      <c r="H5610" s="257" t="s">
        <v>23668</v>
      </c>
      <c r="I5610" s="9">
        <v>3</v>
      </c>
    </row>
    <row r="5611" spans="1:9">
      <c r="A5611" s="257" t="s">
        <v>6709</v>
      </c>
      <c r="B5611" s="9">
        <v>6</v>
      </c>
      <c r="C5611" s="257" t="s">
        <v>12490</v>
      </c>
      <c r="D5611" s="9"/>
      <c r="E5611" s="9">
        <v>1727309.5965805054</v>
      </c>
      <c r="F5611" s="257" t="s">
        <v>16961</v>
      </c>
      <c r="G5611" s="9"/>
      <c r="H5611" s="257" t="s">
        <v>23669</v>
      </c>
      <c r="I5611" s="9">
        <v>3</v>
      </c>
    </row>
    <row r="5612" spans="1:9">
      <c r="A5612" s="257" t="s">
        <v>6710</v>
      </c>
      <c r="B5612" s="9">
        <v>7</v>
      </c>
      <c r="C5612" s="257" t="s">
        <v>12490</v>
      </c>
      <c r="D5612" s="9">
        <v>9.5481885625935778E-2</v>
      </c>
      <c r="E5612" s="9">
        <v>1724929.0217895508</v>
      </c>
      <c r="F5612" s="257" t="s">
        <v>16962</v>
      </c>
      <c r="G5612" s="9"/>
      <c r="H5612" s="257" t="s">
        <v>23670</v>
      </c>
      <c r="I5612" s="9">
        <v>3</v>
      </c>
    </row>
    <row r="5613" spans="1:9">
      <c r="A5613" s="257" t="s">
        <v>6711</v>
      </c>
      <c r="B5613" s="9">
        <v>7</v>
      </c>
      <c r="C5613" s="257" t="s">
        <v>12490</v>
      </c>
      <c r="D5613" s="9">
        <v>8.2094736661593781E-2</v>
      </c>
      <c r="E5613" s="9">
        <v>1724929.0217895508</v>
      </c>
      <c r="F5613" s="257" t="s">
        <v>16963</v>
      </c>
      <c r="G5613" s="9"/>
      <c r="H5613" s="257" t="s">
        <v>23671</v>
      </c>
      <c r="I5613" s="9">
        <v>3</v>
      </c>
    </row>
    <row r="5614" spans="1:9">
      <c r="A5614" s="257" t="s">
        <v>6712</v>
      </c>
      <c r="B5614" s="9">
        <v>7</v>
      </c>
      <c r="C5614" s="257" t="s">
        <v>12490</v>
      </c>
      <c r="D5614" s="9">
        <v>0.1088981232353726</v>
      </c>
      <c r="E5614" s="9">
        <v>1724929.0217895508</v>
      </c>
      <c r="F5614" s="257" t="s">
        <v>16964</v>
      </c>
      <c r="G5614" s="9"/>
      <c r="H5614" s="257" t="s">
        <v>23672</v>
      </c>
      <c r="I5614" s="9">
        <v>3</v>
      </c>
    </row>
    <row r="5615" spans="1:9">
      <c r="A5615" s="257" t="s">
        <v>6713</v>
      </c>
      <c r="B5615" s="9">
        <v>7</v>
      </c>
      <c r="C5615" s="257" t="s">
        <v>12490</v>
      </c>
      <c r="D5615" s="9">
        <v>7.7414629360245471E-2</v>
      </c>
      <c r="E5615" s="9">
        <v>1724929.0217895508</v>
      </c>
      <c r="F5615" s="257" t="s">
        <v>16965</v>
      </c>
      <c r="G5615" s="9"/>
      <c r="H5615" s="257" t="s">
        <v>23673</v>
      </c>
      <c r="I5615" s="9">
        <v>3</v>
      </c>
    </row>
    <row r="5616" spans="1:9">
      <c r="A5616" s="257" t="s">
        <v>6714</v>
      </c>
      <c r="B5616" s="9">
        <v>7</v>
      </c>
      <c r="C5616" s="257" t="s">
        <v>12490</v>
      </c>
      <c r="D5616" s="9">
        <v>8.7328893989228759E-2</v>
      </c>
      <c r="E5616" s="9">
        <v>1724929.0217895508</v>
      </c>
      <c r="F5616" s="257" t="s">
        <v>16966</v>
      </c>
      <c r="G5616" s="9"/>
      <c r="H5616" s="257" t="s">
        <v>23674</v>
      </c>
      <c r="I5616" s="9">
        <v>3</v>
      </c>
    </row>
    <row r="5617" spans="1:9">
      <c r="A5617" s="257" t="s">
        <v>6715</v>
      </c>
      <c r="B5617" s="9">
        <v>7</v>
      </c>
      <c r="C5617" s="257" t="s">
        <v>12490</v>
      </c>
      <c r="D5617" s="9">
        <v>9.8241105898608752E-2</v>
      </c>
      <c r="E5617" s="9">
        <v>1724929.0217895508</v>
      </c>
      <c r="F5617" s="257" t="s">
        <v>16967</v>
      </c>
      <c r="G5617" s="9"/>
      <c r="H5617" s="257" t="s">
        <v>23675</v>
      </c>
      <c r="I5617" s="9">
        <v>3</v>
      </c>
    </row>
    <row r="5618" spans="1:9">
      <c r="A5618" s="257" t="s">
        <v>6716</v>
      </c>
      <c r="B5618" s="9">
        <v>7</v>
      </c>
      <c r="C5618" s="257" t="s">
        <v>12490</v>
      </c>
      <c r="D5618" s="9"/>
      <c r="E5618" s="9">
        <v>1724929.0217895508</v>
      </c>
      <c r="F5618" s="257" t="s">
        <v>16968</v>
      </c>
      <c r="G5618" s="9"/>
      <c r="H5618" s="257" t="s">
        <v>23676</v>
      </c>
      <c r="I5618" s="9">
        <v>3</v>
      </c>
    </row>
    <row r="5619" spans="1:9">
      <c r="A5619" s="257" t="s">
        <v>6717</v>
      </c>
      <c r="B5619" s="9">
        <v>7</v>
      </c>
      <c r="C5619" s="257" t="s">
        <v>12490</v>
      </c>
      <c r="D5619" s="9"/>
      <c r="E5619" s="9">
        <v>1724929.0217895508</v>
      </c>
      <c r="F5619" s="257" t="s">
        <v>16969</v>
      </c>
      <c r="G5619" s="9"/>
      <c r="H5619" s="257" t="s">
        <v>23677</v>
      </c>
      <c r="I5619" s="9">
        <v>3</v>
      </c>
    </row>
    <row r="5620" spans="1:9">
      <c r="A5620" s="257" t="s">
        <v>6718</v>
      </c>
      <c r="B5620" s="9">
        <v>7</v>
      </c>
      <c r="C5620" s="257" t="s">
        <v>12490</v>
      </c>
      <c r="D5620" s="9">
        <v>5.1883374976125718E-2</v>
      </c>
      <c r="E5620" s="9">
        <v>1724929.0217895508</v>
      </c>
      <c r="F5620" s="257" t="s">
        <v>16970</v>
      </c>
      <c r="G5620" s="9"/>
      <c r="H5620" s="257" t="s">
        <v>23678</v>
      </c>
      <c r="I5620" s="9">
        <v>3</v>
      </c>
    </row>
    <row r="5621" spans="1:9">
      <c r="A5621" s="257" t="s">
        <v>6719</v>
      </c>
      <c r="B5621" s="9">
        <v>7</v>
      </c>
      <c r="C5621" s="257" t="s">
        <v>12490</v>
      </c>
      <c r="D5621" s="9">
        <v>0.10010900752559372</v>
      </c>
      <c r="E5621" s="9">
        <v>1724929.0217895508</v>
      </c>
      <c r="F5621" s="257" t="s">
        <v>16971</v>
      </c>
      <c r="G5621" s="9"/>
      <c r="H5621" s="257" t="s">
        <v>23679</v>
      </c>
      <c r="I5621" s="9">
        <v>3</v>
      </c>
    </row>
    <row r="5622" spans="1:9">
      <c r="A5622" s="257" t="s">
        <v>6720</v>
      </c>
      <c r="B5622" s="9">
        <v>7</v>
      </c>
      <c r="C5622" s="257" t="s">
        <v>12490</v>
      </c>
      <c r="D5622" s="9"/>
      <c r="E5622" s="9">
        <v>1724929.0217895508</v>
      </c>
      <c r="F5622" s="257" t="s">
        <v>16972</v>
      </c>
      <c r="G5622" s="9"/>
      <c r="H5622" s="257" t="s">
        <v>23680</v>
      </c>
      <c r="I5622" s="9">
        <v>3</v>
      </c>
    </row>
    <row r="5623" spans="1:9">
      <c r="A5623" s="257" t="s">
        <v>6721</v>
      </c>
      <c r="B5623" s="9">
        <v>7</v>
      </c>
      <c r="C5623" s="257" t="s">
        <v>12490</v>
      </c>
      <c r="D5623" s="9"/>
      <c r="E5623" s="9">
        <v>1724929.0217895508</v>
      </c>
      <c r="F5623" s="257" t="s">
        <v>16973</v>
      </c>
      <c r="G5623" s="9"/>
      <c r="H5623" s="257" t="s">
        <v>23681</v>
      </c>
      <c r="I5623" s="9">
        <v>3</v>
      </c>
    </row>
    <row r="5624" spans="1:9">
      <c r="A5624" s="257" t="s">
        <v>6722</v>
      </c>
      <c r="B5624" s="9">
        <v>7</v>
      </c>
      <c r="C5624" s="257" t="s">
        <v>12490</v>
      </c>
      <c r="D5624" s="9">
        <v>0.10743684070673944</v>
      </c>
      <c r="E5624" s="9">
        <v>1724929.0217895508</v>
      </c>
      <c r="F5624" s="257" t="s">
        <v>16974</v>
      </c>
      <c r="G5624" s="9"/>
      <c r="H5624" s="257" t="s">
        <v>23682</v>
      </c>
      <c r="I5624" s="9">
        <v>3</v>
      </c>
    </row>
    <row r="5625" spans="1:9">
      <c r="A5625" s="257" t="s">
        <v>6723</v>
      </c>
      <c r="B5625" s="9">
        <v>7</v>
      </c>
      <c r="C5625" s="257" t="s">
        <v>12490</v>
      </c>
      <c r="D5625" s="9">
        <v>9.6827108763957059E-2</v>
      </c>
      <c r="E5625" s="9">
        <v>1724929.0217895508</v>
      </c>
      <c r="F5625" s="257" t="s">
        <v>16975</v>
      </c>
      <c r="G5625" s="9"/>
      <c r="H5625" s="257" t="s">
        <v>23683</v>
      </c>
      <c r="I5625" s="9">
        <v>3</v>
      </c>
    </row>
    <row r="5626" spans="1:9">
      <c r="A5626" s="257" t="s">
        <v>6724</v>
      </c>
      <c r="B5626" s="9">
        <v>7</v>
      </c>
      <c r="C5626" s="257" t="s">
        <v>12490</v>
      </c>
      <c r="D5626" s="9"/>
      <c r="E5626" s="9">
        <v>1724929.0217895508</v>
      </c>
      <c r="F5626" s="257" t="s">
        <v>16976</v>
      </c>
      <c r="G5626" s="9"/>
      <c r="H5626" s="257" t="s">
        <v>23684</v>
      </c>
      <c r="I5626" s="9">
        <v>3</v>
      </c>
    </row>
    <row r="5627" spans="1:9">
      <c r="A5627" s="257" t="s">
        <v>6725</v>
      </c>
      <c r="B5627" s="9">
        <v>7</v>
      </c>
      <c r="C5627" s="257" t="s">
        <v>12490</v>
      </c>
      <c r="D5627" s="9">
        <v>0.1170713308975172</v>
      </c>
      <c r="E5627" s="9">
        <v>1724929.0217895508</v>
      </c>
      <c r="F5627" s="257" t="s">
        <v>16977</v>
      </c>
      <c r="G5627" s="9"/>
      <c r="H5627" s="257" t="s">
        <v>23685</v>
      </c>
      <c r="I5627" s="9">
        <v>3</v>
      </c>
    </row>
    <row r="5628" spans="1:9">
      <c r="A5628" s="257" t="s">
        <v>6726</v>
      </c>
      <c r="B5628" s="9">
        <v>7</v>
      </c>
      <c r="C5628" s="257" t="s">
        <v>12490</v>
      </c>
      <c r="D5628" s="9">
        <v>9.6827108763957059E-2</v>
      </c>
      <c r="E5628" s="9">
        <v>1724929.0217895508</v>
      </c>
      <c r="F5628" s="257" t="s">
        <v>16978</v>
      </c>
      <c r="G5628" s="9"/>
      <c r="H5628" s="257" t="s">
        <v>23686</v>
      </c>
      <c r="I5628" s="9">
        <v>3</v>
      </c>
    </row>
    <row r="5629" spans="1:9">
      <c r="A5629" s="257" t="s">
        <v>6727</v>
      </c>
      <c r="B5629" s="9">
        <v>7</v>
      </c>
      <c r="C5629" s="257" t="s">
        <v>12490</v>
      </c>
      <c r="D5629" s="9">
        <v>0.1074936907342985</v>
      </c>
      <c r="E5629" s="9">
        <v>1724929.0217895508</v>
      </c>
      <c r="F5629" s="257" t="s">
        <v>16979</v>
      </c>
      <c r="G5629" s="9"/>
      <c r="H5629" s="257" t="s">
        <v>23687</v>
      </c>
      <c r="I5629" s="9">
        <v>3</v>
      </c>
    </row>
    <row r="5630" spans="1:9">
      <c r="A5630" s="257" t="s">
        <v>6728</v>
      </c>
      <c r="B5630" s="9">
        <v>7</v>
      </c>
      <c r="C5630" s="257" t="s">
        <v>12490</v>
      </c>
      <c r="D5630" s="9"/>
      <c r="E5630" s="9">
        <v>1724929.0217895508</v>
      </c>
      <c r="F5630" s="257" t="s">
        <v>16980</v>
      </c>
      <c r="G5630" s="9"/>
      <c r="H5630" s="257" t="s">
        <v>23688</v>
      </c>
      <c r="I5630" s="9">
        <v>3</v>
      </c>
    </row>
    <row r="5631" spans="1:9">
      <c r="A5631" s="257" t="s">
        <v>6729</v>
      </c>
      <c r="B5631" s="9">
        <v>7</v>
      </c>
      <c r="C5631" s="257" t="s">
        <v>12490</v>
      </c>
      <c r="D5631" s="9"/>
      <c r="E5631" s="9">
        <v>1724929.0217895508</v>
      </c>
      <c r="F5631" s="257" t="s">
        <v>16981</v>
      </c>
      <c r="G5631" s="9"/>
      <c r="H5631" s="257" t="s">
        <v>23689</v>
      </c>
      <c r="I5631" s="9">
        <v>3</v>
      </c>
    </row>
    <row r="5632" spans="1:9">
      <c r="A5632" s="257" t="s">
        <v>6730</v>
      </c>
      <c r="B5632" s="9">
        <v>7</v>
      </c>
      <c r="C5632" s="257" t="s">
        <v>12490</v>
      </c>
      <c r="D5632" s="9">
        <v>7.2834255968722797E-2</v>
      </c>
      <c r="E5632" s="9">
        <v>1724929.0217895508</v>
      </c>
      <c r="F5632" s="257" t="s">
        <v>16982</v>
      </c>
      <c r="G5632" s="9"/>
      <c r="H5632" s="257" t="s">
        <v>23690</v>
      </c>
      <c r="I5632" s="9">
        <v>3</v>
      </c>
    </row>
    <row r="5633" spans="1:9">
      <c r="A5633" s="257" t="s">
        <v>6731</v>
      </c>
      <c r="B5633" s="9">
        <v>7</v>
      </c>
      <c r="C5633" s="257" t="s">
        <v>12490</v>
      </c>
      <c r="D5633" s="9">
        <v>0.1170713308975172</v>
      </c>
      <c r="E5633" s="9">
        <v>1724929.0217895508</v>
      </c>
      <c r="F5633" s="257" t="s">
        <v>16983</v>
      </c>
      <c r="G5633" s="9"/>
      <c r="H5633" s="257" t="s">
        <v>23691</v>
      </c>
      <c r="I5633" s="9">
        <v>3</v>
      </c>
    </row>
    <row r="5634" spans="1:9">
      <c r="A5634" s="257" t="s">
        <v>6732</v>
      </c>
      <c r="B5634" s="9">
        <v>7</v>
      </c>
      <c r="C5634" s="257" t="s">
        <v>12490</v>
      </c>
      <c r="D5634" s="9">
        <v>0.1074936907342985</v>
      </c>
      <c r="E5634" s="9">
        <v>1724929.0217895508</v>
      </c>
      <c r="F5634" s="257" t="s">
        <v>16984</v>
      </c>
      <c r="G5634" s="9"/>
      <c r="H5634" s="257" t="s">
        <v>23692</v>
      </c>
      <c r="I5634" s="9">
        <v>3</v>
      </c>
    </row>
    <row r="5635" spans="1:9">
      <c r="A5635" s="257" t="s">
        <v>6733</v>
      </c>
      <c r="B5635" s="9">
        <v>7</v>
      </c>
      <c r="C5635" s="257" t="s">
        <v>12490</v>
      </c>
      <c r="D5635" s="9"/>
      <c r="E5635" s="9">
        <v>1724929.0217895508</v>
      </c>
      <c r="F5635" s="257" t="s">
        <v>16985</v>
      </c>
      <c r="G5635" s="9"/>
      <c r="H5635" s="257" t="s">
        <v>23693</v>
      </c>
      <c r="I5635" s="9">
        <v>3</v>
      </c>
    </row>
    <row r="5636" spans="1:9">
      <c r="A5636" s="257" t="s">
        <v>6734</v>
      </c>
      <c r="B5636" s="9">
        <v>7</v>
      </c>
      <c r="C5636" s="257" t="s">
        <v>12490</v>
      </c>
      <c r="D5636" s="9">
        <v>0.1074936907342985</v>
      </c>
      <c r="E5636" s="9">
        <v>1724929.0217895508</v>
      </c>
      <c r="F5636" s="257" t="s">
        <v>16986</v>
      </c>
      <c r="G5636" s="9"/>
      <c r="H5636" s="257" t="s">
        <v>23694</v>
      </c>
      <c r="I5636" s="9">
        <v>3</v>
      </c>
    </row>
    <row r="5637" spans="1:9">
      <c r="A5637" s="257" t="s">
        <v>6735</v>
      </c>
      <c r="B5637" s="9">
        <v>8</v>
      </c>
      <c r="C5637" s="257" t="s">
        <v>12490</v>
      </c>
      <c r="D5637" s="9">
        <v>0.13810492365283292</v>
      </c>
      <c r="E5637" s="9">
        <v>1724851.1857852936</v>
      </c>
      <c r="F5637" s="257" t="s">
        <v>16986</v>
      </c>
      <c r="G5637" s="9"/>
      <c r="H5637" s="257" t="s">
        <v>23695</v>
      </c>
      <c r="I5637" s="9">
        <v>3</v>
      </c>
    </row>
    <row r="5638" spans="1:9">
      <c r="A5638" s="257" t="s">
        <v>6736</v>
      </c>
      <c r="B5638" s="9">
        <v>8</v>
      </c>
      <c r="C5638" s="257" t="s">
        <v>12490</v>
      </c>
      <c r="D5638" s="9"/>
      <c r="E5638" s="9">
        <v>1724851.1857852936</v>
      </c>
      <c r="F5638" s="257" t="s">
        <v>16987</v>
      </c>
      <c r="G5638" s="9"/>
      <c r="H5638" s="257" t="s">
        <v>23696</v>
      </c>
      <c r="I5638" s="9">
        <v>3</v>
      </c>
    </row>
    <row r="5639" spans="1:9">
      <c r="A5639" s="257" t="s">
        <v>6737</v>
      </c>
      <c r="B5639" s="9">
        <v>8</v>
      </c>
      <c r="C5639" s="257" t="s">
        <v>12490</v>
      </c>
      <c r="D5639" s="9">
        <v>0.14575615076428755</v>
      </c>
      <c r="E5639" s="9">
        <v>1724851.1857852936</v>
      </c>
      <c r="F5639" s="257" t="s">
        <v>16988</v>
      </c>
      <c r="G5639" s="9"/>
      <c r="H5639" s="257" t="s">
        <v>23697</v>
      </c>
      <c r="I5639" s="9">
        <v>3</v>
      </c>
    </row>
    <row r="5640" spans="1:9">
      <c r="A5640" s="257" t="s">
        <v>6738</v>
      </c>
      <c r="B5640" s="9">
        <v>8</v>
      </c>
      <c r="C5640" s="257" t="s">
        <v>12490</v>
      </c>
      <c r="D5640" s="9">
        <v>0.13810492365283292</v>
      </c>
      <c r="E5640" s="9">
        <v>1724851.1857852936</v>
      </c>
      <c r="F5640" s="257" t="s">
        <v>16989</v>
      </c>
      <c r="G5640" s="9"/>
      <c r="H5640" s="257" t="s">
        <v>23698</v>
      </c>
      <c r="I5640" s="9">
        <v>3</v>
      </c>
    </row>
    <row r="5641" spans="1:9">
      <c r="A5641" s="257" t="s">
        <v>6739</v>
      </c>
      <c r="B5641" s="9">
        <v>8</v>
      </c>
      <c r="C5641" s="257" t="s">
        <v>12490</v>
      </c>
      <c r="D5641" s="9">
        <v>0.13810492365283292</v>
      </c>
      <c r="E5641" s="9">
        <v>1724851.1857852936</v>
      </c>
      <c r="F5641" s="257" t="s">
        <v>16990</v>
      </c>
      <c r="G5641" s="9"/>
      <c r="H5641" s="257" t="s">
        <v>23699</v>
      </c>
      <c r="I5641" s="9">
        <v>3</v>
      </c>
    </row>
    <row r="5642" spans="1:9">
      <c r="A5642" s="257" t="s">
        <v>6740</v>
      </c>
      <c r="B5642" s="9">
        <v>8</v>
      </c>
      <c r="C5642" s="257" t="s">
        <v>12490</v>
      </c>
      <c r="D5642" s="9">
        <v>0.13124026607412106</v>
      </c>
      <c r="E5642" s="9">
        <v>1724851.1857852936</v>
      </c>
      <c r="F5642" s="257" t="s">
        <v>16991</v>
      </c>
      <c r="G5642" s="9"/>
      <c r="H5642" s="257" t="s">
        <v>23700</v>
      </c>
      <c r="I5642" s="9">
        <v>3</v>
      </c>
    </row>
    <row r="5643" spans="1:9">
      <c r="A5643" s="257" t="s">
        <v>6741</v>
      </c>
      <c r="B5643" s="9">
        <v>8</v>
      </c>
      <c r="C5643" s="257" t="s">
        <v>12490</v>
      </c>
      <c r="D5643" s="9"/>
      <c r="E5643" s="9">
        <v>1724851.1857852936</v>
      </c>
      <c r="F5643" s="257" t="s">
        <v>16992</v>
      </c>
      <c r="G5643" s="9"/>
      <c r="H5643" s="257" t="s">
        <v>23701</v>
      </c>
      <c r="I5643" s="9">
        <v>3</v>
      </c>
    </row>
    <row r="5644" spans="1:9">
      <c r="A5644" s="257" t="s">
        <v>6742</v>
      </c>
      <c r="B5644" s="9">
        <v>8</v>
      </c>
      <c r="C5644" s="257" t="s">
        <v>12490</v>
      </c>
      <c r="D5644" s="9">
        <v>0.12393752944203629</v>
      </c>
      <c r="E5644" s="9">
        <v>1724851.1857852936</v>
      </c>
      <c r="F5644" s="257" t="s">
        <v>16993</v>
      </c>
      <c r="G5644" s="9"/>
      <c r="H5644" s="257" t="s">
        <v>23702</v>
      </c>
      <c r="I5644" s="9">
        <v>3</v>
      </c>
    </row>
    <row r="5645" spans="1:9">
      <c r="A5645" s="257" t="s">
        <v>6743</v>
      </c>
      <c r="B5645" s="9">
        <v>8</v>
      </c>
      <c r="C5645" s="257" t="s">
        <v>12490</v>
      </c>
      <c r="D5645" s="9"/>
      <c r="E5645" s="9">
        <v>1724851.1857852936</v>
      </c>
      <c r="F5645" s="257" t="s">
        <v>16994</v>
      </c>
      <c r="G5645" s="9"/>
      <c r="H5645" s="257" t="s">
        <v>23703</v>
      </c>
      <c r="I5645" s="9">
        <v>3</v>
      </c>
    </row>
    <row r="5646" spans="1:9">
      <c r="A5646" s="257" t="s">
        <v>6744</v>
      </c>
      <c r="B5646" s="9">
        <v>8</v>
      </c>
      <c r="C5646" s="257" t="s">
        <v>12490</v>
      </c>
      <c r="D5646" s="9">
        <v>0.14575615076428755</v>
      </c>
      <c r="E5646" s="9">
        <v>1724851.1857852936</v>
      </c>
      <c r="F5646" s="257" t="s">
        <v>16995</v>
      </c>
      <c r="G5646" s="9"/>
      <c r="H5646" s="257" t="s">
        <v>23704</v>
      </c>
      <c r="I5646" s="9">
        <v>3</v>
      </c>
    </row>
    <row r="5647" spans="1:9">
      <c r="A5647" s="257" t="s">
        <v>6745</v>
      </c>
      <c r="B5647" s="9">
        <v>8</v>
      </c>
      <c r="C5647" s="257" t="s">
        <v>12490</v>
      </c>
      <c r="D5647" s="9">
        <v>0.12850913102162093</v>
      </c>
      <c r="E5647" s="9">
        <v>1724851.1857852936</v>
      </c>
      <c r="F5647" s="257" t="s">
        <v>16996</v>
      </c>
      <c r="G5647" s="9"/>
      <c r="H5647" s="257" t="s">
        <v>23705</v>
      </c>
      <c r="I5647" s="9">
        <v>3</v>
      </c>
    </row>
    <row r="5648" spans="1:9">
      <c r="A5648" s="257" t="s">
        <v>6746</v>
      </c>
      <c r="B5648" s="9">
        <v>8</v>
      </c>
      <c r="C5648" s="257" t="s">
        <v>12490</v>
      </c>
      <c r="D5648" s="9"/>
      <c r="E5648" s="9">
        <v>1724851.1857852936</v>
      </c>
      <c r="F5648" s="257" t="s">
        <v>16997</v>
      </c>
      <c r="G5648" s="9"/>
      <c r="H5648" s="257" t="s">
        <v>23706</v>
      </c>
      <c r="I5648" s="9">
        <v>3</v>
      </c>
    </row>
    <row r="5649" spans="1:9">
      <c r="A5649" s="257" t="s">
        <v>6747</v>
      </c>
      <c r="B5649" s="9">
        <v>8</v>
      </c>
      <c r="C5649" s="257" t="s">
        <v>12490</v>
      </c>
      <c r="D5649" s="9">
        <v>0.11579926358300632</v>
      </c>
      <c r="E5649" s="9">
        <v>1724851.1857852936</v>
      </c>
      <c r="F5649" s="257" t="s">
        <v>16998</v>
      </c>
      <c r="G5649" s="9"/>
      <c r="H5649" s="257" t="s">
        <v>23707</v>
      </c>
      <c r="I5649" s="9">
        <v>3</v>
      </c>
    </row>
    <row r="5650" spans="1:9">
      <c r="A5650" s="257" t="s">
        <v>6748</v>
      </c>
      <c r="B5650" s="9">
        <v>8</v>
      </c>
      <c r="C5650" s="257" t="s">
        <v>12490</v>
      </c>
      <c r="D5650" s="9">
        <v>0.12838482127535122</v>
      </c>
      <c r="E5650" s="9">
        <v>1724851.1857852936</v>
      </c>
      <c r="F5650" s="257" t="s">
        <v>16999</v>
      </c>
      <c r="G5650" s="9"/>
      <c r="H5650" s="257" t="s">
        <v>23708</v>
      </c>
      <c r="I5650" s="9">
        <v>3</v>
      </c>
    </row>
    <row r="5651" spans="1:9">
      <c r="A5651" s="257" t="s">
        <v>6749</v>
      </c>
      <c r="B5651" s="9">
        <v>8</v>
      </c>
      <c r="C5651" s="257" t="s">
        <v>12490</v>
      </c>
      <c r="D5651" s="9">
        <v>0.13745746796337774</v>
      </c>
      <c r="E5651" s="9">
        <v>1724851.1857852936</v>
      </c>
      <c r="F5651" s="257" t="s">
        <v>17000</v>
      </c>
      <c r="G5651" s="9"/>
      <c r="H5651" s="257" t="s">
        <v>23709</v>
      </c>
      <c r="I5651" s="9">
        <v>3</v>
      </c>
    </row>
    <row r="5652" spans="1:9">
      <c r="A5652" s="257" t="s">
        <v>6750</v>
      </c>
      <c r="B5652" s="9">
        <v>8</v>
      </c>
      <c r="C5652" s="257" t="s">
        <v>12490</v>
      </c>
      <c r="D5652" s="9">
        <v>0.1237204260169175</v>
      </c>
      <c r="E5652" s="9">
        <v>1724851.1857852936</v>
      </c>
      <c r="F5652" s="257" t="s">
        <v>17001</v>
      </c>
      <c r="G5652" s="9"/>
      <c r="H5652" s="257" t="s">
        <v>23710</v>
      </c>
      <c r="I5652" s="9">
        <v>3</v>
      </c>
    </row>
    <row r="5653" spans="1:9">
      <c r="A5653" s="257" t="s">
        <v>6751</v>
      </c>
      <c r="B5653" s="9">
        <v>8</v>
      </c>
      <c r="C5653" s="257" t="s">
        <v>12490</v>
      </c>
      <c r="D5653" s="9"/>
      <c r="E5653" s="9">
        <v>1724851.1857852936</v>
      </c>
      <c r="F5653" s="257" t="s">
        <v>17002</v>
      </c>
      <c r="G5653" s="9"/>
      <c r="H5653" s="257" t="s">
        <v>23711</v>
      </c>
      <c r="I5653" s="9">
        <v>3</v>
      </c>
    </row>
    <row r="5654" spans="1:9">
      <c r="A5654" s="257" t="s">
        <v>6752</v>
      </c>
      <c r="B5654" s="9">
        <v>8</v>
      </c>
      <c r="C5654" s="257" t="s">
        <v>12490</v>
      </c>
      <c r="D5654" s="9"/>
      <c r="E5654" s="9">
        <v>1724851.1857852936</v>
      </c>
      <c r="F5654" s="257" t="s">
        <v>17003</v>
      </c>
      <c r="G5654" s="9"/>
      <c r="H5654" s="257" t="s">
        <v>23712</v>
      </c>
      <c r="I5654" s="9">
        <v>3</v>
      </c>
    </row>
    <row r="5655" spans="1:9">
      <c r="A5655" s="257" t="s">
        <v>6753</v>
      </c>
      <c r="B5655" s="9">
        <v>8</v>
      </c>
      <c r="C5655" s="257" t="s">
        <v>12490</v>
      </c>
      <c r="D5655" s="9">
        <v>0.12634819018589785</v>
      </c>
      <c r="E5655" s="9">
        <v>1724851.1857852936</v>
      </c>
      <c r="F5655" s="257" t="s">
        <v>17004</v>
      </c>
      <c r="G5655" s="9"/>
      <c r="H5655" s="257" t="s">
        <v>23713</v>
      </c>
      <c r="I5655" s="9">
        <v>3</v>
      </c>
    </row>
    <row r="5656" spans="1:9">
      <c r="A5656" s="257" t="s">
        <v>6754</v>
      </c>
      <c r="B5656" s="9">
        <v>8</v>
      </c>
      <c r="C5656" s="257" t="s">
        <v>12490</v>
      </c>
      <c r="D5656" s="9">
        <v>0.12137539801981556</v>
      </c>
      <c r="E5656" s="9">
        <v>1724851.1857852936</v>
      </c>
      <c r="F5656" s="257" t="s">
        <v>17005</v>
      </c>
      <c r="G5656" s="9"/>
      <c r="H5656" s="257" t="s">
        <v>23714</v>
      </c>
      <c r="I5656" s="9">
        <v>3</v>
      </c>
    </row>
    <row r="5657" spans="1:9">
      <c r="A5657" s="257" t="s">
        <v>6755</v>
      </c>
      <c r="B5657" s="9">
        <v>8</v>
      </c>
      <c r="C5657" s="257" t="s">
        <v>12490</v>
      </c>
      <c r="D5657" s="9">
        <v>0.13124026607412106</v>
      </c>
      <c r="E5657" s="9">
        <v>1724851.1857852936</v>
      </c>
      <c r="F5657" s="257" t="s">
        <v>17006</v>
      </c>
      <c r="G5657" s="9"/>
      <c r="H5657" s="257" t="s">
        <v>23715</v>
      </c>
      <c r="I5657" s="9">
        <v>3</v>
      </c>
    </row>
    <row r="5658" spans="1:9">
      <c r="A5658" s="257" t="s">
        <v>6756</v>
      </c>
      <c r="B5658" s="9">
        <v>8</v>
      </c>
      <c r="C5658" s="257" t="s">
        <v>12490</v>
      </c>
      <c r="D5658" s="9">
        <v>7.9567428907027143E-2</v>
      </c>
      <c r="E5658" s="9">
        <v>1724851.1857852936</v>
      </c>
      <c r="F5658" s="257" t="s">
        <v>17007</v>
      </c>
      <c r="G5658" s="9"/>
      <c r="H5658" s="257" t="s">
        <v>23716</v>
      </c>
      <c r="I5658" s="9">
        <v>3</v>
      </c>
    </row>
    <row r="5659" spans="1:9">
      <c r="A5659" s="257" t="s">
        <v>6757</v>
      </c>
      <c r="B5659" s="9">
        <v>8</v>
      </c>
      <c r="C5659" s="257" t="s">
        <v>12490</v>
      </c>
      <c r="D5659" s="9"/>
      <c r="E5659" s="9">
        <v>1724851.1857852936</v>
      </c>
      <c r="F5659" s="257" t="s">
        <v>17008</v>
      </c>
      <c r="G5659" s="9"/>
      <c r="H5659" s="257" t="s">
        <v>23717</v>
      </c>
      <c r="I5659" s="9">
        <v>3</v>
      </c>
    </row>
    <row r="5660" spans="1:9">
      <c r="A5660" s="257" t="s">
        <v>6758</v>
      </c>
      <c r="B5660" s="9">
        <v>8</v>
      </c>
      <c r="C5660" s="257" t="s">
        <v>12490</v>
      </c>
      <c r="D5660" s="9"/>
      <c r="E5660" s="9">
        <v>1724851.1857852936</v>
      </c>
      <c r="F5660" s="257" t="s">
        <v>17009</v>
      </c>
      <c r="G5660" s="9"/>
      <c r="H5660" s="257" t="s">
        <v>23718</v>
      </c>
      <c r="I5660" s="9">
        <v>3</v>
      </c>
    </row>
    <row r="5661" spans="1:9">
      <c r="A5661" s="257" t="s">
        <v>6759</v>
      </c>
      <c r="B5661" s="9">
        <v>8</v>
      </c>
      <c r="C5661" s="257" t="s">
        <v>12490</v>
      </c>
      <c r="D5661" s="9">
        <v>0.13560362374739093</v>
      </c>
      <c r="E5661" s="9">
        <v>1724851.1857852936</v>
      </c>
      <c r="F5661" s="257" t="s">
        <v>17010</v>
      </c>
      <c r="G5661" s="9"/>
      <c r="H5661" s="257" t="s">
        <v>23719</v>
      </c>
      <c r="I5661" s="9">
        <v>3</v>
      </c>
    </row>
    <row r="5662" spans="1:9">
      <c r="A5662" s="257" t="s">
        <v>6760</v>
      </c>
      <c r="B5662" s="9">
        <v>9</v>
      </c>
      <c r="C5662" s="257" t="s">
        <v>12490</v>
      </c>
      <c r="D5662" s="9"/>
      <c r="E5662" s="9">
        <v>1721642.4785900116</v>
      </c>
      <c r="F5662" s="257" t="s">
        <v>17011</v>
      </c>
      <c r="G5662" s="9"/>
      <c r="H5662" s="257" t="s">
        <v>23720</v>
      </c>
      <c r="I5662" s="9">
        <v>3</v>
      </c>
    </row>
    <row r="5663" spans="1:9">
      <c r="A5663" s="257" t="s">
        <v>6761</v>
      </c>
      <c r="B5663" s="9">
        <v>9</v>
      </c>
      <c r="C5663" s="257" t="s">
        <v>12490</v>
      </c>
      <c r="D5663" s="9">
        <v>0.1625478109489335</v>
      </c>
      <c r="E5663" s="9">
        <v>1721642.4785900116</v>
      </c>
      <c r="F5663" s="257" t="s">
        <v>17012</v>
      </c>
      <c r="G5663" s="9"/>
      <c r="H5663" s="257" t="s">
        <v>23721</v>
      </c>
      <c r="I5663" s="9">
        <v>3</v>
      </c>
    </row>
    <row r="5664" spans="1:9">
      <c r="A5664" s="257" t="s">
        <v>6762</v>
      </c>
      <c r="B5664" s="9">
        <v>9</v>
      </c>
      <c r="C5664" s="257" t="s">
        <v>12490</v>
      </c>
      <c r="D5664" s="9">
        <v>0.17689283088785523</v>
      </c>
      <c r="E5664" s="9">
        <v>1721642.4785900116</v>
      </c>
      <c r="F5664" s="257" t="s">
        <v>17013</v>
      </c>
      <c r="G5664" s="9"/>
      <c r="H5664" s="257" t="s">
        <v>23722</v>
      </c>
      <c r="I5664" s="9">
        <v>3</v>
      </c>
    </row>
    <row r="5665" spans="1:9">
      <c r="A5665" s="257" t="s">
        <v>6763</v>
      </c>
      <c r="B5665" s="9">
        <v>9</v>
      </c>
      <c r="C5665" s="257" t="s">
        <v>12490</v>
      </c>
      <c r="D5665" s="9">
        <v>0.18850047725735472</v>
      </c>
      <c r="E5665" s="9">
        <v>1721642.4785900116</v>
      </c>
      <c r="F5665" s="257" t="s">
        <v>17014</v>
      </c>
      <c r="G5665" s="9"/>
      <c r="H5665" s="257" t="s">
        <v>23723</v>
      </c>
      <c r="I5665" s="9">
        <v>3</v>
      </c>
    </row>
    <row r="5666" spans="1:9">
      <c r="A5666" s="257" t="s">
        <v>6764</v>
      </c>
      <c r="B5666" s="9">
        <v>9</v>
      </c>
      <c r="C5666" s="257" t="s">
        <v>12490</v>
      </c>
      <c r="D5666" s="9"/>
      <c r="E5666" s="9">
        <v>1721642.4785900116</v>
      </c>
      <c r="F5666" s="257" t="s">
        <v>17015</v>
      </c>
      <c r="G5666" s="9"/>
      <c r="H5666" s="257" t="s">
        <v>23724</v>
      </c>
      <c r="I5666" s="9">
        <v>3</v>
      </c>
    </row>
    <row r="5667" spans="1:9">
      <c r="A5667" s="257" t="s">
        <v>6765</v>
      </c>
      <c r="B5667" s="9">
        <v>9</v>
      </c>
      <c r="C5667" s="257" t="s">
        <v>12490</v>
      </c>
      <c r="D5667" s="9">
        <v>0.18850047725735472</v>
      </c>
      <c r="E5667" s="9">
        <v>1721642.4785900116</v>
      </c>
      <c r="F5667" s="257" t="s">
        <v>17016</v>
      </c>
      <c r="G5667" s="9"/>
      <c r="H5667" s="257" t="s">
        <v>23725</v>
      </c>
      <c r="I5667" s="9">
        <v>3</v>
      </c>
    </row>
    <row r="5668" spans="1:9">
      <c r="A5668" s="257" t="s">
        <v>6766</v>
      </c>
      <c r="B5668" s="9">
        <v>9</v>
      </c>
      <c r="C5668" s="257" t="s">
        <v>12490</v>
      </c>
      <c r="D5668" s="9"/>
      <c r="E5668" s="9">
        <v>1721642.4785900116</v>
      </c>
      <c r="F5668" s="257" t="s">
        <v>17017</v>
      </c>
      <c r="G5668" s="9"/>
      <c r="H5668" s="257" t="s">
        <v>23726</v>
      </c>
      <c r="I5668" s="9">
        <v>3</v>
      </c>
    </row>
    <row r="5669" spans="1:9">
      <c r="A5669" s="257" t="s">
        <v>6767</v>
      </c>
      <c r="B5669" s="9">
        <v>9</v>
      </c>
      <c r="C5669" s="257" t="s">
        <v>12490</v>
      </c>
      <c r="D5669" s="9">
        <v>0.18850047725735472</v>
      </c>
      <c r="E5669" s="9">
        <v>1721642.4785900116</v>
      </c>
      <c r="F5669" s="257" t="s">
        <v>17018</v>
      </c>
      <c r="G5669" s="9"/>
      <c r="H5669" s="257" t="s">
        <v>23727</v>
      </c>
      <c r="I5669" s="9">
        <v>3</v>
      </c>
    </row>
    <row r="5670" spans="1:9">
      <c r="A5670" s="257" t="s">
        <v>6768</v>
      </c>
      <c r="B5670" s="9">
        <v>9</v>
      </c>
      <c r="C5670" s="257" t="s">
        <v>12490</v>
      </c>
      <c r="D5670" s="9">
        <v>0.20206195240313624</v>
      </c>
      <c r="E5670" s="9">
        <v>1721642.4785900116</v>
      </c>
      <c r="F5670" s="257" t="s">
        <v>17019</v>
      </c>
      <c r="G5670" s="9"/>
      <c r="H5670" s="257" t="s">
        <v>23728</v>
      </c>
      <c r="I5670" s="9">
        <v>3</v>
      </c>
    </row>
    <row r="5671" spans="1:9">
      <c r="A5671" s="257" t="s">
        <v>6769</v>
      </c>
      <c r="B5671" s="9">
        <v>9</v>
      </c>
      <c r="C5671" s="257" t="s">
        <v>12490</v>
      </c>
      <c r="D5671" s="9">
        <v>0.20206195240313624</v>
      </c>
      <c r="E5671" s="9">
        <v>1721642.4785900116</v>
      </c>
      <c r="F5671" s="257" t="s">
        <v>17020</v>
      </c>
      <c r="G5671" s="9"/>
      <c r="H5671" s="257" t="s">
        <v>23729</v>
      </c>
      <c r="I5671" s="9">
        <v>3</v>
      </c>
    </row>
    <row r="5672" spans="1:9">
      <c r="A5672" s="257" t="s">
        <v>6770</v>
      </c>
      <c r="B5672" s="9">
        <v>9</v>
      </c>
      <c r="C5672" s="257" t="s">
        <v>12490</v>
      </c>
      <c r="D5672" s="9">
        <v>0.16993281076333516</v>
      </c>
      <c r="E5672" s="9">
        <v>1721642.4785900116</v>
      </c>
      <c r="F5672" s="257" t="s">
        <v>17021</v>
      </c>
      <c r="G5672" s="9"/>
      <c r="H5672" s="257" t="s">
        <v>23730</v>
      </c>
      <c r="I5672" s="9">
        <v>3</v>
      </c>
    </row>
    <row r="5673" spans="1:9">
      <c r="A5673" s="257" t="s">
        <v>6771</v>
      </c>
      <c r="B5673" s="9">
        <v>9</v>
      </c>
      <c r="C5673" s="257" t="s">
        <v>12490</v>
      </c>
      <c r="D5673" s="9">
        <v>0.19287247401758567</v>
      </c>
      <c r="E5673" s="9">
        <v>1721642.4785900116</v>
      </c>
      <c r="F5673" s="257" t="s">
        <v>17022</v>
      </c>
      <c r="G5673" s="9"/>
      <c r="H5673" s="257" t="s">
        <v>23731</v>
      </c>
      <c r="I5673" s="9">
        <v>3</v>
      </c>
    </row>
    <row r="5674" spans="1:9">
      <c r="A5674" s="257" t="s">
        <v>6772</v>
      </c>
      <c r="B5674" s="9">
        <v>9</v>
      </c>
      <c r="C5674" s="257" t="s">
        <v>12490</v>
      </c>
      <c r="D5674" s="9">
        <v>0.1558840196597002</v>
      </c>
      <c r="E5674" s="9">
        <v>1721642.4785900116</v>
      </c>
      <c r="F5674" s="257" t="s">
        <v>17023</v>
      </c>
      <c r="G5674" s="9"/>
      <c r="H5674" s="257" t="s">
        <v>23732</v>
      </c>
      <c r="I5674" s="9">
        <v>3</v>
      </c>
    </row>
    <row r="5675" spans="1:9">
      <c r="A5675" s="257" t="s">
        <v>6773</v>
      </c>
      <c r="B5675" s="9">
        <v>9</v>
      </c>
      <c r="C5675" s="257" t="s">
        <v>12490</v>
      </c>
      <c r="D5675" s="9">
        <v>0.12876841372157224</v>
      </c>
      <c r="E5675" s="9">
        <v>1721642.4785900116</v>
      </c>
      <c r="F5675" s="257" t="s">
        <v>17024</v>
      </c>
      <c r="G5675" s="9"/>
      <c r="H5675" s="257" t="s">
        <v>23733</v>
      </c>
      <c r="I5675" s="9">
        <v>3</v>
      </c>
    </row>
    <row r="5676" spans="1:9">
      <c r="A5676" s="257" t="s">
        <v>6774</v>
      </c>
      <c r="B5676" s="9">
        <v>9</v>
      </c>
      <c r="C5676" s="257" t="s">
        <v>12490</v>
      </c>
      <c r="D5676" s="9"/>
      <c r="E5676" s="9">
        <v>1721642.4785900116</v>
      </c>
      <c r="F5676" s="257" t="s">
        <v>17025</v>
      </c>
      <c r="G5676" s="9"/>
      <c r="H5676" s="257" t="s">
        <v>23734</v>
      </c>
      <c r="I5676" s="9">
        <v>3</v>
      </c>
    </row>
    <row r="5677" spans="1:9">
      <c r="A5677" s="257" t="s">
        <v>6775</v>
      </c>
      <c r="B5677" s="9">
        <v>9</v>
      </c>
      <c r="C5677" s="257" t="s">
        <v>12490</v>
      </c>
      <c r="D5677" s="9"/>
      <c r="E5677" s="9">
        <v>1721642.4785900116</v>
      </c>
      <c r="F5677" s="257" t="s">
        <v>17026</v>
      </c>
      <c r="G5677" s="9"/>
      <c r="H5677" s="257" t="s">
        <v>23735</v>
      </c>
      <c r="I5677" s="9">
        <v>3</v>
      </c>
    </row>
    <row r="5678" spans="1:9">
      <c r="A5678" s="257" t="s">
        <v>6776</v>
      </c>
      <c r="B5678" s="9">
        <v>9</v>
      </c>
      <c r="C5678" s="257" t="s">
        <v>12490</v>
      </c>
      <c r="D5678" s="9"/>
      <c r="E5678" s="9">
        <v>1721642.4785900116</v>
      </c>
      <c r="F5678" s="257" t="s">
        <v>17027</v>
      </c>
      <c r="G5678" s="9"/>
      <c r="H5678" s="257" t="s">
        <v>23736</v>
      </c>
      <c r="I5678" s="9">
        <v>3</v>
      </c>
    </row>
    <row r="5679" spans="1:9">
      <c r="A5679" s="257" t="s">
        <v>6777</v>
      </c>
      <c r="B5679" s="9">
        <v>9</v>
      </c>
      <c r="C5679" s="257" t="s">
        <v>12490</v>
      </c>
      <c r="D5679" s="9">
        <v>0.17149234230375582</v>
      </c>
      <c r="E5679" s="9">
        <v>1721642.4785900116</v>
      </c>
      <c r="F5679" s="257" t="s">
        <v>17028</v>
      </c>
      <c r="G5679" s="9"/>
      <c r="H5679" s="257" t="s">
        <v>23737</v>
      </c>
      <c r="I5679" s="9">
        <v>3</v>
      </c>
    </row>
    <row r="5680" spans="1:9">
      <c r="A5680" s="257" t="s">
        <v>6778</v>
      </c>
      <c r="B5680" s="9">
        <v>9</v>
      </c>
      <c r="C5680" s="257" t="s">
        <v>12490</v>
      </c>
      <c r="D5680" s="9">
        <v>0.17078859141766384</v>
      </c>
      <c r="E5680" s="9">
        <v>1721642.4785900116</v>
      </c>
      <c r="F5680" s="257" t="s">
        <v>17029</v>
      </c>
      <c r="G5680" s="9"/>
      <c r="H5680" s="257" t="s">
        <v>23738</v>
      </c>
      <c r="I5680" s="9">
        <v>3</v>
      </c>
    </row>
    <row r="5681" spans="1:9">
      <c r="A5681" s="257" t="s">
        <v>6779</v>
      </c>
      <c r="B5681" s="9">
        <v>9</v>
      </c>
      <c r="C5681" s="257" t="s">
        <v>12490</v>
      </c>
      <c r="D5681" s="9"/>
      <c r="E5681" s="9">
        <v>1721642.4785900116</v>
      </c>
      <c r="F5681" s="257" t="s">
        <v>17030</v>
      </c>
      <c r="G5681" s="9"/>
      <c r="H5681" s="257" t="s">
        <v>23739</v>
      </c>
      <c r="I5681" s="9">
        <v>3</v>
      </c>
    </row>
    <row r="5682" spans="1:9">
      <c r="A5682" s="257" t="s">
        <v>6780</v>
      </c>
      <c r="B5682" s="9">
        <v>9</v>
      </c>
      <c r="C5682" s="257" t="s">
        <v>12490</v>
      </c>
      <c r="D5682" s="9">
        <v>0.18824313712639731</v>
      </c>
      <c r="E5682" s="9">
        <v>1721642.4785900116</v>
      </c>
      <c r="F5682" s="257" t="s">
        <v>17031</v>
      </c>
      <c r="G5682" s="9"/>
      <c r="H5682" s="257" t="s">
        <v>23740</v>
      </c>
      <c r="I5682" s="9">
        <v>3</v>
      </c>
    </row>
    <row r="5683" spans="1:9">
      <c r="A5683" s="257" t="s">
        <v>6781</v>
      </c>
      <c r="B5683" s="9">
        <v>9</v>
      </c>
      <c r="C5683" s="257" t="s">
        <v>12490</v>
      </c>
      <c r="D5683" s="9">
        <v>0.18051343868041167</v>
      </c>
      <c r="E5683" s="9">
        <v>1721642.4785900116</v>
      </c>
      <c r="F5683" s="257" t="s">
        <v>17032</v>
      </c>
      <c r="G5683" s="9"/>
      <c r="H5683" s="257" t="s">
        <v>23741</v>
      </c>
      <c r="I5683" s="9">
        <v>3</v>
      </c>
    </row>
    <row r="5684" spans="1:9">
      <c r="A5684" s="257" t="s">
        <v>6782</v>
      </c>
      <c r="B5684" s="9">
        <v>9</v>
      </c>
      <c r="C5684" s="257" t="s">
        <v>12490</v>
      </c>
      <c r="D5684" s="9"/>
      <c r="E5684" s="9">
        <v>1721642.4785900116</v>
      </c>
      <c r="F5684" s="257" t="s">
        <v>17033</v>
      </c>
      <c r="G5684" s="9"/>
      <c r="H5684" s="257" t="s">
        <v>23742</v>
      </c>
      <c r="I5684" s="9">
        <v>3</v>
      </c>
    </row>
    <row r="5685" spans="1:9">
      <c r="A5685" s="257" t="s">
        <v>6783</v>
      </c>
      <c r="B5685" s="9">
        <v>9</v>
      </c>
      <c r="C5685" s="257" t="s">
        <v>12490</v>
      </c>
      <c r="D5685" s="9">
        <v>0.1591110880156188</v>
      </c>
      <c r="E5685" s="9">
        <v>1721642.4785900116</v>
      </c>
      <c r="F5685" s="257" t="s">
        <v>17034</v>
      </c>
      <c r="G5685" s="9"/>
      <c r="H5685" s="257" t="s">
        <v>23743</v>
      </c>
      <c r="I5685" s="9">
        <v>3</v>
      </c>
    </row>
    <row r="5686" spans="1:9">
      <c r="A5686" s="257" t="s">
        <v>6784</v>
      </c>
      <c r="B5686" s="9">
        <v>9</v>
      </c>
      <c r="C5686" s="257" t="s">
        <v>12490</v>
      </c>
      <c r="D5686" s="9">
        <v>0.18051343868041167</v>
      </c>
      <c r="E5686" s="9">
        <v>1721642.4785900116</v>
      </c>
      <c r="F5686" s="257" t="s">
        <v>17035</v>
      </c>
      <c r="G5686" s="9"/>
      <c r="H5686" s="257" t="s">
        <v>23744</v>
      </c>
      <c r="I5686" s="9">
        <v>3</v>
      </c>
    </row>
    <row r="5687" spans="1:9">
      <c r="A5687" s="257" t="s">
        <v>6785</v>
      </c>
      <c r="B5687" s="9">
        <v>10</v>
      </c>
      <c r="C5687" s="257" t="s">
        <v>12490</v>
      </c>
      <c r="D5687" s="9">
        <v>0.30831534719681541</v>
      </c>
      <c r="E5687" s="9">
        <v>1732307.5169143677</v>
      </c>
      <c r="F5687" s="257" t="s">
        <v>17036</v>
      </c>
      <c r="G5687" s="9"/>
      <c r="H5687" s="257" t="s">
        <v>23745</v>
      </c>
      <c r="I5687" s="9">
        <v>3</v>
      </c>
    </row>
    <row r="5688" spans="1:9">
      <c r="A5688" s="257" t="s">
        <v>6786</v>
      </c>
      <c r="B5688" s="9">
        <v>10</v>
      </c>
      <c r="C5688" s="257" t="s">
        <v>12490</v>
      </c>
      <c r="D5688" s="9"/>
      <c r="E5688" s="9">
        <v>1732307.5169143677</v>
      </c>
      <c r="F5688" s="257" t="s">
        <v>17037</v>
      </c>
      <c r="G5688" s="9"/>
      <c r="H5688" s="257" t="s">
        <v>23746</v>
      </c>
      <c r="I5688" s="9">
        <v>3</v>
      </c>
    </row>
    <row r="5689" spans="1:9">
      <c r="A5689" s="257" t="s">
        <v>6787</v>
      </c>
      <c r="B5689" s="9">
        <v>10</v>
      </c>
      <c r="C5689" s="257" t="s">
        <v>12490</v>
      </c>
      <c r="D5689" s="9">
        <v>0.65567707439464573</v>
      </c>
      <c r="E5689" s="9">
        <v>1732307.5169143677</v>
      </c>
      <c r="F5689" s="257" t="s">
        <v>17038</v>
      </c>
      <c r="G5689" s="9"/>
      <c r="H5689" s="257" t="s">
        <v>23747</v>
      </c>
      <c r="I5689" s="9">
        <v>3</v>
      </c>
    </row>
    <row r="5690" spans="1:9">
      <c r="A5690" s="257" t="s">
        <v>6788</v>
      </c>
      <c r="B5690" s="9">
        <v>10</v>
      </c>
      <c r="C5690" s="257" t="s">
        <v>12490</v>
      </c>
      <c r="D5690" s="9">
        <v>0.30735454286124825</v>
      </c>
      <c r="E5690" s="9">
        <v>1732307.5169143677</v>
      </c>
      <c r="F5690" s="257" t="s">
        <v>17039</v>
      </c>
      <c r="G5690" s="9"/>
      <c r="H5690" s="257" t="s">
        <v>23748</v>
      </c>
      <c r="I5690" s="9">
        <v>3</v>
      </c>
    </row>
    <row r="5691" spans="1:9">
      <c r="A5691" s="257" t="s">
        <v>6789</v>
      </c>
      <c r="B5691" s="9">
        <v>10</v>
      </c>
      <c r="C5691" s="257" t="s">
        <v>12490</v>
      </c>
      <c r="D5691" s="9">
        <v>0.32523712542772792</v>
      </c>
      <c r="E5691" s="9">
        <v>1732307.5169143677</v>
      </c>
      <c r="F5691" s="257" t="s">
        <v>17040</v>
      </c>
      <c r="G5691" s="9"/>
      <c r="H5691" s="257" t="s">
        <v>23749</v>
      </c>
      <c r="I5691" s="9">
        <v>3</v>
      </c>
    </row>
    <row r="5692" spans="1:9">
      <c r="A5692" s="257" t="s">
        <v>6790</v>
      </c>
      <c r="B5692" s="9">
        <v>10</v>
      </c>
      <c r="C5692" s="257" t="s">
        <v>12490</v>
      </c>
      <c r="D5692" s="9"/>
      <c r="E5692" s="9">
        <v>1732307.5169143677</v>
      </c>
      <c r="F5692" s="257" t="s">
        <v>17041</v>
      </c>
      <c r="G5692" s="9"/>
      <c r="H5692" s="257" t="s">
        <v>23750</v>
      </c>
      <c r="I5692" s="9">
        <v>3</v>
      </c>
    </row>
    <row r="5693" spans="1:9">
      <c r="A5693" s="257" t="s">
        <v>6791</v>
      </c>
      <c r="B5693" s="9">
        <v>10</v>
      </c>
      <c r="C5693" s="257" t="s">
        <v>12490</v>
      </c>
      <c r="D5693" s="9">
        <v>0.41901513018897418</v>
      </c>
      <c r="E5693" s="9">
        <v>1732307.5169143677</v>
      </c>
      <c r="F5693" s="257" t="s">
        <v>17042</v>
      </c>
      <c r="G5693" s="9"/>
      <c r="H5693" s="257" t="s">
        <v>23751</v>
      </c>
      <c r="I5693" s="9">
        <v>3</v>
      </c>
    </row>
    <row r="5694" spans="1:9">
      <c r="A5694" s="257" t="s">
        <v>6792</v>
      </c>
      <c r="B5694" s="9">
        <v>10</v>
      </c>
      <c r="C5694" s="257" t="s">
        <v>12490</v>
      </c>
      <c r="D5694" s="9">
        <v>0.37107786183208125</v>
      </c>
      <c r="E5694" s="9">
        <v>1732307.5169143677</v>
      </c>
      <c r="F5694" s="257" t="s">
        <v>17043</v>
      </c>
      <c r="G5694" s="9"/>
      <c r="H5694" s="257" t="s">
        <v>23752</v>
      </c>
      <c r="I5694" s="9">
        <v>3</v>
      </c>
    </row>
    <row r="5695" spans="1:9">
      <c r="A5695" s="257" t="s">
        <v>6793</v>
      </c>
      <c r="B5695" s="9">
        <v>10</v>
      </c>
      <c r="C5695" s="257" t="s">
        <v>12490</v>
      </c>
      <c r="D5695" s="9">
        <v>0.30831534719681541</v>
      </c>
      <c r="E5695" s="9">
        <v>1732307.5169143677</v>
      </c>
      <c r="F5695" s="257" t="s">
        <v>17044</v>
      </c>
      <c r="G5695" s="9"/>
      <c r="H5695" s="257" t="s">
        <v>23753</v>
      </c>
      <c r="I5695" s="9">
        <v>3</v>
      </c>
    </row>
    <row r="5696" spans="1:9">
      <c r="A5696" s="257" t="s">
        <v>6794</v>
      </c>
      <c r="B5696" s="9">
        <v>10</v>
      </c>
      <c r="C5696" s="257" t="s">
        <v>12490</v>
      </c>
      <c r="D5696" s="9">
        <v>0.32523712542772792</v>
      </c>
      <c r="E5696" s="9">
        <v>1732307.5169143677</v>
      </c>
      <c r="F5696" s="257" t="s">
        <v>17045</v>
      </c>
      <c r="G5696" s="9"/>
      <c r="H5696" s="257" t="s">
        <v>23754</v>
      </c>
      <c r="I5696" s="9">
        <v>3</v>
      </c>
    </row>
    <row r="5697" spans="1:9">
      <c r="A5697" s="257" t="s">
        <v>6795</v>
      </c>
      <c r="B5697" s="9">
        <v>10</v>
      </c>
      <c r="C5697" s="257" t="s">
        <v>12490</v>
      </c>
      <c r="D5697" s="9">
        <v>0.32523712542772792</v>
      </c>
      <c r="E5697" s="9">
        <v>1732307.5169143677</v>
      </c>
      <c r="F5697" s="257" t="s">
        <v>17046</v>
      </c>
      <c r="G5697" s="9"/>
      <c r="H5697" s="257" t="s">
        <v>23755</v>
      </c>
      <c r="I5697" s="9">
        <v>3</v>
      </c>
    </row>
    <row r="5698" spans="1:9">
      <c r="A5698" s="257" t="s">
        <v>6796</v>
      </c>
      <c r="B5698" s="9">
        <v>10</v>
      </c>
      <c r="C5698" s="257" t="s">
        <v>12490</v>
      </c>
      <c r="D5698" s="9">
        <v>0.34576369984408473</v>
      </c>
      <c r="E5698" s="9">
        <v>1732307.5169143677</v>
      </c>
      <c r="F5698" s="257" t="s">
        <v>17047</v>
      </c>
      <c r="G5698" s="9"/>
      <c r="H5698" s="257" t="s">
        <v>23756</v>
      </c>
      <c r="I5698" s="9">
        <v>3</v>
      </c>
    </row>
    <row r="5699" spans="1:9">
      <c r="A5699" s="257" t="s">
        <v>6797</v>
      </c>
      <c r="B5699" s="9">
        <v>10</v>
      </c>
      <c r="C5699" s="257" t="s">
        <v>12490</v>
      </c>
      <c r="D5699" s="9">
        <v>0.37107786183208125</v>
      </c>
      <c r="E5699" s="9">
        <v>1732307.5169143677</v>
      </c>
      <c r="F5699" s="257" t="s">
        <v>17048</v>
      </c>
      <c r="G5699" s="9"/>
      <c r="H5699" s="257" t="s">
        <v>23757</v>
      </c>
      <c r="I5699" s="9">
        <v>3</v>
      </c>
    </row>
    <row r="5700" spans="1:9">
      <c r="A5700" s="257" t="s">
        <v>6798</v>
      </c>
      <c r="B5700" s="9">
        <v>10</v>
      </c>
      <c r="C5700" s="257" t="s">
        <v>12490</v>
      </c>
      <c r="D5700" s="9"/>
      <c r="E5700" s="9">
        <v>1732307.5169143677</v>
      </c>
      <c r="F5700" s="257" t="s">
        <v>17049</v>
      </c>
      <c r="G5700" s="9"/>
      <c r="H5700" s="257" t="s">
        <v>23758</v>
      </c>
      <c r="I5700" s="9">
        <v>3</v>
      </c>
    </row>
    <row r="5701" spans="1:9">
      <c r="A5701" s="257" t="s">
        <v>6799</v>
      </c>
      <c r="B5701" s="9">
        <v>10</v>
      </c>
      <c r="C5701" s="257" t="s">
        <v>12490</v>
      </c>
      <c r="D5701" s="9"/>
      <c r="E5701" s="9">
        <v>1732307.5169143677</v>
      </c>
      <c r="F5701" s="257" t="s">
        <v>17050</v>
      </c>
      <c r="G5701" s="9"/>
      <c r="H5701" s="257" t="s">
        <v>23759</v>
      </c>
      <c r="I5701" s="9">
        <v>3</v>
      </c>
    </row>
    <row r="5702" spans="1:9">
      <c r="A5702" s="257" t="s">
        <v>6800</v>
      </c>
      <c r="B5702" s="9">
        <v>10</v>
      </c>
      <c r="C5702" s="257" t="s">
        <v>12490</v>
      </c>
      <c r="D5702" s="9">
        <v>0.30605527858410764</v>
      </c>
      <c r="E5702" s="9">
        <v>1732307.5169143677</v>
      </c>
      <c r="F5702" s="257" t="s">
        <v>17051</v>
      </c>
      <c r="G5702" s="9"/>
      <c r="H5702" s="257" t="s">
        <v>23760</v>
      </c>
      <c r="I5702" s="9">
        <v>3</v>
      </c>
    </row>
    <row r="5703" spans="1:9">
      <c r="A5703" s="257" t="s">
        <v>6801</v>
      </c>
      <c r="B5703" s="9">
        <v>10</v>
      </c>
      <c r="C5703" s="257" t="s">
        <v>12490</v>
      </c>
      <c r="D5703" s="9">
        <v>0.4345120398783387</v>
      </c>
      <c r="E5703" s="9">
        <v>1732307.5169143677</v>
      </c>
      <c r="F5703" s="257" t="s">
        <v>17052</v>
      </c>
      <c r="G5703" s="9"/>
      <c r="H5703" s="257" t="s">
        <v>23761</v>
      </c>
      <c r="I5703" s="9">
        <v>3</v>
      </c>
    </row>
    <row r="5704" spans="1:9">
      <c r="A5704" s="257" t="s">
        <v>6802</v>
      </c>
      <c r="B5704" s="9">
        <v>10</v>
      </c>
      <c r="C5704" s="257" t="s">
        <v>12490</v>
      </c>
      <c r="D5704" s="9">
        <v>0.38619394972211807</v>
      </c>
      <c r="E5704" s="9">
        <v>1732307.5169143677</v>
      </c>
      <c r="F5704" s="257" t="s">
        <v>17053</v>
      </c>
      <c r="G5704" s="9"/>
      <c r="H5704" s="257" t="s">
        <v>23762</v>
      </c>
      <c r="I5704" s="9">
        <v>3</v>
      </c>
    </row>
    <row r="5705" spans="1:9">
      <c r="A5705" s="257" t="s">
        <v>6803</v>
      </c>
      <c r="B5705" s="9">
        <v>10</v>
      </c>
      <c r="C5705" s="257" t="s">
        <v>12490</v>
      </c>
      <c r="D5705" s="9"/>
      <c r="E5705" s="9">
        <v>1732307.5169143677</v>
      </c>
      <c r="F5705" s="257" t="s">
        <v>17054</v>
      </c>
      <c r="G5705" s="9"/>
      <c r="H5705" s="257" t="s">
        <v>23763</v>
      </c>
      <c r="I5705" s="9">
        <v>3</v>
      </c>
    </row>
    <row r="5706" spans="1:9">
      <c r="A5706" s="257" t="s">
        <v>6804</v>
      </c>
      <c r="B5706" s="9">
        <v>10</v>
      </c>
      <c r="C5706" s="257" t="s">
        <v>12490</v>
      </c>
      <c r="D5706" s="9"/>
      <c r="E5706" s="9">
        <v>1732307.5169143677</v>
      </c>
      <c r="F5706" s="257" t="s">
        <v>17055</v>
      </c>
      <c r="G5706" s="9"/>
      <c r="H5706" s="257" t="s">
        <v>23764</v>
      </c>
      <c r="I5706" s="9">
        <v>3</v>
      </c>
    </row>
    <row r="5707" spans="1:9">
      <c r="A5707" s="257" t="s">
        <v>6805</v>
      </c>
      <c r="B5707" s="9">
        <v>10</v>
      </c>
      <c r="C5707" s="257" t="s">
        <v>12490</v>
      </c>
      <c r="D5707" s="9"/>
      <c r="E5707" s="9">
        <v>1732307.5169143677</v>
      </c>
      <c r="F5707" s="257" t="s">
        <v>17056</v>
      </c>
      <c r="G5707" s="9"/>
      <c r="H5707" s="257" t="s">
        <v>23765</v>
      </c>
      <c r="I5707" s="9">
        <v>3</v>
      </c>
    </row>
    <row r="5708" spans="1:9">
      <c r="A5708" s="257" t="s">
        <v>6806</v>
      </c>
      <c r="B5708" s="9">
        <v>10</v>
      </c>
      <c r="C5708" s="257" t="s">
        <v>12490</v>
      </c>
      <c r="D5708" s="9">
        <v>0.47418962187226432</v>
      </c>
      <c r="E5708" s="9">
        <v>1732307.5169143677</v>
      </c>
      <c r="F5708" s="257" t="s">
        <v>17057</v>
      </c>
      <c r="G5708" s="9"/>
      <c r="H5708" s="257" t="s">
        <v>23766</v>
      </c>
      <c r="I5708" s="9">
        <v>3</v>
      </c>
    </row>
    <row r="5709" spans="1:9">
      <c r="A5709" s="257" t="s">
        <v>6807</v>
      </c>
      <c r="B5709" s="9">
        <v>10</v>
      </c>
      <c r="C5709" s="257" t="s">
        <v>12490</v>
      </c>
      <c r="D5709" s="9">
        <v>0.34645958719625897</v>
      </c>
      <c r="E5709" s="9">
        <v>1732307.5169143677</v>
      </c>
      <c r="F5709" s="257" t="s">
        <v>17058</v>
      </c>
      <c r="G5709" s="9"/>
      <c r="H5709" s="257" t="s">
        <v>23767</v>
      </c>
      <c r="I5709" s="9">
        <v>3</v>
      </c>
    </row>
    <row r="5710" spans="1:9">
      <c r="A5710" s="257" t="s">
        <v>6808</v>
      </c>
      <c r="B5710" s="9">
        <v>10</v>
      </c>
      <c r="C5710" s="257" t="s">
        <v>12490</v>
      </c>
      <c r="D5710" s="9">
        <v>0.35186725015405257</v>
      </c>
      <c r="E5710" s="9">
        <v>1732307.5169143677</v>
      </c>
      <c r="F5710" s="257" t="s">
        <v>17059</v>
      </c>
      <c r="G5710" s="9"/>
      <c r="H5710" s="257" t="s">
        <v>23768</v>
      </c>
      <c r="I5710" s="9">
        <v>3</v>
      </c>
    </row>
    <row r="5711" spans="1:9">
      <c r="A5711" s="257" t="s">
        <v>6809</v>
      </c>
      <c r="B5711" s="9">
        <v>10</v>
      </c>
      <c r="C5711" s="257" t="s">
        <v>12490</v>
      </c>
      <c r="D5711" s="9"/>
      <c r="E5711" s="9">
        <v>1732307.5169143677</v>
      </c>
      <c r="F5711" s="257" t="s">
        <v>17060</v>
      </c>
      <c r="G5711" s="9"/>
      <c r="H5711" s="257" t="s">
        <v>23769</v>
      </c>
      <c r="I5711" s="9">
        <v>3</v>
      </c>
    </row>
    <row r="5712" spans="1:9">
      <c r="A5712" s="257" t="s">
        <v>6810</v>
      </c>
      <c r="B5712" s="9">
        <v>0</v>
      </c>
      <c r="C5712" s="257" t="s">
        <v>12491</v>
      </c>
      <c r="D5712" s="9">
        <v>9358875.1424636841</v>
      </c>
      <c r="E5712" s="9">
        <v>17258998.467498779</v>
      </c>
      <c r="F5712" s="257" t="s">
        <v>17061</v>
      </c>
      <c r="G5712" s="9">
        <v>1</v>
      </c>
      <c r="H5712" s="257" t="s">
        <v>23770</v>
      </c>
      <c r="I5712" s="9">
        <v>3</v>
      </c>
    </row>
    <row r="5713" spans="1:9">
      <c r="A5713" s="257" t="s">
        <v>6811</v>
      </c>
      <c r="B5713" s="9">
        <v>0</v>
      </c>
      <c r="C5713" s="257" t="s">
        <v>12492</v>
      </c>
      <c r="D5713" s="9">
        <v>57931371203.867264</v>
      </c>
      <c r="E5713" s="9">
        <v>17258998.467498779</v>
      </c>
      <c r="F5713" s="257" t="s">
        <v>17061</v>
      </c>
      <c r="G5713" s="9">
        <v>1</v>
      </c>
      <c r="H5713" s="257" t="s">
        <v>23771</v>
      </c>
      <c r="I5713" s="9">
        <v>3</v>
      </c>
    </row>
    <row r="5714" spans="1:9">
      <c r="A5714" s="257" t="s">
        <v>6812</v>
      </c>
      <c r="B5714" s="9">
        <v>0</v>
      </c>
      <c r="C5714" s="257" t="s">
        <v>12493</v>
      </c>
      <c r="D5714" s="9">
        <v>0.54226061611210041</v>
      </c>
      <c r="E5714" s="9">
        <v>17258998.467498779</v>
      </c>
      <c r="F5714" s="257" t="s">
        <v>17061</v>
      </c>
      <c r="G5714" s="9">
        <v>1</v>
      </c>
      <c r="H5714" s="257" t="s">
        <v>23772</v>
      </c>
      <c r="I5714" s="9">
        <v>3</v>
      </c>
    </row>
    <row r="5715" spans="1:9">
      <c r="A5715" s="257" t="s">
        <v>6813</v>
      </c>
      <c r="B5715" s="9">
        <v>0</v>
      </c>
      <c r="C5715" s="257" t="s">
        <v>12494</v>
      </c>
      <c r="D5715" s="9">
        <v>3356.5893938145086</v>
      </c>
      <c r="E5715" s="9">
        <v>17258998.467498779</v>
      </c>
      <c r="F5715" s="257" t="s">
        <v>17061</v>
      </c>
      <c r="G5715" s="9">
        <v>1</v>
      </c>
      <c r="H5715" s="257" t="s">
        <v>23773</v>
      </c>
      <c r="I5715" s="9">
        <v>3</v>
      </c>
    </row>
    <row r="5716" spans="1:9">
      <c r="A5716" s="257" t="s">
        <v>6814</v>
      </c>
      <c r="B5716" s="9">
        <v>0</v>
      </c>
      <c r="C5716" s="257" t="s">
        <v>12495</v>
      </c>
      <c r="D5716" s="9">
        <v>0</v>
      </c>
      <c r="E5716" s="9">
        <v>17258998.467498779</v>
      </c>
      <c r="F5716" s="257" t="s">
        <v>17062</v>
      </c>
      <c r="G5716" s="9">
        <v>1</v>
      </c>
      <c r="H5716" s="257" t="s">
        <v>23774</v>
      </c>
      <c r="I5716" s="9">
        <v>3</v>
      </c>
    </row>
    <row r="5717" spans="1:9">
      <c r="A5717" s="257" t="s">
        <v>6815</v>
      </c>
      <c r="B5717" s="9">
        <v>0</v>
      </c>
      <c r="C5717" s="257" t="s">
        <v>12496</v>
      </c>
      <c r="D5717" s="9">
        <v>0</v>
      </c>
      <c r="E5717" s="9">
        <v>17258998.467498779</v>
      </c>
      <c r="F5717" s="257" t="s">
        <v>17062</v>
      </c>
      <c r="G5717" s="9">
        <v>1</v>
      </c>
      <c r="H5717" s="257" t="s">
        <v>23775</v>
      </c>
      <c r="I5717" s="9">
        <v>3</v>
      </c>
    </row>
    <row r="5718" spans="1:9">
      <c r="A5718" s="257" t="s">
        <v>6816</v>
      </c>
      <c r="B5718" s="9">
        <v>0</v>
      </c>
      <c r="C5718" s="257" t="s">
        <v>12497</v>
      </c>
      <c r="D5718" s="9">
        <v>0</v>
      </c>
      <c r="E5718" s="9">
        <v>17258998.467498779</v>
      </c>
      <c r="F5718" s="257" t="s">
        <v>17062</v>
      </c>
      <c r="G5718" s="9">
        <v>1</v>
      </c>
      <c r="H5718" s="257" t="s">
        <v>23776</v>
      </c>
      <c r="I5718" s="9">
        <v>3</v>
      </c>
    </row>
    <row r="5719" spans="1:9">
      <c r="A5719" s="257" t="s">
        <v>6817</v>
      </c>
      <c r="B5719" s="9">
        <v>0</v>
      </c>
      <c r="C5719" s="257" t="s">
        <v>12498</v>
      </c>
      <c r="D5719" s="9">
        <v>0</v>
      </c>
      <c r="E5719" s="9">
        <v>17258998.467498779</v>
      </c>
      <c r="F5719" s="257" t="s">
        <v>17062</v>
      </c>
      <c r="G5719" s="9">
        <v>1</v>
      </c>
      <c r="H5719" s="257" t="s">
        <v>23777</v>
      </c>
      <c r="I5719" s="9">
        <v>3</v>
      </c>
    </row>
    <row r="5720" spans="1:9">
      <c r="A5720" s="257" t="s">
        <v>6818</v>
      </c>
      <c r="B5720" s="9">
        <v>0</v>
      </c>
      <c r="C5720" s="257" t="s">
        <v>12499</v>
      </c>
      <c r="D5720" s="9">
        <v>0</v>
      </c>
      <c r="E5720" s="9">
        <v>17258998.467498779</v>
      </c>
      <c r="F5720" s="257" t="s">
        <v>17063</v>
      </c>
      <c r="G5720" s="9">
        <v>1</v>
      </c>
      <c r="H5720" s="257" t="s">
        <v>23778</v>
      </c>
      <c r="I5720" s="9">
        <v>3</v>
      </c>
    </row>
    <row r="5721" spans="1:9">
      <c r="A5721" s="257" t="s">
        <v>6819</v>
      </c>
      <c r="B5721" s="9">
        <v>0</v>
      </c>
      <c r="C5721" s="257" t="s">
        <v>12500</v>
      </c>
      <c r="D5721" s="9">
        <v>0</v>
      </c>
      <c r="E5721" s="9">
        <v>17258998.467498779</v>
      </c>
      <c r="F5721" s="257" t="s">
        <v>17063</v>
      </c>
      <c r="G5721" s="9">
        <v>1</v>
      </c>
      <c r="H5721" s="257" t="s">
        <v>23779</v>
      </c>
      <c r="I5721" s="9">
        <v>3</v>
      </c>
    </row>
    <row r="5722" spans="1:9">
      <c r="A5722" s="257" t="s">
        <v>6820</v>
      </c>
      <c r="B5722" s="9">
        <v>0</v>
      </c>
      <c r="C5722" s="257" t="s">
        <v>12501</v>
      </c>
      <c r="D5722" s="9">
        <v>0</v>
      </c>
      <c r="E5722" s="9">
        <v>17258998.467498779</v>
      </c>
      <c r="F5722" s="257" t="s">
        <v>17063</v>
      </c>
      <c r="G5722" s="9">
        <v>1</v>
      </c>
      <c r="H5722" s="257" t="s">
        <v>23780</v>
      </c>
      <c r="I5722" s="9">
        <v>3</v>
      </c>
    </row>
    <row r="5723" spans="1:9">
      <c r="A5723" s="257" t="s">
        <v>6821</v>
      </c>
      <c r="B5723" s="9">
        <v>0</v>
      </c>
      <c r="C5723" s="257" t="s">
        <v>12502</v>
      </c>
      <c r="D5723" s="9">
        <v>0</v>
      </c>
      <c r="E5723" s="9">
        <v>17258998.467498779</v>
      </c>
      <c r="F5723" s="257" t="s">
        <v>17063</v>
      </c>
      <c r="G5723" s="9">
        <v>1</v>
      </c>
      <c r="H5723" s="257" t="s">
        <v>23781</v>
      </c>
      <c r="I5723" s="9">
        <v>3</v>
      </c>
    </row>
    <row r="5724" spans="1:9">
      <c r="A5724" s="257" t="s">
        <v>6822</v>
      </c>
      <c r="B5724" s="9">
        <v>0</v>
      </c>
      <c r="C5724" s="257" t="s">
        <v>12503</v>
      </c>
      <c r="D5724" s="9">
        <v>0</v>
      </c>
      <c r="E5724" s="9">
        <v>17258998.467498779</v>
      </c>
      <c r="F5724" s="257" t="s">
        <v>17064</v>
      </c>
      <c r="G5724" s="9">
        <v>1</v>
      </c>
      <c r="H5724" s="257" t="s">
        <v>23782</v>
      </c>
      <c r="I5724" s="9">
        <v>3</v>
      </c>
    </row>
    <row r="5725" spans="1:9">
      <c r="A5725" s="257" t="s">
        <v>6823</v>
      </c>
      <c r="B5725" s="9">
        <v>0</v>
      </c>
      <c r="C5725" s="257" t="s">
        <v>12504</v>
      </c>
      <c r="D5725" s="9">
        <v>0</v>
      </c>
      <c r="E5725" s="9">
        <v>17258998.467498779</v>
      </c>
      <c r="F5725" s="257" t="s">
        <v>17064</v>
      </c>
      <c r="G5725" s="9">
        <v>1</v>
      </c>
      <c r="H5725" s="257" t="s">
        <v>23783</v>
      </c>
      <c r="I5725" s="9">
        <v>3</v>
      </c>
    </row>
    <row r="5726" spans="1:9">
      <c r="A5726" s="257" t="s">
        <v>6824</v>
      </c>
      <c r="B5726" s="9">
        <v>0</v>
      </c>
      <c r="C5726" s="257" t="s">
        <v>12505</v>
      </c>
      <c r="D5726" s="9">
        <v>0</v>
      </c>
      <c r="E5726" s="9">
        <v>17258998.467498779</v>
      </c>
      <c r="F5726" s="257" t="s">
        <v>17064</v>
      </c>
      <c r="G5726" s="9">
        <v>1</v>
      </c>
      <c r="H5726" s="257" t="s">
        <v>23784</v>
      </c>
      <c r="I5726" s="9">
        <v>3</v>
      </c>
    </row>
    <row r="5727" spans="1:9">
      <c r="A5727" s="257" t="s">
        <v>6825</v>
      </c>
      <c r="B5727" s="9">
        <v>0</v>
      </c>
      <c r="C5727" s="257" t="s">
        <v>12506</v>
      </c>
      <c r="D5727" s="9">
        <v>0</v>
      </c>
      <c r="E5727" s="9">
        <v>17258998.467498779</v>
      </c>
      <c r="F5727" s="257" t="s">
        <v>17064</v>
      </c>
      <c r="G5727" s="9">
        <v>1</v>
      </c>
      <c r="H5727" s="257" t="s">
        <v>23785</v>
      </c>
      <c r="I5727" s="9">
        <v>3</v>
      </c>
    </row>
    <row r="5728" spans="1:9">
      <c r="A5728" s="257" t="s">
        <v>6826</v>
      </c>
      <c r="B5728" s="9">
        <v>0</v>
      </c>
      <c r="C5728" s="257" t="s">
        <v>12507</v>
      </c>
      <c r="D5728" s="9">
        <v>0</v>
      </c>
      <c r="E5728" s="9">
        <v>17258998.467498779</v>
      </c>
      <c r="F5728" s="257" t="s">
        <v>17065</v>
      </c>
      <c r="G5728" s="9">
        <v>1</v>
      </c>
      <c r="H5728" s="257" t="s">
        <v>23786</v>
      </c>
      <c r="I5728" s="9">
        <v>3</v>
      </c>
    </row>
    <row r="5729" spans="1:9">
      <c r="A5729" s="257" t="s">
        <v>6827</v>
      </c>
      <c r="B5729" s="9">
        <v>0</v>
      </c>
      <c r="C5729" s="257" t="s">
        <v>12508</v>
      </c>
      <c r="D5729" s="9">
        <v>0</v>
      </c>
      <c r="E5729" s="9">
        <v>17258998.467498779</v>
      </c>
      <c r="F5729" s="257" t="s">
        <v>17065</v>
      </c>
      <c r="G5729" s="9">
        <v>1</v>
      </c>
      <c r="H5729" s="257" t="s">
        <v>23787</v>
      </c>
      <c r="I5729" s="9">
        <v>3</v>
      </c>
    </row>
    <row r="5730" spans="1:9">
      <c r="A5730" s="257" t="s">
        <v>6828</v>
      </c>
      <c r="B5730" s="9">
        <v>0</v>
      </c>
      <c r="C5730" s="257" t="s">
        <v>12509</v>
      </c>
      <c r="D5730" s="9">
        <v>0</v>
      </c>
      <c r="E5730" s="9">
        <v>17258998.467498779</v>
      </c>
      <c r="F5730" s="257" t="s">
        <v>17065</v>
      </c>
      <c r="G5730" s="9">
        <v>1</v>
      </c>
      <c r="H5730" s="257" t="s">
        <v>23788</v>
      </c>
      <c r="I5730" s="9">
        <v>3</v>
      </c>
    </row>
    <row r="5731" spans="1:9">
      <c r="A5731" s="257" t="s">
        <v>6829</v>
      </c>
      <c r="B5731" s="9">
        <v>0</v>
      </c>
      <c r="C5731" s="257" t="s">
        <v>12510</v>
      </c>
      <c r="D5731" s="9">
        <v>0</v>
      </c>
      <c r="E5731" s="9">
        <v>17258998.467498779</v>
      </c>
      <c r="F5731" s="257" t="s">
        <v>17065</v>
      </c>
      <c r="G5731" s="9">
        <v>1</v>
      </c>
      <c r="H5731" s="257" t="s">
        <v>23789</v>
      </c>
      <c r="I5731" s="9">
        <v>3</v>
      </c>
    </row>
    <row r="5732" spans="1:9">
      <c r="A5732" s="257" t="s">
        <v>6830</v>
      </c>
      <c r="B5732" s="9">
        <v>0</v>
      </c>
      <c r="C5732" s="257" t="s">
        <v>12511</v>
      </c>
      <c r="D5732" s="9">
        <v>0</v>
      </c>
      <c r="E5732" s="9">
        <v>17258998.467498779</v>
      </c>
      <c r="F5732" s="257" t="s">
        <v>17066</v>
      </c>
      <c r="G5732" s="9">
        <v>1</v>
      </c>
      <c r="H5732" s="257" t="s">
        <v>23790</v>
      </c>
      <c r="I5732" s="9">
        <v>3</v>
      </c>
    </row>
    <row r="5733" spans="1:9">
      <c r="A5733" s="257" t="s">
        <v>6831</v>
      </c>
      <c r="B5733" s="9">
        <v>0</v>
      </c>
      <c r="C5733" s="257" t="s">
        <v>12512</v>
      </c>
      <c r="D5733" s="9">
        <v>0</v>
      </c>
      <c r="E5733" s="9">
        <v>17258998.467498779</v>
      </c>
      <c r="F5733" s="257" t="s">
        <v>17066</v>
      </c>
      <c r="G5733" s="9">
        <v>1</v>
      </c>
      <c r="H5733" s="257" t="s">
        <v>23791</v>
      </c>
      <c r="I5733" s="9">
        <v>3</v>
      </c>
    </row>
    <row r="5734" spans="1:9">
      <c r="A5734" s="257" t="s">
        <v>6832</v>
      </c>
      <c r="B5734" s="9">
        <v>0</v>
      </c>
      <c r="C5734" s="257" t="s">
        <v>12513</v>
      </c>
      <c r="D5734" s="9">
        <v>0</v>
      </c>
      <c r="E5734" s="9">
        <v>17258998.467498779</v>
      </c>
      <c r="F5734" s="257" t="s">
        <v>17066</v>
      </c>
      <c r="G5734" s="9">
        <v>1</v>
      </c>
      <c r="H5734" s="257" t="s">
        <v>23792</v>
      </c>
      <c r="I5734" s="9">
        <v>3</v>
      </c>
    </row>
    <row r="5735" spans="1:9">
      <c r="A5735" s="257" t="s">
        <v>6833</v>
      </c>
      <c r="B5735" s="9">
        <v>0</v>
      </c>
      <c r="C5735" s="257" t="s">
        <v>12514</v>
      </c>
      <c r="D5735" s="9">
        <v>0</v>
      </c>
      <c r="E5735" s="9">
        <v>17258998.467498779</v>
      </c>
      <c r="F5735" s="257" t="s">
        <v>17066</v>
      </c>
      <c r="G5735" s="9">
        <v>1</v>
      </c>
      <c r="H5735" s="257" t="s">
        <v>23793</v>
      </c>
      <c r="I5735" s="9">
        <v>3</v>
      </c>
    </row>
    <row r="5736" spans="1:9">
      <c r="A5736" s="257" t="s">
        <v>6834</v>
      </c>
      <c r="B5736" s="9">
        <v>0</v>
      </c>
      <c r="C5736" s="257" t="s">
        <v>12515</v>
      </c>
      <c r="D5736" s="9">
        <v>0</v>
      </c>
      <c r="E5736" s="9">
        <v>17258998.467498779</v>
      </c>
      <c r="F5736" s="257" t="s">
        <v>17067</v>
      </c>
      <c r="G5736" s="9">
        <v>1</v>
      </c>
      <c r="H5736" s="257" t="s">
        <v>23794</v>
      </c>
      <c r="I5736" s="9">
        <v>3</v>
      </c>
    </row>
    <row r="5737" spans="1:9">
      <c r="A5737" s="257" t="s">
        <v>6835</v>
      </c>
      <c r="B5737" s="9">
        <v>0</v>
      </c>
      <c r="C5737" s="257" t="s">
        <v>12516</v>
      </c>
      <c r="D5737" s="9">
        <v>0</v>
      </c>
      <c r="E5737" s="9">
        <v>17258998.467498779</v>
      </c>
      <c r="F5737" s="257" t="s">
        <v>17067</v>
      </c>
      <c r="G5737" s="9">
        <v>1</v>
      </c>
      <c r="H5737" s="257" t="s">
        <v>23795</v>
      </c>
      <c r="I5737" s="9">
        <v>3</v>
      </c>
    </row>
    <row r="5738" spans="1:9">
      <c r="A5738" s="257" t="s">
        <v>6836</v>
      </c>
      <c r="B5738" s="9">
        <v>0</v>
      </c>
      <c r="C5738" s="257" t="s">
        <v>12517</v>
      </c>
      <c r="D5738" s="9">
        <v>0</v>
      </c>
      <c r="E5738" s="9">
        <v>17258998.467498779</v>
      </c>
      <c r="F5738" s="257" t="s">
        <v>17067</v>
      </c>
      <c r="G5738" s="9">
        <v>1</v>
      </c>
      <c r="H5738" s="257" t="s">
        <v>23796</v>
      </c>
      <c r="I5738" s="9">
        <v>3</v>
      </c>
    </row>
    <row r="5739" spans="1:9">
      <c r="A5739" s="257" t="s">
        <v>6837</v>
      </c>
      <c r="B5739" s="9">
        <v>0</v>
      </c>
      <c r="C5739" s="257" t="s">
        <v>12518</v>
      </c>
      <c r="D5739" s="9">
        <v>0</v>
      </c>
      <c r="E5739" s="9">
        <v>17258998.467498779</v>
      </c>
      <c r="F5739" s="257" t="s">
        <v>17067</v>
      </c>
      <c r="G5739" s="9">
        <v>1</v>
      </c>
      <c r="H5739" s="257" t="s">
        <v>23797</v>
      </c>
      <c r="I5739" s="9">
        <v>3</v>
      </c>
    </row>
    <row r="5740" spans="1:9">
      <c r="A5740" s="257" t="s">
        <v>6838</v>
      </c>
      <c r="B5740" s="9">
        <v>0</v>
      </c>
      <c r="C5740" s="257" t="s">
        <v>12519</v>
      </c>
      <c r="D5740" s="9">
        <v>0</v>
      </c>
      <c r="E5740" s="9">
        <v>17258998.467498779</v>
      </c>
      <c r="F5740" s="257" t="s">
        <v>17068</v>
      </c>
      <c r="G5740" s="9">
        <v>1</v>
      </c>
      <c r="H5740" s="257" t="s">
        <v>23798</v>
      </c>
      <c r="I5740" s="9">
        <v>3</v>
      </c>
    </row>
    <row r="5741" spans="1:9">
      <c r="A5741" s="257" t="s">
        <v>6839</v>
      </c>
      <c r="B5741" s="9">
        <v>0</v>
      </c>
      <c r="C5741" s="257" t="s">
        <v>12520</v>
      </c>
      <c r="D5741" s="9">
        <v>0</v>
      </c>
      <c r="E5741" s="9">
        <v>17258998.467498779</v>
      </c>
      <c r="F5741" s="257" t="s">
        <v>17068</v>
      </c>
      <c r="G5741" s="9">
        <v>1</v>
      </c>
      <c r="H5741" s="257" t="s">
        <v>23799</v>
      </c>
      <c r="I5741" s="9">
        <v>3</v>
      </c>
    </row>
    <row r="5742" spans="1:9">
      <c r="A5742" s="257" t="s">
        <v>6840</v>
      </c>
      <c r="B5742" s="9">
        <v>0</v>
      </c>
      <c r="C5742" s="257" t="s">
        <v>12521</v>
      </c>
      <c r="D5742" s="9">
        <v>0</v>
      </c>
      <c r="E5742" s="9">
        <v>17258998.467498779</v>
      </c>
      <c r="F5742" s="257" t="s">
        <v>17068</v>
      </c>
      <c r="G5742" s="9">
        <v>1</v>
      </c>
      <c r="H5742" s="257" t="s">
        <v>23800</v>
      </c>
      <c r="I5742" s="9">
        <v>3</v>
      </c>
    </row>
    <row r="5743" spans="1:9">
      <c r="A5743" s="257" t="s">
        <v>6841</v>
      </c>
      <c r="B5743" s="9">
        <v>0</v>
      </c>
      <c r="C5743" s="257" t="s">
        <v>12522</v>
      </c>
      <c r="D5743" s="9">
        <v>0</v>
      </c>
      <c r="E5743" s="9">
        <v>17258998.467498779</v>
      </c>
      <c r="F5743" s="257" t="s">
        <v>17068</v>
      </c>
      <c r="G5743" s="9">
        <v>1</v>
      </c>
      <c r="H5743" s="257" t="s">
        <v>23801</v>
      </c>
      <c r="I5743" s="9">
        <v>3</v>
      </c>
    </row>
    <row r="5744" spans="1:9">
      <c r="A5744" s="257" t="s">
        <v>6842</v>
      </c>
      <c r="B5744" s="9">
        <v>0</v>
      </c>
      <c r="C5744" s="257" t="s">
        <v>12523</v>
      </c>
      <c r="D5744" s="9">
        <v>17238084.621276855</v>
      </c>
      <c r="E5744" s="9">
        <v>17258998.467498779</v>
      </c>
      <c r="F5744" s="257" t="s">
        <v>17069</v>
      </c>
      <c r="G5744" s="9">
        <v>1</v>
      </c>
      <c r="H5744" s="257" t="s">
        <v>23802</v>
      </c>
      <c r="I5744" s="9">
        <v>3</v>
      </c>
    </row>
    <row r="5745" spans="1:9">
      <c r="A5745" s="257" t="s">
        <v>6843</v>
      </c>
      <c r="B5745" s="9">
        <v>0</v>
      </c>
      <c r="C5745" s="257" t="s">
        <v>12524</v>
      </c>
      <c r="D5745" s="9">
        <v>101005972393.6424</v>
      </c>
      <c r="E5745" s="9">
        <v>17258998.467498779</v>
      </c>
      <c r="F5745" s="257" t="s">
        <v>17069</v>
      </c>
      <c r="G5745" s="9">
        <v>1</v>
      </c>
      <c r="H5745" s="257" t="s">
        <v>23803</v>
      </c>
      <c r="I5745" s="9">
        <v>3</v>
      </c>
    </row>
    <row r="5746" spans="1:9">
      <c r="A5746" s="257" t="s">
        <v>6844</v>
      </c>
      <c r="B5746" s="9">
        <v>0</v>
      </c>
      <c r="C5746" s="257" t="s">
        <v>12525</v>
      </c>
      <c r="D5746" s="9">
        <v>0.99878823523501048</v>
      </c>
      <c r="E5746" s="9">
        <v>17258998.467498779</v>
      </c>
      <c r="F5746" s="257" t="s">
        <v>17069</v>
      </c>
      <c r="G5746" s="9">
        <v>1</v>
      </c>
      <c r="H5746" s="257" t="s">
        <v>23804</v>
      </c>
      <c r="I5746" s="9">
        <v>3</v>
      </c>
    </row>
    <row r="5747" spans="1:9">
      <c r="A5747" s="257" t="s">
        <v>6845</v>
      </c>
      <c r="B5747" s="9">
        <v>0</v>
      </c>
      <c r="C5747" s="257" t="s">
        <v>12526</v>
      </c>
      <c r="D5747" s="9">
        <v>5852.365801170411</v>
      </c>
      <c r="E5747" s="9">
        <v>17258998.467498779</v>
      </c>
      <c r="F5747" s="257" t="s">
        <v>17069</v>
      </c>
      <c r="G5747" s="9">
        <v>1</v>
      </c>
      <c r="H5747" s="257" t="s">
        <v>23805</v>
      </c>
      <c r="I5747" s="9">
        <v>3</v>
      </c>
    </row>
    <row r="5748" spans="1:9">
      <c r="A5748" s="257" t="s">
        <v>6846</v>
      </c>
      <c r="B5748" s="9">
        <v>0</v>
      </c>
      <c r="C5748" s="257" t="s">
        <v>12527</v>
      </c>
      <c r="D5748" s="9">
        <v>17238084.621276855</v>
      </c>
      <c r="E5748" s="9">
        <v>17258998.467498779</v>
      </c>
      <c r="F5748" s="257" t="s">
        <v>17070</v>
      </c>
      <c r="G5748" s="9">
        <v>1</v>
      </c>
      <c r="H5748" s="257" t="s">
        <v>23806</v>
      </c>
      <c r="I5748" s="9">
        <v>3</v>
      </c>
    </row>
    <row r="5749" spans="1:9">
      <c r="A5749" s="257" t="s">
        <v>6847</v>
      </c>
      <c r="B5749" s="9">
        <v>0</v>
      </c>
      <c r="C5749" s="257" t="s">
        <v>12528</v>
      </c>
      <c r="D5749" s="9">
        <v>101005972393.6424</v>
      </c>
      <c r="E5749" s="9">
        <v>17258998.467498779</v>
      </c>
      <c r="F5749" s="257" t="s">
        <v>17070</v>
      </c>
      <c r="G5749" s="9">
        <v>1</v>
      </c>
      <c r="H5749" s="257" t="s">
        <v>23807</v>
      </c>
      <c r="I5749" s="9">
        <v>3</v>
      </c>
    </row>
    <row r="5750" spans="1:9">
      <c r="A5750" s="257" t="s">
        <v>6848</v>
      </c>
      <c r="B5750" s="9">
        <v>0</v>
      </c>
      <c r="C5750" s="257" t="s">
        <v>12529</v>
      </c>
      <c r="D5750" s="9">
        <v>0.99878823523501048</v>
      </c>
      <c r="E5750" s="9">
        <v>17258998.467498779</v>
      </c>
      <c r="F5750" s="257" t="s">
        <v>17070</v>
      </c>
      <c r="G5750" s="9">
        <v>1</v>
      </c>
      <c r="H5750" s="257" t="s">
        <v>23808</v>
      </c>
      <c r="I5750" s="9">
        <v>3</v>
      </c>
    </row>
    <row r="5751" spans="1:9">
      <c r="A5751" s="257" t="s">
        <v>6849</v>
      </c>
      <c r="B5751" s="9">
        <v>0</v>
      </c>
      <c r="C5751" s="257" t="s">
        <v>12530</v>
      </c>
      <c r="D5751" s="9">
        <v>5852.365801170411</v>
      </c>
      <c r="E5751" s="9">
        <v>17258998.467498779</v>
      </c>
      <c r="F5751" s="257" t="s">
        <v>17070</v>
      </c>
      <c r="G5751" s="9">
        <v>1</v>
      </c>
      <c r="H5751" s="257" t="s">
        <v>23809</v>
      </c>
      <c r="I5751" s="9">
        <v>3</v>
      </c>
    </row>
    <row r="5752" spans="1:9">
      <c r="A5752" s="257" t="s">
        <v>6850</v>
      </c>
      <c r="B5752" s="9">
        <v>0</v>
      </c>
      <c r="C5752" s="257" t="s">
        <v>12531</v>
      </c>
      <c r="D5752" s="9">
        <v>17238084.621276855</v>
      </c>
      <c r="E5752" s="9">
        <v>17258998.467498779</v>
      </c>
      <c r="F5752" s="257" t="s">
        <v>17071</v>
      </c>
      <c r="G5752" s="9">
        <v>1</v>
      </c>
      <c r="H5752" s="257" t="s">
        <v>23810</v>
      </c>
      <c r="I5752" s="9">
        <v>3</v>
      </c>
    </row>
    <row r="5753" spans="1:9">
      <c r="A5753" s="257" t="s">
        <v>6851</v>
      </c>
      <c r="B5753" s="9">
        <v>0</v>
      </c>
      <c r="C5753" s="257" t="s">
        <v>12532</v>
      </c>
      <c r="D5753" s="9">
        <v>101005972393.6424</v>
      </c>
      <c r="E5753" s="9">
        <v>17258998.467498779</v>
      </c>
      <c r="F5753" s="257" t="s">
        <v>17071</v>
      </c>
      <c r="G5753" s="9">
        <v>1</v>
      </c>
      <c r="H5753" s="257" t="s">
        <v>23811</v>
      </c>
      <c r="I5753" s="9">
        <v>3</v>
      </c>
    </row>
    <row r="5754" spans="1:9">
      <c r="A5754" s="257" t="s">
        <v>6852</v>
      </c>
      <c r="B5754" s="9">
        <v>0</v>
      </c>
      <c r="C5754" s="257" t="s">
        <v>12533</v>
      </c>
      <c r="D5754" s="9">
        <v>0.99878823523501048</v>
      </c>
      <c r="E5754" s="9">
        <v>17258998.467498779</v>
      </c>
      <c r="F5754" s="257" t="s">
        <v>17071</v>
      </c>
      <c r="G5754" s="9">
        <v>1</v>
      </c>
      <c r="H5754" s="257" t="s">
        <v>23812</v>
      </c>
      <c r="I5754" s="9">
        <v>3</v>
      </c>
    </row>
    <row r="5755" spans="1:9">
      <c r="A5755" s="257" t="s">
        <v>6853</v>
      </c>
      <c r="B5755" s="9">
        <v>0</v>
      </c>
      <c r="C5755" s="257" t="s">
        <v>12534</v>
      </c>
      <c r="D5755" s="9">
        <v>5852.365801170411</v>
      </c>
      <c r="E5755" s="9">
        <v>17258998.467498779</v>
      </c>
      <c r="F5755" s="257" t="s">
        <v>17071</v>
      </c>
      <c r="G5755" s="9">
        <v>1</v>
      </c>
      <c r="H5755" s="257" t="s">
        <v>23813</v>
      </c>
      <c r="I5755" s="9">
        <v>3</v>
      </c>
    </row>
    <row r="5756" spans="1:9">
      <c r="A5756" s="257" t="s">
        <v>6854</v>
      </c>
      <c r="B5756" s="9">
        <v>0</v>
      </c>
      <c r="C5756" s="257" t="s">
        <v>12535</v>
      </c>
      <c r="D5756" s="9">
        <v>17258998.467498779</v>
      </c>
      <c r="E5756" s="9">
        <v>17258998.467498779</v>
      </c>
      <c r="F5756" s="257" t="s">
        <v>17072</v>
      </c>
      <c r="G5756" s="9">
        <v>1</v>
      </c>
      <c r="H5756" s="257" t="s">
        <v>23814</v>
      </c>
      <c r="I5756" s="9">
        <v>3</v>
      </c>
    </row>
    <row r="5757" spans="1:9">
      <c r="A5757" s="257" t="s">
        <v>6855</v>
      </c>
      <c r="B5757" s="9">
        <v>0</v>
      </c>
      <c r="C5757" s="257" t="s">
        <v>12536</v>
      </c>
      <c r="D5757" s="9">
        <v>23726073342.295841</v>
      </c>
      <c r="E5757" s="9">
        <v>17258998.467498779</v>
      </c>
      <c r="F5757" s="257" t="s">
        <v>17072</v>
      </c>
      <c r="G5757" s="9">
        <v>1</v>
      </c>
      <c r="H5757" s="257" t="s">
        <v>23815</v>
      </c>
      <c r="I5757" s="9">
        <v>3</v>
      </c>
    </row>
    <row r="5758" spans="1:9">
      <c r="A5758" s="257" t="s">
        <v>6856</v>
      </c>
      <c r="B5758" s="9">
        <v>0</v>
      </c>
      <c r="C5758" s="257" t="s">
        <v>12537</v>
      </c>
      <c r="D5758" s="9">
        <v>1</v>
      </c>
      <c r="E5758" s="9">
        <v>17258998.467498779</v>
      </c>
      <c r="F5758" s="257" t="s">
        <v>17072</v>
      </c>
      <c r="G5758" s="9">
        <v>1</v>
      </c>
      <c r="H5758" s="257" t="s">
        <v>23816</v>
      </c>
      <c r="I5758" s="9">
        <v>3</v>
      </c>
    </row>
    <row r="5759" spans="1:9">
      <c r="A5759" s="257" t="s">
        <v>6857</v>
      </c>
      <c r="B5759" s="9">
        <v>0</v>
      </c>
      <c r="C5759" s="257" t="s">
        <v>12538</v>
      </c>
      <c r="D5759" s="9">
        <v>1374.7074250557187</v>
      </c>
      <c r="E5759" s="9">
        <v>17258998.467498779</v>
      </c>
      <c r="F5759" s="257" t="s">
        <v>17072</v>
      </c>
      <c r="G5759" s="9">
        <v>1</v>
      </c>
      <c r="H5759" s="257" t="s">
        <v>23817</v>
      </c>
      <c r="I5759" s="9">
        <v>3</v>
      </c>
    </row>
    <row r="5760" spans="1:9">
      <c r="A5760" s="257" t="s">
        <v>6858</v>
      </c>
      <c r="B5760" s="9">
        <v>0</v>
      </c>
      <c r="C5760" s="257" t="s">
        <v>12539</v>
      </c>
      <c r="D5760" s="9">
        <v>9659968.5730438232</v>
      </c>
      <c r="E5760" s="9">
        <v>17258998.467498779</v>
      </c>
      <c r="F5760" s="257" t="s">
        <v>17073</v>
      </c>
      <c r="G5760" s="9">
        <v>1</v>
      </c>
      <c r="H5760" s="257" t="s">
        <v>23818</v>
      </c>
      <c r="I5760" s="9">
        <v>3</v>
      </c>
    </row>
    <row r="5761" spans="1:9">
      <c r="A5761" s="257" t="s">
        <v>6859</v>
      </c>
      <c r="B5761" s="9">
        <v>0</v>
      </c>
      <c r="C5761" s="257" t="s">
        <v>12540</v>
      </c>
      <c r="D5761" s="9">
        <v>44904559421.330383</v>
      </c>
      <c r="E5761" s="9">
        <v>17258998.467498779</v>
      </c>
      <c r="F5761" s="257" t="s">
        <v>17073</v>
      </c>
      <c r="G5761" s="9">
        <v>1</v>
      </c>
      <c r="H5761" s="257" t="s">
        <v>23819</v>
      </c>
      <c r="I5761" s="9">
        <v>3</v>
      </c>
    </row>
    <row r="5762" spans="1:9">
      <c r="A5762" s="257" t="s">
        <v>6860</v>
      </c>
      <c r="B5762" s="9">
        <v>0</v>
      </c>
      <c r="C5762" s="257" t="s">
        <v>12541</v>
      </c>
      <c r="D5762" s="9">
        <v>0.55970620724226605</v>
      </c>
      <c r="E5762" s="9">
        <v>17258998.467498779</v>
      </c>
      <c r="F5762" s="257" t="s">
        <v>17073</v>
      </c>
      <c r="G5762" s="9">
        <v>1</v>
      </c>
      <c r="H5762" s="257" t="s">
        <v>23820</v>
      </c>
      <c r="I5762" s="9">
        <v>3</v>
      </c>
    </row>
    <row r="5763" spans="1:9">
      <c r="A5763" s="257" t="s">
        <v>6861</v>
      </c>
      <c r="B5763" s="9">
        <v>0</v>
      </c>
      <c r="C5763" s="257" t="s">
        <v>12542</v>
      </c>
      <c r="D5763" s="9">
        <v>2601.8056323425858</v>
      </c>
      <c r="E5763" s="9">
        <v>17258998.467498779</v>
      </c>
      <c r="F5763" s="257" t="s">
        <v>17073</v>
      </c>
      <c r="G5763" s="9">
        <v>1</v>
      </c>
      <c r="H5763" s="257" t="s">
        <v>23821</v>
      </c>
      <c r="I5763" s="9">
        <v>3</v>
      </c>
    </row>
    <row r="5764" spans="1:9">
      <c r="A5764" s="257" t="s">
        <v>6862</v>
      </c>
      <c r="B5764" s="9">
        <v>0</v>
      </c>
      <c r="C5764" s="257" t="s">
        <v>12543</v>
      </c>
      <c r="D5764" s="9">
        <v>17258998.467498779</v>
      </c>
      <c r="E5764" s="9">
        <v>17258998.467498779</v>
      </c>
      <c r="F5764" s="257" t="s">
        <v>17074</v>
      </c>
      <c r="G5764" s="9">
        <v>1</v>
      </c>
      <c r="H5764" s="257" t="s">
        <v>23822</v>
      </c>
      <c r="I5764" s="9">
        <v>3</v>
      </c>
    </row>
    <row r="5765" spans="1:9">
      <c r="A5765" s="257" t="s">
        <v>6863</v>
      </c>
      <c r="B5765" s="9">
        <v>0</v>
      </c>
      <c r="C5765" s="257" t="s">
        <v>12544</v>
      </c>
      <c r="D5765" s="9">
        <v>145910531814.97278</v>
      </c>
      <c r="E5765" s="9">
        <v>17258998.467498779</v>
      </c>
      <c r="F5765" s="257" t="s">
        <v>17074</v>
      </c>
      <c r="G5765" s="9">
        <v>1</v>
      </c>
      <c r="H5765" s="257" t="s">
        <v>23823</v>
      </c>
      <c r="I5765" s="9">
        <v>3</v>
      </c>
    </row>
    <row r="5766" spans="1:9">
      <c r="A5766" s="257" t="s">
        <v>6864</v>
      </c>
      <c r="B5766" s="9">
        <v>0</v>
      </c>
      <c r="C5766" s="257" t="s">
        <v>12545</v>
      </c>
      <c r="D5766" s="9">
        <v>1</v>
      </c>
      <c r="E5766" s="9">
        <v>17258998.467498779</v>
      </c>
      <c r="F5766" s="257" t="s">
        <v>17074</v>
      </c>
      <c r="G5766" s="9">
        <v>1</v>
      </c>
      <c r="H5766" s="257" t="s">
        <v>23824</v>
      </c>
      <c r="I5766" s="9">
        <v>3</v>
      </c>
    </row>
    <row r="5767" spans="1:9">
      <c r="A5767" s="257" t="s">
        <v>6865</v>
      </c>
      <c r="B5767" s="9">
        <v>0</v>
      </c>
      <c r="C5767" s="257" t="s">
        <v>12546</v>
      </c>
      <c r="D5767" s="9">
        <v>8454.1714335129982</v>
      </c>
      <c r="E5767" s="9">
        <v>17258998.467498779</v>
      </c>
      <c r="F5767" s="257" t="s">
        <v>17074</v>
      </c>
      <c r="G5767" s="9">
        <v>1</v>
      </c>
      <c r="H5767" s="257" t="s">
        <v>23825</v>
      </c>
      <c r="I5767" s="9">
        <v>3</v>
      </c>
    </row>
    <row r="5768" spans="1:9">
      <c r="A5768" s="257" t="s">
        <v>6866</v>
      </c>
      <c r="B5768" s="9">
        <v>0</v>
      </c>
      <c r="C5768" s="257" t="s">
        <v>12547</v>
      </c>
      <c r="D5768" s="9">
        <v>17258998.467498779</v>
      </c>
      <c r="E5768" s="9">
        <v>17258998.467498779</v>
      </c>
      <c r="F5768" s="257" t="s">
        <v>17075</v>
      </c>
      <c r="G5768" s="9">
        <v>1</v>
      </c>
      <c r="H5768" s="257" t="s">
        <v>23826</v>
      </c>
      <c r="I5768" s="9">
        <v>3</v>
      </c>
    </row>
    <row r="5769" spans="1:9">
      <c r="A5769" s="257" t="s">
        <v>6867</v>
      </c>
      <c r="B5769" s="9">
        <v>0</v>
      </c>
      <c r="C5769" s="257" t="s">
        <v>12548</v>
      </c>
      <c r="D5769" s="9">
        <v>145910531814.97278</v>
      </c>
      <c r="E5769" s="9">
        <v>17258998.467498779</v>
      </c>
      <c r="F5769" s="257" t="s">
        <v>17075</v>
      </c>
      <c r="G5769" s="9">
        <v>1</v>
      </c>
      <c r="H5769" s="257" t="s">
        <v>23827</v>
      </c>
      <c r="I5769" s="9">
        <v>3</v>
      </c>
    </row>
    <row r="5770" spans="1:9">
      <c r="A5770" s="257" t="s">
        <v>6868</v>
      </c>
      <c r="B5770" s="9">
        <v>0</v>
      </c>
      <c r="C5770" s="257" t="s">
        <v>12549</v>
      </c>
      <c r="D5770" s="9">
        <v>1</v>
      </c>
      <c r="E5770" s="9">
        <v>17258998.467498779</v>
      </c>
      <c r="F5770" s="257" t="s">
        <v>17075</v>
      </c>
      <c r="G5770" s="9">
        <v>1</v>
      </c>
      <c r="H5770" s="257" t="s">
        <v>23828</v>
      </c>
      <c r="I5770" s="9">
        <v>3</v>
      </c>
    </row>
    <row r="5771" spans="1:9">
      <c r="A5771" s="257" t="s">
        <v>6869</v>
      </c>
      <c r="B5771" s="9">
        <v>0</v>
      </c>
      <c r="C5771" s="257" t="s">
        <v>12550</v>
      </c>
      <c r="D5771" s="9">
        <v>8454.1714335129982</v>
      </c>
      <c r="E5771" s="9">
        <v>17258998.467498779</v>
      </c>
      <c r="F5771" s="257" t="s">
        <v>17075</v>
      </c>
      <c r="G5771" s="9">
        <v>1</v>
      </c>
      <c r="H5771" s="257" t="s">
        <v>23829</v>
      </c>
      <c r="I5771" s="9">
        <v>3</v>
      </c>
    </row>
    <row r="5772" spans="1:9">
      <c r="A5772" s="257" t="s">
        <v>6870</v>
      </c>
      <c r="B5772" s="9">
        <v>0</v>
      </c>
      <c r="C5772" s="257" t="s">
        <v>12551</v>
      </c>
      <c r="D5772" s="9">
        <v>10078775.228700638</v>
      </c>
      <c r="E5772" s="9">
        <v>17258998.467498779</v>
      </c>
      <c r="F5772" s="257" t="s">
        <v>17076</v>
      </c>
      <c r="G5772" s="9">
        <v>1</v>
      </c>
      <c r="H5772" s="257" t="s">
        <v>23830</v>
      </c>
      <c r="I5772" s="9">
        <v>3</v>
      </c>
    </row>
    <row r="5773" spans="1:9">
      <c r="A5773" s="257" t="s">
        <v>6871</v>
      </c>
      <c r="B5773" s="9">
        <v>0</v>
      </c>
      <c r="C5773" s="257" t="s">
        <v>12552</v>
      </c>
      <c r="D5773" s="9">
        <v>56197092602.936867</v>
      </c>
      <c r="E5773" s="9">
        <v>17258998.467498779</v>
      </c>
      <c r="F5773" s="257" t="s">
        <v>17076</v>
      </c>
      <c r="G5773" s="9">
        <v>1</v>
      </c>
      <c r="H5773" s="257" t="s">
        <v>23831</v>
      </c>
      <c r="I5773" s="9">
        <v>3</v>
      </c>
    </row>
    <row r="5774" spans="1:9">
      <c r="A5774" s="257" t="s">
        <v>6872</v>
      </c>
      <c r="B5774" s="9">
        <v>0</v>
      </c>
      <c r="C5774" s="257" t="s">
        <v>12553</v>
      </c>
      <c r="D5774" s="9">
        <v>0.58397219558715685</v>
      </c>
      <c r="E5774" s="9">
        <v>17258998.467498779</v>
      </c>
      <c r="F5774" s="257" t="s">
        <v>17076</v>
      </c>
      <c r="G5774" s="9">
        <v>1</v>
      </c>
      <c r="H5774" s="257" t="s">
        <v>23832</v>
      </c>
      <c r="I5774" s="9">
        <v>3</v>
      </c>
    </row>
    <row r="5775" spans="1:9">
      <c r="A5775" s="257" t="s">
        <v>6873</v>
      </c>
      <c r="B5775" s="9">
        <v>0</v>
      </c>
      <c r="C5775" s="257" t="s">
        <v>12554</v>
      </c>
      <c r="D5775" s="9">
        <v>3256.1039221808969</v>
      </c>
      <c r="E5775" s="9">
        <v>17258998.467498779</v>
      </c>
      <c r="F5775" s="257" t="s">
        <v>17076</v>
      </c>
      <c r="G5775" s="9">
        <v>1</v>
      </c>
      <c r="H5775" s="257" t="s">
        <v>23833</v>
      </c>
      <c r="I5775" s="9">
        <v>3</v>
      </c>
    </row>
    <row r="5776" spans="1:9">
      <c r="A5776" s="257" t="s">
        <v>6874</v>
      </c>
      <c r="B5776" s="9">
        <v>0</v>
      </c>
      <c r="C5776" s="257" t="s">
        <v>12555</v>
      </c>
      <c r="D5776" s="9">
        <v>10078775.228700638</v>
      </c>
      <c r="E5776" s="9">
        <v>17258998.467498779</v>
      </c>
      <c r="F5776" s="257" t="s">
        <v>17077</v>
      </c>
      <c r="G5776" s="9">
        <v>1</v>
      </c>
      <c r="H5776" s="257" t="s">
        <v>23834</v>
      </c>
      <c r="I5776" s="9">
        <v>3</v>
      </c>
    </row>
    <row r="5777" spans="1:9">
      <c r="A5777" s="257" t="s">
        <v>6875</v>
      </c>
      <c r="B5777" s="9">
        <v>0</v>
      </c>
      <c r="C5777" s="257" t="s">
        <v>12556</v>
      </c>
      <c r="D5777" s="9">
        <v>56197092602.936867</v>
      </c>
      <c r="E5777" s="9">
        <v>17258998.467498779</v>
      </c>
      <c r="F5777" s="257" t="s">
        <v>17077</v>
      </c>
      <c r="G5777" s="9">
        <v>1</v>
      </c>
      <c r="H5777" s="257" t="s">
        <v>23835</v>
      </c>
      <c r="I5777" s="9">
        <v>3</v>
      </c>
    </row>
    <row r="5778" spans="1:9">
      <c r="A5778" s="257" t="s">
        <v>6876</v>
      </c>
      <c r="B5778" s="9">
        <v>0</v>
      </c>
      <c r="C5778" s="257" t="s">
        <v>12557</v>
      </c>
      <c r="D5778" s="9">
        <v>0.58397219558715685</v>
      </c>
      <c r="E5778" s="9">
        <v>17258998.467498779</v>
      </c>
      <c r="F5778" s="257" t="s">
        <v>17077</v>
      </c>
      <c r="G5778" s="9">
        <v>1</v>
      </c>
      <c r="H5778" s="257" t="s">
        <v>23836</v>
      </c>
      <c r="I5778" s="9">
        <v>3</v>
      </c>
    </row>
    <row r="5779" spans="1:9">
      <c r="A5779" s="257" t="s">
        <v>6877</v>
      </c>
      <c r="B5779" s="9">
        <v>0</v>
      </c>
      <c r="C5779" s="257" t="s">
        <v>12558</v>
      </c>
      <c r="D5779" s="9">
        <v>3256.1039221808969</v>
      </c>
      <c r="E5779" s="9">
        <v>17258998.467498779</v>
      </c>
      <c r="F5779" s="257" t="s">
        <v>17077</v>
      </c>
      <c r="G5779" s="9">
        <v>1</v>
      </c>
      <c r="H5779" s="257" t="s">
        <v>23837</v>
      </c>
      <c r="I5779" s="9">
        <v>3</v>
      </c>
    </row>
    <row r="5780" spans="1:9">
      <c r="A5780" s="257" t="s">
        <v>6878</v>
      </c>
      <c r="B5780" s="9">
        <v>0</v>
      </c>
      <c r="C5780" s="257" t="s">
        <v>12559</v>
      </c>
      <c r="D5780" s="9">
        <v>17258998.467498779</v>
      </c>
      <c r="E5780" s="9">
        <v>17258998.467498779</v>
      </c>
      <c r="F5780" s="257" t="s">
        <v>17078</v>
      </c>
      <c r="G5780" s="9">
        <v>1</v>
      </c>
      <c r="H5780" s="257" t="s">
        <v>23838</v>
      </c>
      <c r="I5780" s="9">
        <v>3</v>
      </c>
    </row>
    <row r="5781" spans="1:9">
      <c r="A5781" s="257" t="s">
        <v>6879</v>
      </c>
      <c r="B5781" s="9">
        <v>0</v>
      </c>
      <c r="C5781" s="257" t="s">
        <v>12560</v>
      </c>
      <c r="D5781" s="9">
        <v>44808879790.705528</v>
      </c>
      <c r="E5781" s="9">
        <v>17258998.467498779</v>
      </c>
      <c r="F5781" s="257" t="s">
        <v>17078</v>
      </c>
      <c r="G5781" s="9">
        <v>1</v>
      </c>
      <c r="H5781" s="257" t="s">
        <v>23839</v>
      </c>
      <c r="I5781" s="9">
        <v>3</v>
      </c>
    </row>
    <row r="5782" spans="1:9">
      <c r="A5782" s="257" t="s">
        <v>6880</v>
      </c>
      <c r="B5782" s="9">
        <v>0</v>
      </c>
      <c r="C5782" s="257" t="s">
        <v>12561</v>
      </c>
      <c r="D5782" s="9">
        <v>1</v>
      </c>
      <c r="E5782" s="9">
        <v>17258998.467498779</v>
      </c>
      <c r="F5782" s="257" t="s">
        <v>17078</v>
      </c>
      <c r="G5782" s="9">
        <v>1</v>
      </c>
      <c r="H5782" s="257" t="s">
        <v>23840</v>
      </c>
      <c r="I5782" s="9">
        <v>3</v>
      </c>
    </row>
    <row r="5783" spans="1:9">
      <c r="A5783" s="257" t="s">
        <v>6881</v>
      </c>
      <c r="B5783" s="9">
        <v>0</v>
      </c>
      <c r="C5783" s="257" t="s">
        <v>12562</v>
      </c>
      <c r="D5783" s="9">
        <v>2596.2618789895141</v>
      </c>
      <c r="E5783" s="9">
        <v>17258998.467498779</v>
      </c>
      <c r="F5783" s="257" t="s">
        <v>17078</v>
      </c>
      <c r="G5783" s="9">
        <v>1</v>
      </c>
      <c r="H5783" s="257" t="s">
        <v>23841</v>
      </c>
      <c r="I5783" s="9">
        <v>3</v>
      </c>
    </row>
    <row r="5784" spans="1:9">
      <c r="A5784" s="257" t="s">
        <v>6882</v>
      </c>
      <c r="B5784" s="9">
        <v>0</v>
      </c>
      <c r="C5784" s="257" t="s">
        <v>12563</v>
      </c>
      <c r="D5784" s="9">
        <v>17258998.467498779</v>
      </c>
      <c r="E5784" s="9">
        <v>17258998.467498779</v>
      </c>
      <c r="F5784" s="257" t="s">
        <v>17079</v>
      </c>
      <c r="G5784" s="9">
        <v>1</v>
      </c>
      <c r="H5784" s="257" t="s">
        <v>23842</v>
      </c>
      <c r="I5784" s="9">
        <v>3</v>
      </c>
    </row>
    <row r="5785" spans="1:9">
      <c r="A5785" s="257" t="s">
        <v>6883</v>
      </c>
      <c r="B5785" s="9">
        <v>0</v>
      </c>
      <c r="C5785" s="257" t="s">
        <v>12564</v>
      </c>
      <c r="D5785" s="9">
        <v>81657444546.163101</v>
      </c>
      <c r="E5785" s="9">
        <v>17258998.467498779</v>
      </c>
      <c r="F5785" s="257" t="s">
        <v>17079</v>
      </c>
      <c r="G5785" s="9">
        <v>1</v>
      </c>
      <c r="H5785" s="257" t="s">
        <v>23843</v>
      </c>
      <c r="I5785" s="9">
        <v>3</v>
      </c>
    </row>
    <row r="5786" spans="1:9">
      <c r="A5786" s="257" t="s">
        <v>6884</v>
      </c>
      <c r="B5786" s="9">
        <v>0</v>
      </c>
      <c r="C5786" s="257" t="s">
        <v>12565</v>
      </c>
      <c r="D5786" s="9">
        <v>1</v>
      </c>
      <c r="E5786" s="9">
        <v>17258998.467498779</v>
      </c>
      <c r="F5786" s="257" t="s">
        <v>17079</v>
      </c>
      <c r="G5786" s="9">
        <v>1</v>
      </c>
      <c r="H5786" s="257" t="s">
        <v>23844</v>
      </c>
      <c r="I5786" s="9">
        <v>3</v>
      </c>
    </row>
    <row r="5787" spans="1:9">
      <c r="A5787" s="257" t="s">
        <v>6885</v>
      </c>
      <c r="B5787" s="9">
        <v>0</v>
      </c>
      <c r="C5787" s="257" t="s">
        <v>12566</v>
      </c>
      <c r="D5787" s="9">
        <v>4731.2968188702271</v>
      </c>
      <c r="E5787" s="9">
        <v>17258998.467498779</v>
      </c>
      <c r="F5787" s="257" t="s">
        <v>17079</v>
      </c>
      <c r="G5787" s="9">
        <v>1</v>
      </c>
      <c r="H5787" s="257" t="s">
        <v>23845</v>
      </c>
      <c r="I5787" s="9">
        <v>3</v>
      </c>
    </row>
    <row r="5788" spans="1:9">
      <c r="A5788" s="257" t="s">
        <v>6886</v>
      </c>
      <c r="B5788" s="9">
        <v>0</v>
      </c>
      <c r="C5788" s="257" t="s">
        <v>12567</v>
      </c>
      <c r="D5788" s="9">
        <v>10216884.449541092</v>
      </c>
      <c r="E5788" s="9">
        <v>17258998.467498779</v>
      </c>
      <c r="F5788" s="257" t="s">
        <v>17080</v>
      </c>
      <c r="G5788" s="9">
        <v>1</v>
      </c>
      <c r="H5788" s="257" t="s">
        <v>23846</v>
      </c>
      <c r="I5788" s="9">
        <v>3</v>
      </c>
    </row>
    <row r="5789" spans="1:9">
      <c r="A5789" s="257" t="s">
        <v>6887</v>
      </c>
      <c r="B5789" s="9">
        <v>0</v>
      </c>
      <c r="C5789" s="257" t="s">
        <v>12568</v>
      </c>
      <c r="D5789" s="9">
        <v>74463463687.411636</v>
      </c>
      <c r="E5789" s="9">
        <v>17258998.467498779</v>
      </c>
      <c r="F5789" s="257" t="s">
        <v>17080</v>
      </c>
      <c r="G5789" s="9">
        <v>1</v>
      </c>
      <c r="H5789" s="257" t="s">
        <v>23847</v>
      </c>
      <c r="I5789" s="9">
        <v>3</v>
      </c>
    </row>
    <row r="5790" spans="1:9">
      <c r="A5790" s="257" t="s">
        <v>6888</v>
      </c>
      <c r="B5790" s="9">
        <v>0</v>
      </c>
      <c r="C5790" s="257" t="s">
        <v>12569</v>
      </c>
      <c r="D5790" s="9">
        <v>0.5919743529023993</v>
      </c>
      <c r="E5790" s="9">
        <v>17258998.467498779</v>
      </c>
      <c r="F5790" s="257" t="s">
        <v>17080</v>
      </c>
      <c r="G5790" s="9">
        <v>1</v>
      </c>
      <c r="H5790" s="257" t="s">
        <v>23848</v>
      </c>
      <c r="I5790" s="9">
        <v>3</v>
      </c>
    </row>
    <row r="5791" spans="1:9">
      <c r="A5791" s="257" t="s">
        <v>6889</v>
      </c>
      <c r="B5791" s="9">
        <v>0</v>
      </c>
      <c r="C5791" s="257" t="s">
        <v>12570</v>
      </c>
      <c r="D5791" s="9">
        <v>4314.4718870934048</v>
      </c>
      <c r="E5791" s="9">
        <v>17258998.467498779</v>
      </c>
      <c r="F5791" s="257" t="s">
        <v>17080</v>
      </c>
      <c r="G5791" s="9">
        <v>1</v>
      </c>
      <c r="H5791" s="257" t="s">
        <v>23849</v>
      </c>
      <c r="I5791" s="9">
        <v>3</v>
      </c>
    </row>
    <row r="5792" spans="1:9">
      <c r="A5792" s="257" t="s">
        <v>6890</v>
      </c>
      <c r="B5792" s="9">
        <v>0</v>
      </c>
      <c r="C5792" s="257" t="s">
        <v>12571</v>
      </c>
      <c r="D5792" s="9">
        <v>0</v>
      </c>
      <c r="E5792" s="9">
        <v>17258998.467498779</v>
      </c>
      <c r="F5792" s="257" t="s">
        <v>17081</v>
      </c>
      <c r="G5792" s="9">
        <v>1</v>
      </c>
      <c r="H5792" s="257" t="s">
        <v>23850</v>
      </c>
      <c r="I5792" s="9">
        <v>3</v>
      </c>
    </row>
    <row r="5793" spans="1:9">
      <c r="A5793" s="257" t="s">
        <v>6891</v>
      </c>
      <c r="B5793" s="9">
        <v>0</v>
      </c>
      <c r="C5793" s="257" t="s">
        <v>12572</v>
      </c>
      <c r="D5793" s="9">
        <v>-10210376418.601971</v>
      </c>
      <c r="E5793" s="9">
        <v>17258998.467498779</v>
      </c>
      <c r="F5793" s="257" t="s">
        <v>17081</v>
      </c>
      <c r="G5793" s="9">
        <v>1</v>
      </c>
      <c r="H5793" s="257" t="s">
        <v>23851</v>
      </c>
      <c r="I5793" s="9">
        <v>3</v>
      </c>
    </row>
    <row r="5794" spans="1:9">
      <c r="A5794" s="257" t="s">
        <v>6892</v>
      </c>
      <c r="B5794" s="9">
        <v>0</v>
      </c>
      <c r="C5794" s="257" t="s">
        <v>12573</v>
      </c>
      <c r="D5794" s="9">
        <v>0</v>
      </c>
      <c r="E5794" s="9">
        <v>17258998.467498779</v>
      </c>
      <c r="F5794" s="257" t="s">
        <v>17081</v>
      </c>
      <c r="G5794" s="9">
        <v>1</v>
      </c>
      <c r="H5794" s="257" t="s">
        <v>23852</v>
      </c>
      <c r="I5794" s="9">
        <v>3</v>
      </c>
    </row>
    <row r="5795" spans="1:9">
      <c r="A5795" s="257" t="s">
        <v>6893</v>
      </c>
      <c r="B5795" s="9">
        <v>0</v>
      </c>
      <c r="C5795" s="257" t="s">
        <v>12574</v>
      </c>
      <c r="D5795" s="9">
        <v>-591.59727245063516</v>
      </c>
      <c r="E5795" s="9">
        <v>17258998.467498779</v>
      </c>
      <c r="F5795" s="257" t="s">
        <v>17081</v>
      </c>
      <c r="G5795" s="9">
        <v>1</v>
      </c>
      <c r="H5795" s="257" t="s">
        <v>23853</v>
      </c>
      <c r="I5795" s="9">
        <v>3</v>
      </c>
    </row>
    <row r="5796" spans="1:9">
      <c r="A5796" s="257" t="s">
        <v>6894</v>
      </c>
      <c r="B5796" s="9">
        <v>0</v>
      </c>
      <c r="C5796" s="257" t="s">
        <v>12575</v>
      </c>
      <c r="D5796" s="9">
        <v>10133719.885652542</v>
      </c>
      <c r="E5796" s="9">
        <v>17258998.467498779</v>
      </c>
      <c r="F5796" s="257" t="s">
        <v>17082</v>
      </c>
      <c r="G5796" s="9">
        <v>1</v>
      </c>
      <c r="H5796" s="257" t="s">
        <v>23854</v>
      </c>
      <c r="I5796" s="9">
        <v>3</v>
      </c>
    </row>
    <row r="5797" spans="1:9">
      <c r="A5797" s="257" t="s">
        <v>6895</v>
      </c>
      <c r="B5797" s="9">
        <v>0</v>
      </c>
      <c r="C5797" s="257" t="s">
        <v>12576</v>
      </c>
      <c r="D5797" s="9">
        <v>64253087268.809669</v>
      </c>
      <c r="E5797" s="9">
        <v>17258998.467498779</v>
      </c>
      <c r="F5797" s="257" t="s">
        <v>17082</v>
      </c>
      <c r="G5797" s="9">
        <v>1</v>
      </c>
      <c r="H5797" s="257" t="s">
        <v>23855</v>
      </c>
      <c r="I5797" s="9">
        <v>3</v>
      </c>
    </row>
    <row r="5798" spans="1:9">
      <c r="A5798" s="257" t="s">
        <v>6896</v>
      </c>
      <c r="B5798" s="9">
        <v>0</v>
      </c>
      <c r="C5798" s="257" t="s">
        <v>12577</v>
      </c>
      <c r="D5798" s="9">
        <v>0.58715573239871477</v>
      </c>
      <c r="E5798" s="9">
        <v>17258998.467498779</v>
      </c>
      <c r="F5798" s="257" t="s">
        <v>17082</v>
      </c>
      <c r="G5798" s="9">
        <v>1</v>
      </c>
      <c r="H5798" s="257" t="s">
        <v>23856</v>
      </c>
      <c r="I5798" s="9">
        <v>3</v>
      </c>
    </row>
    <row r="5799" spans="1:9">
      <c r="A5799" s="257" t="s">
        <v>6897</v>
      </c>
      <c r="B5799" s="9">
        <v>0</v>
      </c>
      <c r="C5799" s="257" t="s">
        <v>12578</v>
      </c>
      <c r="D5799" s="9">
        <v>3722.8746146427698</v>
      </c>
      <c r="E5799" s="9">
        <v>17258998.467498779</v>
      </c>
      <c r="F5799" s="257" t="s">
        <v>17082</v>
      </c>
      <c r="G5799" s="9">
        <v>1</v>
      </c>
      <c r="H5799" s="257" t="s">
        <v>23857</v>
      </c>
      <c r="I5799" s="9">
        <v>3</v>
      </c>
    </row>
    <row r="5800" spans="1:9">
      <c r="A5800" s="257" t="s">
        <v>6898</v>
      </c>
      <c r="B5800" s="9">
        <v>0</v>
      </c>
      <c r="C5800" s="257" t="s">
        <v>12579</v>
      </c>
      <c r="D5800" s="9">
        <v>2495184.5025596619</v>
      </c>
      <c r="E5800" s="9">
        <v>17258998.467498779</v>
      </c>
      <c r="F5800" s="257" t="s">
        <v>17083</v>
      </c>
      <c r="G5800" s="9">
        <v>1</v>
      </c>
      <c r="H5800" s="257" t="s">
        <v>23858</v>
      </c>
      <c r="I5800" s="9">
        <v>3</v>
      </c>
    </row>
    <row r="5801" spans="1:9">
      <c r="A5801" s="257" t="s">
        <v>6899</v>
      </c>
      <c r="B5801" s="9">
        <v>0</v>
      </c>
      <c r="C5801" s="257" t="s">
        <v>12580</v>
      </c>
      <c r="D5801" s="9">
        <v>8055994665.8728046</v>
      </c>
      <c r="E5801" s="9">
        <v>17258998.467498779</v>
      </c>
      <c r="F5801" s="257" t="s">
        <v>17083</v>
      </c>
      <c r="G5801" s="9">
        <v>1</v>
      </c>
      <c r="H5801" s="257" t="s">
        <v>23859</v>
      </c>
      <c r="I5801" s="9">
        <v>3</v>
      </c>
    </row>
    <row r="5802" spans="1:9">
      <c r="A5802" s="257" t="s">
        <v>6900</v>
      </c>
      <c r="B5802" s="9">
        <v>0</v>
      </c>
      <c r="C5802" s="257" t="s">
        <v>12581</v>
      </c>
      <c r="D5802" s="9">
        <v>0.14457296043327542</v>
      </c>
      <c r="E5802" s="9">
        <v>17258998.467498779</v>
      </c>
      <c r="F5802" s="257" t="s">
        <v>17083</v>
      </c>
      <c r="G5802" s="9">
        <v>1</v>
      </c>
      <c r="H5802" s="257" t="s">
        <v>23860</v>
      </c>
      <c r="I5802" s="9">
        <v>3</v>
      </c>
    </row>
    <row r="5803" spans="1:9">
      <c r="A5803" s="257" t="s">
        <v>6901</v>
      </c>
      <c r="B5803" s="9">
        <v>0</v>
      </c>
      <c r="C5803" s="257" t="s">
        <v>12582</v>
      </c>
      <c r="D5803" s="9">
        <v>466.77069246187267</v>
      </c>
      <c r="E5803" s="9">
        <v>17258998.467498779</v>
      </c>
      <c r="F5803" s="257" t="s">
        <v>17083</v>
      </c>
      <c r="G5803" s="9">
        <v>1</v>
      </c>
      <c r="H5803" s="257" t="s">
        <v>23861</v>
      </c>
      <c r="I5803" s="9">
        <v>3</v>
      </c>
    </row>
    <row r="5804" spans="1:9">
      <c r="A5804" s="257" t="s">
        <v>6902</v>
      </c>
      <c r="B5804" s="9">
        <v>0</v>
      </c>
      <c r="C5804" s="257" t="s">
        <v>12583</v>
      </c>
      <c r="D5804" s="9">
        <v>9358875.1424636841</v>
      </c>
      <c r="E5804" s="9">
        <v>17258998.467498779</v>
      </c>
      <c r="F5804" s="257" t="s">
        <v>17084</v>
      </c>
      <c r="G5804" s="9">
        <v>1</v>
      </c>
      <c r="H5804" s="257" t="s">
        <v>23862</v>
      </c>
      <c r="I5804" s="9">
        <v>3</v>
      </c>
    </row>
    <row r="5805" spans="1:9">
      <c r="A5805" s="257" t="s">
        <v>6903</v>
      </c>
      <c r="B5805" s="9">
        <v>0</v>
      </c>
      <c r="C5805" s="257" t="s">
        <v>12584</v>
      </c>
      <c r="D5805" s="9">
        <v>36848564755.457573</v>
      </c>
      <c r="E5805" s="9">
        <v>17258998.467498779</v>
      </c>
      <c r="F5805" s="257" t="s">
        <v>17084</v>
      </c>
      <c r="G5805" s="9">
        <v>1</v>
      </c>
      <c r="H5805" s="257" t="s">
        <v>23863</v>
      </c>
      <c r="I5805" s="9">
        <v>3</v>
      </c>
    </row>
    <row r="5806" spans="1:9">
      <c r="A5806" s="257" t="s">
        <v>6904</v>
      </c>
      <c r="B5806" s="9">
        <v>0</v>
      </c>
      <c r="C5806" s="257" t="s">
        <v>12585</v>
      </c>
      <c r="D5806" s="9">
        <v>0.54226061611210041</v>
      </c>
      <c r="E5806" s="9">
        <v>17258998.467498779</v>
      </c>
      <c r="F5806" s="257" t="s">
        <v>17084</v>
      </c>
      <c r="G5806" s="9">
        <v>1</v>
      </c>
      <c r="H5806" s="257" t="s">
        <v>23864</v>
      </c>
      <c r="I5806" s="9">
        <v>3</v>
      </c>
    </row>
    <row r="5807" spans="1:9">
      <c r="A5807" s="257" t="s">
        <v>6905</v>
      </c>
      <c r="B5807" s="9">
        <v>0</v>
      </c>
      <c r="C5807" s="257" t="s">
        <v>12586</v>
      </c>
      <c r="D5807" s="9">
        <v>2135.034939880713</v>
      </c>
      <c r="E5807" s="9">
        <v>17258998.467498779</v>
      </c>
      <c r="F5807" s="257" t="s">
        <v>17084</v>
      </c>
      <c r="G5807" s="9">
        <v>1</v>
      </c>
      <c r="H5807" s="257" t="s">
        <v>23865</v>
      </c>
      <c r="I5807" s="9">
        <v>3</v>
      </c>
    </row>
    <row r="5808" spans="1:9">
      <c r="A5808" s="257" t="s">
        <v>6906</v>
      </c>
      <c r="B5808" s="9">
        <v>0</v>
      </c>
      <c r="C5808" s="257" t="s">
        <v>12587</v>
      </c>
      <c r="D5808" s="9">
        <v>0</v>
      </c>
      <c r="E5808" s="9">
        <v>17258998.467498779</v>
      </c>
      <c r="F5808" s="257" t="s">
        <v>17085</v>
      </c>
      <c r="G5808" s="9">
        <v>1</v>
      </c>
      <c r="H5808" s="257" t="s">
        <v>23866</v>
      </c>
      <c r="I5808" s="9">
        <v>3</v>
      </c>
    </row>
    <row r="5809" spans="1:9">
      <c r="A5809" s="257" t="s">
        <v>6907</v>
      </c>
      <c r="B5809" s="9">
        <v>0</v>
      </c>
      <c r="C5809" s="257" t="s">
        <v>12588</v>
      </c>
      <c r="D5809" s="9">
        <v>0</v>
      </c>
      <c r="E5809" s="9">
        <v>17258998.467498779</v>
      </c>
      <c r="F5809" s="257" t="s">
        <v>17085</v>
      </c>
      <c r="G5809" s="9">
        <v>1</v>
      </c>
      <c r="H5809" s="257" t="s">
        <v>23867</v>
      </c>
      <c r="I5809" s="9">
        <v>3</v>
      </c>
    </row>
    <row r="5810" spans="1:9">
      <c r="A5810" s="257" t="s">
        <v>6908</v>
      </c>
      <c r="B5810" s="9">
        <v>0</v>
      </c>
      <c r="C5810" s="257" t="s">
        <v>12589</v>
      </c>
      <c r="D5810" s="9">
        <v>0</v>
      </c>
      <c r="E5810" s="9">
        <v>17258998.467498779</v>
      </c>
      <c r="F5810" s="257" t="s">
        <v>17085</v>
      </c>
      <c r="G5810" s="9">
        <v>1</v>
      </c>
      <c r="H5810" s="257" t="s">
        <v>23868</v>
      </c>
      <c r="I5810" s="9">
        <v>3</v>
      </c>
    </row>
    <row r="5811" spans="1:9">
      <c r="A5811" s="257" t="s">
        <v>6909</v>
      </c>
      <c r="B5811" s="9">
        <v>0</v>
      </c>
      <c r="C5811" s="257" t="s">
        <v>12590</v>
      </c>
      <c r="D5811" s="9">
        <v>0</v>
      </c>
      <c r="E5811" s="9">
        <v>17258998.467498779</v>
      </c>
      <c r="F5811" s="257" t="s">
        <v>17085</v>
      </c>
      <c r="G5811" s="9">
        <v>1</v>
      </c>
      <c r="H5811" s="257" t="s">
        <v>23869</v>
      </c>
      <c r="I5811" s="9">
        <v>3</v>
      </c>
    </row>
    <row r="5812" spans="1:9">
      <c r="A5812" s="257" t="s">
        <v>6910</v>
      </c>
      <c r="B5812" s="9">
        <v>0</v>
      </c>
      <c r="C5812" s="257" t="s">
        <v>12591</v>
      </c>
      <c r="D5812" s="9">
        <v>0.37892769999999998</v>
      </c>
      <c r="E5812" s="9">
        <v>17258998.467498779</v>
      </c>
      <c r="F5812" s="257" t="s">
        <v>17086</v>
      </c>
      <c r="G5812" s="9">
        <v>1</v>
      </c>
      <c r="H5812" s="257" t="s">
        <v>23870</v>
      </c>
      <c r="I5812" s="9">
        <v>3</v>
      </c>
    </row>
    <row r="5813" spans="1:9">
      <c r="A5813" s="257" t="s">
        <v>6911</v>
      </c>
      <c r="B5813" s="9">
        <v>0</v>
      </c>
      <c r="C5813" s="257" t="s">
        <v>12592</v>
      </c>
      <c r="D5813" s="9">
        <v>0.25951669999999999</v>
      </c>
      <c r="E5813" s="9">
        <v>17258998.467498779</v>
      </c>
      <c r="F5813" s="257" t="s">
        <v>17086</v>
      </c>
      <c r="G5813" s="9">
        <v>1</v>
      </c>
      <c r="H5813" s="257" t="s">
        <v>23871</v>
      </c>
      <c r="I5813" s="9">
        <v>3</v>
      </c>
    </row>
    <row r="5814" spans="1:9">
      <c r="A5814" s="257" t="s">
        <v>6912</v>
      </c>
      <c r="B5814" s="9">
        <v>0</v>
      </c>
      <c r="C5814" s="257" t="s">
        <v>12593</v>
      </c>
      <c r="D5814" s="9">
        <v>0.37892769999999998</v>
      </c>
      <c r="E5814" s="9">
        <v>17258998.467498779</v>
      </c>
      <c r="F5814" s="257" t="s">
        <v>17087</v>
      </c>
      <c r="G5814" s="9">
        <v>1</v>
      </c>
      <c r="H5814" s="257" t="s">
        <v>23872</v>
      </c>
      <c r="I5814" s="9">
        <v>3</v>
      </c>
    </row>
    <row r="5815" spans="1:9">
      <c r="A5815" s="257" t="s">
        <v>6913</v>
      </c>
      <c r="B5815" s="9">
        <v>0</v>
      </c>
      <c r="C5815" s="257" t="s">
        <v>12594</v>
      </c>
      <c r="D5815" s="9">
        <v>0.25951669999999999</v>
      </c>
      <c r="E5815" s="9">
        <v>17258998.467498779</v>
      </c>
      <c r="F5815" s="257" t="s">
        <v>17087</v>
      </c>
      <c r="G5815" s="9">
        <v>1</v>
      </c>
      <c r="H5815" s="257" t="s">
        <v>23873</v>
      </c>
      <c r="I5815" s="9">
        <v>3</v>
      </c>
    </row>
    <row r="5816" spans="1:9">
      <c r="A5816" s="257" t="s">
        <v>6914</v>
      </c>
      <c r="B5816" s="9">
        <v>0</v>
      </c>
      <c r="C5816" s="257" t="s">
        <v>12595</v>
      </c>
      <c r="D5816" s="9">
        <v>0.38517863561477284</v>
      </c>
      <c r="E5816" s="9">
        <v>17258998.467498779</v>
      </c>
      <c r="F5816" s="257" t="s">
        <v>17087</v>
      </c>
      <c r="G5816" s="9">
        <v>1</v>
      </c>
      <c r="H5816" s="257" t="s">
        <v>23874</v>
      </c>
      <c r="I5816" s="9">
        <v>3</v>
      </c>
    </row>
    <row r="5817" spans="1:9">
      <c r="A5817" s="257" t="s">
        <v>6915</v>
      </c>
      <c r="B5817" s="9">
        <v>0</v>
      </c>
      <c r="C5817" s="257" t="s">
        <v>12596</v>
      </c>
      <c r="D5817" s="9">
        <v>0.1142376654385979</v>
      </c>
      <c r="E5817" s="9">
        <v>17258998.467498779</v>
      </c>
      <c r="F5817" s="257" t="s">
        <v>17087</v>
      </c>
      <c r="G5817" s="9">
        <v>1</v>
      </c>
      <c r="H5817" s="257" t="s">
        <v>23874</v>
      </c>
      <c r="I5817" s="9">
        <v>3</v>
      </c>
    </row>
    <row r="5818" spans="1:9">
      <c r="A5818" s="257" t="s">
        <v>6916</v>
      </c>
      <c r="B5818" s="9">
        <v>0</v>
      </c>
      <c r="C5818" s="257" t="s">
        <v>12597</v>
      </c>
      <c r="D5818" s="9">
        <v>4.7356928719404057E-2</v>
      </c>
      <c r="E5818" s="9">
        <v>17258998.467498779</v>
      </c>
      <c r="F5818" s="257" t="s">
        <v>17087</v>
      </c>
      <c r="G5818" s="9">
        <v>1</v>
      </c>
      <c r="H5818" s="257" t="s">
        <v>23874</v>
      </c>
      <c r="I5818" s="9">
        <v>3</v>
      </c>
    </row>
    <row r="5819" spans="1:9">
      <c r="A5819" s="257" t="s">
        <v>6917</v>
      </c>
      <c r="B5819" s="9">
        <v>0</v>
      </c>
      <c r="C5819" s="257" t="s">
        <v>12598</v>
      </c>
      <c r="D5819" s="9">
        <v>0.37892769999999998</v>
      </c>
      <c r="E5819" s="9">
        <v>17258998.467498779</v>
      </c>
      <c r="F5819" s="257" t="s">
        <v>17088</v>
      </c>
      <c r="G5819" s="9">
        <v>1</v>
      </c>
      <c r="H5819" s="257" t="s">
        <v>23875</v>
      </c>
      <c r="I5819" s="9">
        <v>3</v>
      </c>
    </row>
    <row r="5820" spans="1:9">
      <c r="A5820" s="257" t="s">
        <v>6918</v>
      </c>
      <c r="B5820" s="9">
        <v>0</v>
      </c>
      <c r="C5820" s="257" t="s">
        <v>12599</v>
      </c>
      <c r="D5820" s="9">
        <v>0.25951669999999999</v>
      </c>
      <c r="E5820" s="9">
        <v>17258998.467498779</v>
      </c>
      <c r="F5820" s="257" t="s">
        <v>17088</v>
      </c>
      <c r="G5820" s="9">
        <v>1</v>
      </c>
      <c r="H5820" s="257" t="s">
        <v>23876</v>
      </c>
      <c r="I5820" s="9">
        <v>3</v>
      </c>
    </row>
    <row r="5821" spans="1:9">
      <c r="A5821" s="257" t="s">
        <v>6919</v>
      </c>
      <c r="B5821" s="9">
        <v>0</v>
      </c>
      <c r="C5821" s="257" t="s">
        <v>12600</v>
      </c>
      <c r="D5821" s="9">
        <v>0.38517863561477284</v>
      </c>
      <c r="E5821" s="9">
        <v>17258998.467498779</v>
      </c>
      <c r="F5821" s="257" t="s">
        <v>17088</v>
      </c>
      <c r="G5821" s="9">
        <v>1</v>
      </c>
      <c r="H5821" s="257" t="s">
        <v>23877</v>
      </c>
      <c r="I5821" s="9">
        <v>3</v>
      </c>
    </row>
    <row r="5822" spans="1:9">
      <c r="A5822" s="257" t="s">
        <v>6920</v>
      </c>
      <c r="B5822" s="9">
        <v>0</v>
      </c>
      <c r="C5822" s="257" t="s">
        <v>12601</v>
      </c>
      <c r="D5822" s="9">
        <v>0.1142376654385979</v>
      </c>
      <c r="E5822" s="9">
        <v>17258998.467498779</v>
      </c>
      <c r="F5822" s="257" t="s">
        <v>17088</v>
      </c>
      <c r="G5822" s="9">
        <v>1</v>
      </c>
      <c r="H5822" s="257" t="s">
        <v>23877</v>
      </c>
      <c r="I5822" s="9">
        <v>3</v>
      </c>
    </row>
    <row r="5823" spans="1:9">
      <c r="A5823" s="257" t="s">
        <v>6921</v>
      </c>
      <c r="B5823" s="9">
        <v>0</v>
      </c>
      <c r="C5823" s="257" t="s">
        <v>12602</v>
      </c>
      <c r="D5823" s="9">
        <v>4.7356928719404057E-2</v>
      </c>
      <c r="E5823" s="9">
        <v>17258998.467498779</v>
      </c>
      <c r="F5823" s="257" t="s">
        <v>17088</v>
      </c>
      <c r="G5823" s="9">
        <v>1</v>
      </c>
      <c r="H5823" s="257" t="s">
        <v>23877</v>
      </c>
      <c r="I5823" s="9">
        <v>3</v>
      </c>
    </row>
    <row r="5824" spans="1:9">
      <c r="A5824" s="257" t="s">
        <v>6922</v>
      </c>
      <c r="B5824" s="9">
        <v>0</v>
      </c>
      <c r="C5824" s="257" t="s">
        <v>12603</v>
      </c>
      <c r="D5824" s="9">
        <v>0.37892769999999998</v>
      </c>
      <c r="E5824" s="9">
        <v>17258998.467498779</v>
      </c>
      <c r="F5824" s="257" t="s">
        <v>17089</v>
      </c>
      <c r="G5824" s="9">
        <v>1</v>
      </c>
      <c r="H5824" s="257" t="s">
        <v>23878</v>
      </c>
      <c r="I5824" s="9">
        <v>3</v>
      </c>
    </row>
    <row r="5825" spans="1:9">
      <c r="A5825" s="257" t="s">
        <v>6923</v>
      </c>
      <c r="B5825" s="9">
        <v>0</v>
      </c>
      <c r="C5825" s="257" t="s">
        <v>12604</v>
      </c>
      <c r="D5825" s="9">
        <v>0.25951669999999999</v>
      </c>
      <c r="E5825" s="9">
        <v>17258998.467498779</v>
      </c>
      <c r="F5825" s="257" t="s">
        <v>17089</v>
      </c>
      <c r="G5825" s="9">
        <v>1</v>
      </c>
      <c r="H5825" s="257" t="s">
        <v>23879</v>
      </c>
      <c r="I5825" s="9">
        <v>3</v>
      </c>
    </row>
    <row r="5826" spans="1:9">
      <c r="A5826" s="257" t="s">
        <v>6924</v>
      </c>
      <c r="B5826" s="9">
        <v>0</v>
      </c>
      <c r="C5826" s="257" t="s">
        <v>12605</v>
      </c>
      <c r="D5826" s="9">
        <v>0.38517863561477284</v>
      </c>
      <c r="E5826" s="9">
        <v>17258998.467498779</v>
      </c>
      <c r="F5826" s="257" t="s">
        <v>17089</v>
      </c>
      <c r="G5826" s="9">
        <v>1</v>
      </c>
      <c r="H5826" s="257" t="s">
        <v>23880</v>
      </c>
      <c r="I5826" s="9">
        <v>3</v>
      </c>
    </row>
    <row r="5827" spans="1:9">
      <c r="A5827" s="257" t="s">
        <v>6925</v>
      </c>
      <c r="B5827" s="9">
        <v>0</v>
      </c>
      <c r="C5827" s="257" t="s">
        <v>12606</v>
      </c>
      <c r="D5827" s="9">
        <v>0.1142376654385979</v>
      </c>
      <c r="E5827" s="9">
        <v>17258998.467498779</v>
      </c>
      <c r="F5827" s="257" t="s">
        <v>17089</v>
      </c>
      <c r="G5827" s="9">
        <v>1</v>
      </c>
      <c r="H5827" s="257" t="s">
        <v>23880</v>
      </c>
      <c r="I5827" s="9">
        <v>3</v>
      </c>
    </row>
    <row r="5828" spans="1:9">
      <c r="A5828" s="257" t="s">
        <v>6926</v>
      </c>
      <c r="B5828" s="9">
        <v>0</v>
      </c>
      <c r="C5828" s="257" t="s">
        <v>12607</v>
      </c>
      <c r="D5828" s="9">
        <v>4.7356928719404057E-2</v>
      </c>
      <c r="E5828" s="9">
        <v>17258998.467498779</v>
      </c>
      <c r="F5828" s="257" t="s">
        <v>17089</v>
      </c>
      <c r="G5828" s="9">
        <v>1</v>
      </c>
      <c r="H5828" s="257" t="s">
        <v>23880</v>
      </c>
      <c r="I5828" s="9">
        <v>3</v>
      </c>
    </row>
    <row r="5829" spans="1:9">
      <c r="A5829" s="257" t="s">
        <v>6927</v>
      </c>
      <c r="B5829" s="9">
        <v>0</v>
      </c>
      <c r="C5829" s="257" t="s">
        <v>12608</v>
      </c>
      <c r="D5829" s="9">
        <v>0.37892769999999998</v>
      </c>
      <c r="E5829" s="9">
        <v>17258998.467498779</v>
      </c>
      <c r="F5829" s="257" t="s">
        <v>17090</v>
      </c>
      <c r="G5829" s="9">
        <v>1</v>
      </c>
      <c r="H5829" s="257" t="s">
        <v>23881</v>
      </c>
      <c r="I5829" s="9">
        <v>3</v>
      </c>
    </row>
    <row r="5830" spans="1:9">
      <c r="A5830" s="257" t="s">
        <v>6928</v>
      </c>
      <c r="B5830" s="9">
        <v>0</v>
      </c>
      <c r="C5830" s="257" t="s">
        <v>12609</v>
      </c>
      <c r="D5830" s="9">
        <v>0.25951669999999999</v>
      </c>
      <c r="E5830" s="9">
        <v>17258998.467498779</v>
      </c>
      <c r="F5830" s="257" t="s">
        <v>17090</v>
      </c>
      <c r="G5830" s="9">
        <v>1</v>
      </c>
      <c r="H5830" s="257" t="s">
        <v>23882</v>
      </c>
      <c r="I5830" s="9">
        <v>3</v>
      </c>
    </row>
    <row r="5831" spans="1:9">
      <c r="A5831" s="257" t="s">
        <v>6929</v>
      </c>
      <c r="B5831" s="9">
        <v>0</v>
      </c>
      <c r="C5831" s="257" t="s">
        <v>12610</v>
      </c>
      <c r="D5831" s="9">
        <v>0.38517863561477284</v>
      </c>
      <c r="E5831" s="9">
        <v>17258998.467498779</v>
      </c>
      <c r="F5831" s="257" t="s">
        <v>17090</v>
      </c>
      <c r="G5831" s="9">
        <v>1</v>
      </c>
      <c r="H5831" s="257" t="s">
        <v>23883</v>
      </c>
      <c r="I5831" s="9">
        <v>3</v>
      </c>
    </row>
    <row r="5832" spans="1:9">
      <c r="A5832" s="257" t="s">
        <v>6930</v>
      </c>
      <c r="B5832" s="9">
        <v>0</v>
      </c>
      <c r="C5832" s="257" t="s">
        <v>12611</v>
      </c>
      <c r="D5832" s="9">
        <v>0.1142376654385979</v>
      </c>
      <c r="E5832" s="9">
        <v>17258998.467498779</v>
      </c>
      <c r="F5832" s="257" t="s">
        <v>17090</v>
      </c>
      <c r="G5832" s="9">
        <v>1</v>
      </c>
      <c r="H5832" s="257" t="s">
        <v>23883</v>
      </c>
      <c r="I5832" s="9">
        <v>3</v>
      </c>
    </row>
    <row r="5833" spans="1:9">
      <c r="A5833" s="257" t="s">
        <v>6931</v>
      </c>
      <c r="B5833" s="9">
        <v>0</v>
      </c>
      <c r="C5833" s="257" t="s">
        <v>12612</v>
      </c>
      <c r="D5833" s="9">
        <v>4.7356928719404057E-2</v>
      </c>
      <c r="E5833" s="9">
        <v>17258998.467498779</v>
      </c>
      <c r="F5833" s="257" t="s">
        <v>17090</v>
      </c>
      <c r="G5833" s="9">
        <v>1</v>
      </c>
      <c r="H5833" s="257" t="s">
        <v>23883</v>
      </c>
      <c r="I5833" s="9">
        <v>3</v>
      </c>
    </row>
    <row r="5834" spans="1:9">
      <c r="A5834" s="257" t="s">
        <v>6932</v>
      </c>
      <c r="B5834" s="9">
        <v>0</v>
      </c>
      <c r="C5834" s="257" t="s">
        <v>12613</v>
      </c>
      <c r="D5834" s="9">
        <v>0.37892769999999998</v>
      </c>
      <c r="E5834" s="9">
        <v>17258998.467498779</v>
      </c>
      <c r="F5834" s="257" t="s">
        <v>17091</v>
      </c>
      <c r="G5834" s="9">
        <v>1</v>
      </c>
      <c r="H5834" s="257" t="s">
        <v>23884</v>
      </c>
      <c r="I5834" s="9">
        <v>3</v>
      </c>
    </row>
    <row r="5835" spans="1:9">
      <c r="A5835" s="257" t="s">
        <v>6933</v>
      </c>
      <c r="B5835" s="9">
        <v>0</v>
      </c>
      <c r="C5835" s="257" t="s">
        <v>12614</v>
      </c>
      <c r="D5835" s="9">
        <v>0.25951669999999999</v>
      </c>
      <c r="E5835" s="9">
        <v>17258998.467498779</v>
      </c>
      <c r="F5835" s="257" t="s">
        <v>17091</v>
      </c>
      <c r="G5835" s="9">
        <v>1</v>
      </c>
      <c r="H5835" s="257" t="s">
        <v>23885</v>
      </c>
      <c r="I5835" s="9">
        <v>3</v>
      </c>
    </row>
    <row r="5836" spans="1:9">
      <c r="A5836" s="257" t="s">
        <v>6934</v>
      </c>
      <c r="B5836" s="9">
        <v>0</v>
      </c>
      <c r="C5836" s="257" t="s">
        <v>12615</v>
      </c>
      <c r="D5836" s="9">
        <v>0.38517863561477284</v>
      </c>
      <c r="E5836" s="9">
        <v>17258998.467498779</v>
      </c>
      <c r="F5836" s="257" t="s">
        <v>17091</v>
      </c>
      <c r="G5836" s="9">
        <v>1</v>
      </c>
      <c r="H5836" s="257" t="s">
        <v>23886</v>
      </c>
      <c r="I5836" s="9">
        <v>3</v>
      </c>
    </row>
    <row r="5837" spans="1:9">
      <c r="A5837" s="257" t="s">
        <v>6935</v>
      </c>
      <c r="B5837" s="9">
        <v>0</v>
      </c>
      <c r="C5837" s="257" t="s">
        <v>12616</v>
      </c>
      <c r="D5837" s="9">
        <v>0.1142376654385979</v>
      </c>
      <c r="E5837" s="9">
        <v>17258998.467498779</v>
      </c>
      <c r="F5837" s="257" t="s">
        <v>17091</v>
      </c>
      <c r="G5837" s="9">
        <v>1</v>
      </c>
      <c r="H5837" s="257" t="s">
        <v>23886</v>
      </c>
      <c r="I5837" s="9">
        <v>3</v>
      </c>
    </row>
    <row r="5838" spans="1:9">
      <c r="A5838" s="257" t="s">
        <v>6936</v>
      </c>
      <c r="B5838" s="9">
        <v>0</v>
      </c>
      <c r="C5838" s="257" t="s">
        <v>12617</v>
      </c>
      <c r="D5838" s="9">
        <v>4.7356928719404057E-2</v>
      </c>
      <c r="E5838" s="9">
        <v>17258998.467498779</v>
      </c>
      <c r="F5838" s="257" t="s">
        <v>17091</v>
      </c>
      <c r="G5838" s="9">
        <v>1</v>
      </c>
      <c r="H5838" s="257" t="s">
        <v>23886</v>
      </c>
      <c r="I5838" s="9">
        <v>3</v>
      </c>
    </row>
    <row r="5839" spans="1:9">
      <c r="A5839" s="257" t="s">
        <v>6937</v>
      </c>
      <c r="B5839" s="9">
        <v>0</v>
      </c>
      <c r="C5839" s="257" t="s">
        <v>12618</v>
      </c>
      <c r="D5839" s="9">
        <v>0.37892769999999998</v>
      </c>
      <c r="E5839" s="9">
        <v>17258998.467498779</v>
      </c>
      <c r="F5839" s="257" t="s">
        <v>17092</v>
      </c>
      <c r="G5839" s="9">
        <v>1</v>
      </c>
      <c r="H5839" s="257" t="s">
        <v>23887</v>
      </c>
      <c r="I5839" s="9">
        <v>3</v>
      </c>
    </row>
    <row r="5840" spans="1:9">
      <c r="A5840" s="257" t="s">
        <v>6938</v>
      </c>
      <c r="B5840" s="9">
        <v>0</v>
      </c>
      <c r="C5840" s="257" t="s">
        <v>12619</v>
      </c>
      <c r="D5840" s="9">
        <v>0.25951669999999999</v>
      </c>
      <c r="E5840" s="9">
        <v>17258998.467498779</v>
      </c>
      <c r="F5840" s="257" t="s">
        <v>17092</v>
      </c>
      <c r="G5840" s="9">
        <v>1</v>
      </c>
      <c r="H5840" s="257" t="s">
        <v>23888</v>
      </c>
      <c r="I5840" s="9">
        <v>3</v>
      </c>
    </row>
    <row r="5841" spans="1:9">
      <c r="A5841" s="257" t="s">
        <v>6939</v>
      </c>
      <c r="B5841" s="9">
        <v>0</v>
      </c>
      <c r="C5841" s="257" t="s">
        <v>12620</v>
      </c>
      <c r="D5841" s="9">
        <v>0.38517863561477284</v>
      </c>
      <c r="E5841" s="9">
        <v>17258998.467498779</v>
      </c>
      <c r="F5841" s="257" t="s">
        <v>17092</v>
      </c>
      <c r="G5841" s="9">
        <v>1</v>
      </c>
      <c r="H5841" s="257" t="s">
        <v>23889</v>
      </c>
      <c r="I5841" s="9">
        <v>3</v>
      </c>
    </row>
    <row r="5842" spans="1:9">
      <c r="A5842" s="257" t="s">
        <v>6940</v>
      </c>
      <c r="B5842" s="9">
        <v>0</v>
      </c>
      <c r="C5842" s="257" t="s">
        <v>12621</v>
      </c>
      <c r="D5842" s="9">
        <v>0.1142376654385979</v>
      </c>
      <c r="E5842" s="9">
        <v>17258998.467498779</v>
      </c>
      <c r="F5842" s="257" t="s">
        <v>17092</v>
      </c>
      <c r="G5842" s="9">
        <v>1</v>
      </c>
      <c r="H5842" s="257" t="s">
        <v>23889</v>
      </c>
      <c r="I5842" s="9">
        <v>3</v>
      </c>
    </row>
    <row r="5843" spans="1:9">
      <c r="A5843" s="257" t="s">
        <v>6941</v>
      </c>
      <c r="B5843" s="9">
        <v>0</v>
      </c>
      <c r="C5843" s="257" t="s">
        <v>12622</v>
      </c>
      <c r="D5843" s="9">
        <v>4.7356928719404057E-2</v>
      </c>
      <c r="E5843" s="9">
        <v>17258998.467498779</v>
      </c>
      <c r="F5843" s="257" t="s">
        <v>17092</v>
      </c>
      <c r="G5843" s="9">
        <v>1</v>
      </c>
      <c r="H5843" s="257" t="s">
        <v>23889</v>
      </c>
      <c r="I5843" s="9">
        <v>3</v>
      </c>
    </row>
    <row r="5844" spans="1:9">
      <c r="A5844" s="257" t="s">
        <v>6942</v>
      </c>
      <c r="B5844" s="9">
        <v>0</v>
      </c>
      <c r="C5844" s="257" t="s">
        <v>12623</v>
      </c>
      <c r="D5844" s="9">
        <v>0.37892769999999998</v>
      </c>
      <c r="E5844" s="9">
        <v>17258998.467498779</v>
      </c>
      <c r="F5844" s="257" t="s">
        <v>17093</v>
      </c>
      <c r="G5844" s="9">
        <v>1</v>
      </c>
      <c r="H5844" s="257" t="s">
        <v>23890</v>
      </c>
      <c r="I5844" s="9">
        <v>3</v>
      </c>
    </row>
    <row r="5845" spans="1:9">
      <c r="A5845" s="257" t="s">
        <v>6943</v>
      </c>
      <c r="B5845" s="9">
        <v>0</v>
      </c>
      <c r="C5845" s="257" t="s">
        <v>12624</v>
      </c>
      <c r="D5845" s="9">
        <v>0.25951669999999999</v>
      </c>
      <c r="E5845" s="9">
        <v>17258998.467498779</v>
      </c>
      <c r="F5845" s="257" t="s">
        <v>17093</v>
      </c>
      <c r="G5845" s="9">
        <v>1</v>
      </c>
      <c r="H5845" s="257" t="s">
        <v>23891</v>
      </c>
      <c r="I5845" s="9">
        <v>3</v>
      </c>
    </row>
    <row r="5846" spans="1:9">
      <c r="A5846" s="257" t="s">
        <v>6944</v>
      </c>
      <c r="B5846" s="9">
        <v>0</v>
      </c>
      <c r="C5846" s="257" t="s">
        <v>12625</v>
      </c>
      <c r="D5846" s="9">
        <v>0.38517863561477284</v>
      </c>
      <c r="E5846" s="9">
        <v>17258998.467498779</v>
      </c>
      <c r="F5846" s="257" t="s">
        <v>17093</v>
      </c>
      <c r="G5846" s="9">
        <v>1</v>
      </c>
      <c r="H5846" s="257" t="s">
        <v>23892</v>
      </c>
      <c r="I5846" s="9">
        <v>3</v>
      </c>
    </row>
    <row r="5847" spans="1:9">
      <c r="A5847" s="257" t="s">
        <v>6945</v>
      </c>
      <c r="B5847" s="9">
        <v>0</v>
      </c>
      <c r="C5847" s="257" t="s">
        <v>12626</v>
      </c>
      <c r="D5847" s="9">
        <v>0.1142376654385979</v>
      </c>
      <c r="E5847" s="9">
        <v>17258998.467498779</v>
      </c>
      <c r="F5847" s="257" t="s">
        <v>17093</v>
      </c>
      <c r="G5847" s="9">
        <v>1</v>
      </c>
      <c r="H5847" s="257" t="s">
        <v>23892</v>
      </c>
      <c r="I5847" s="9">
        <v>3</v>
      </c>
    </row>
    <row r="5848" spans="1:9">
      <c r="A5848" s="257" t="s">
        <v>6946</v>
      </c>
      <c r="B5848" s="9">
        <v>0</v>
      </c>
      <c r="C5848" s="257" t="s">
        <v>12627</v>
      </c>
      <c r="D5848" s="9">
        <v>4.7356928719404057E-2</v>
      </c>
      <c r="E5848" s="9">
        <v>17258998.467498779</v>
      </c>
      <c r="F5848" s="257" t="s">
        <v>17093</v>
      </c>
      <c r="G5848" s="9">
        <v>1</v>
      </c>
      <c r="H5848" s="257" t="s">
        <v>23892</v>
      </c>
      <c r="I5848" s="9">
        <v>3</v>
      </c>
    </row>
    <row r="5849" spans="1:9">
      <c r="A5849" s="257" t="s">
        <v>6947</v>
      </c>
      <c r="B5849" s="9">
        <v>0</v>
      </c>
      <c r="C5849" s="257" t="s">
        <v>12628</v>
      </c>
      <c r="D5849" s="9">
        <v>0.37892769999999998</v>
      </c>
      <c r="E5849" s="9">
        <v>17258998.467498779</v>
      </c>
      <c r="F5849" s="257" t="s">
        <v>17094</v>
      </c>
      <c r="G5849" s="9">
        <v>1</v>
      </c>
      <c r="H5849" s="257" t="s">
        <v>23893</v>
      </c>
      <c r="I5849" s="9">
        <v>3</v>
      </c>
    </row>
    <row r="5850" spans="1:9">
      <c r="A5850" s="257" t="s">
        <v>6948</v>
      </c>
      <c r="B5850" s="9">
        <v>0</v>
      </c>
      <c r="C5850" s="257" t="s">
        <v>12629</v>
      </c>
      <c r="D5850" s="9">
        <v>0.25951669999999999</v>
      </c>
      <c r="E5850" s="9">
        <v>17258998.467498779</v>
      </c>
      <c r="F5850" s="257" t="s">
        <v>17094</v>
      </c>
      <c r="G5850" s="9">
        <v>1</v>
      </c>
      <c r="H5850" s="257" t="s">
        <v>23894</v>
      </c>
      <c r="I5850" s="9">
        <v>3</v>
      </c>
    </row>
    <row r="5851" spans="1:9">
      <c r="A5851" s="257" t="s">
        <v>6949</v>
      </c>
      <c r="B5851" s="9">
        <v>0</v>
      </c>
      <c r="C5851" s="257" t="s">
        <v>12630</v>
      </c>
      <c r="D5851" s="9">
        <v>0.38517863561477284</v>
      </c>
      <c r="E5851" s="9">
        <v>17258998.467498779</v>
      </c>
      <c r="F5851" s="257" t="s">
        <v>17094</v>
      </c>
      <c r="G5851" s="9">
        <v>1</v>
      </c>
      <c r="H5851" s="257" t="s">
        <v>23895</v>
      </c>
      <c r="I5851" s="9">
        <v>3</v>
      </c>
    </row>
    <row r="5852" spans="1:9">
      <c r="A5852" s="257" t="s">
        <v>6950</v>
      </c>
      <c r="B5852" s="9">
        <v>0</v>
      </c>
      <c r="C5852" s="257" t="s">
        <v>12631</v>
      </c>
      <c r="D5852" s="9">
        <v>0.1142376654385979</v>
      </c>
      <c r="E5852" s="9">
        <v>17258998.467498779</v>
      </c>
      <c r="F5852" s="257" t="s">
        <v>17094</v>
      </c>
      <c r="G5852" s="9">
        <v>1</v>
      </c>
      <c r="H5852" s="257" t="s">
        <v>23895</v>
      </c>
      <c r="I5852" s="9">
        <v>3</v>
      </c>
    </row>
    <row r="5853" spans="1:9">
      <c r="A5853" s="257" t="s">
        <v>6951</v>
      </c>
      <c r="B5853" s="9">
        <v>0</v>
      </c>
      <c r="C5853" s="257" t="s">
        <v>12632</v>
      </c>
      <c r="D5853" s="9">
        <v>4.7356928719404057E-2</v>
      </c>
      <c r="E5853" s="9">
        <v>17258998.467498779</v>
      </c>
      <c r="F5853" s="257" t="s">
        <v>17094</v>
      </c>
      <c r="G5853" s="9">
        <v>1</v>
      </c>
      <c r="H5853" s="257" t="s">
        <v>23895</v>
      </c>
      <c r="I5853" s="9">
        <v>3</v>
      </c>
    </row>
    <row r="5854" spans="1:9">
      <c r="A5854" s="257" t="s">
        <v>6952</v>
      </c>
      <c r="B5854" s="9">
        <v>0</v>
      </c>
      <c r="C5854" s="257" t="s">
        <v>12633</v>
      </c>
      <c r="D5854" s="9">
        <v>0.37994020000000001</v>
      </c>
      <c r="E5854" s="9">
        <v>17258998.467498779</v>
      </c>
      <c r="F5854" s="257" t="s">
        <v>17095</v>
      </c>
      <c r="G5854" s="9">
        <v>1</v>
      </c>
      <c r="H5854" s="257" t="s">
        <v>23896</v>
      </c>
      <c r="I5854" s="9">
        <v>3</v>
      </c>
    </row>
    <row r="5855" spans="1:9">
      <c r="A5855" s="257" t="s">
        <v>6953</v>
      </c>
      <c r="B5855" s="9">
        <v>0</v>
      </c>
      <c r="C5855" s="257" t="s">
        <v>12634</v>
      </c>
      <c r="D5855" s="9">
        <v>0.26052330000000001</v>
      </c>
      <c r="E5855" s="9">
        <v>17258998.467498779</v>
      </c>
      <c r="F5855" s="257" t="s">
        <v>17095</v>
      </c>
      <c r="G5855" s="9">
        <v>1</v>
      </c>
      <c r="H5855" s="257" t="s">
        <v>23897</v>
      </c>
      <c r="I5855" s="9">
        <v>3</v>
      </c>
    </row>
    <row r="5856" spans="1:9">
      <c r="A5856" s="257" t="s">
        <v>6954</v>
      </c>
      <c r="B5856" s="9">
        <v>0</v>
      </c>
      <c r="C5856" s="257" t="s">
        <v>12635</v>
      </c>
      <c r="D5856" s="9">
        <v>0.38097444780219231</v>
      </c>
      <c r="E5856" s="9">
        <v>17258998.467498779</v>
      </c>
      <c r="F5856" s="257" t="s">
        <v>17095</v>
      </c>
      <c r="G5856" s="9">
        <v>1</v>
      </c>
      <c r="H5856" s="257" t="s">
        <v>23898</v>
      </c>
      <c r="I5856" s="9">
        <v>3</v>
      </c>
    </row>
    <row r="5857" spans="1:9">
      <c r="A5857" s="257" t="s">
        <v>6955</v>
      </c>
      <c r="B5857" s="9">
        <v>0</v>
      </c>
      <c r="C5857" s="257" t="s">
        <v>12636</v>
      </c>
      <c r="D5857" s="9">
        <v>0.11274411603293304</v>
      </c>
      <c r="E5857" s="9">
        <v>17258998.467498779</v>
      </c>
      <c r="F5857" s="257" t="s">
        <v>17095</v>
      </c>
      <c r="G5857" s="9">
        <v>1</v>
      </c>
      <c r="H5857" s="257" t="s">
        <v>23898</v>
      </c>
      <c r="I5857" s="9">
        <v>3</v>
      </c>
    </row>
    <row r="5858" spans="1:9">
      <c r="A5858" s="257" t="s">
        <v>6956</v>
      </c>
      <c r="B5858" s="9">
        <v>0</v>
      </c>
      <c r="C5858" s="257" t="s">
        <v>12637</v>
      </c>
      <c r="D5858" s="9">
        <v>4.6728443924562539E-2</v>
      </c>
      <c r="E5858" s="9">
        <v>17258998.467498779</v>
      </c>
      <c r="F5858" s="257" t="s">
        <v>17095</v>
      </c>
      <c r="G5858" s="9">
        <v>1</v>
      </c>
      <c r="H5858" s="257" t="s">
        <v>23898</v>
      </c>
      <c r="I5858" s="9">
        <v>3</v>
      </c>
    </row>
    <row r="5859" spans="1:9">
      <c r="A5859" s="257" t="s">
        <v>6957</v>
      </c>
      <c r="B5859" s="9">
        <v>0</v>
      </c>
      <c r="C5859" s="257" t="s">
        <v>12638</v>
      </c>
      <c r="D5859" s="9">
        <v>0.37994020000000001</v>
      </c>
      <c r="E5859" s="9">
        <v>17258998.467498779</v>
      </c>
      <c r="F5859" s="257" t="s">
        <v>17096</v>
      </c>
      <c r="G5859" s="9">
        <v>1</v>
      </c>
      <c r="H5859" s="257" t="s">
        <v>23899</v>
      </c>
      <c r="I5859" s="9">
        <v>3</v>
      </c>
    </row>
    <row r="5860" spans="1:9">
      <c r="A5860" s="257" t="s">
        <v>6958</v>
      </c>
      <c r="B5860" s="9">
        <v>0</v>
      </c>
      <c r="C5860" s="257" t="s">
        <v>12639</v>
      </c>
      <c r="D5860" s="9">
        <v>0.26052330000000001</v>
      </c>
      <c r="E5860" s="9">
        <v>17258998.467498779</v>
      </c>
      <c r="F5860" s="257" t="s">
        <v>17096</v>
      </c>
      <c r="G5860" s="9">
        <v>1</v>
      </c>
      <c r="H5860" s="257" t="s">
        <v>23900</v>
      </c>
      <c r="I5860" s="9">
        <v>3</v>
      </c>
    </row>
    <row r="5861" spans="1:9">
      <c r="A5861" s="257" t="s">
        <v>6959</v>
      </c>
      <c r="B5861" s="9">
        <v>0</v>
      </c>
      <c r="C5861" s="257" t="s">
        <v>12640</v>
      </c>
      <c r="D5861" s="9">
        <v>0.38097444780219231</v>
      </c>
      <c r="E5861" s="9">
        <v>17258998.467498779</v>
      </c>
      <c r="F5861" s="257" t="s">
        <v>17096</v>
      </c>
      <c r="G5861" s="9">
        <v>1</v>
      </c>
      <c r="H5861" s="257" t="s">
        <v>23901</v>
      </c>
      <c r="I5861" s="9">
        <v>3</v>
      </c>
    </row>
    <row r="5862" spans="1:9">
      <c r="A5862" s="257" t="s">
        <v>6960</v>
      </c>
      <c r="B5862" s="9">
        <v>0</v>
      </c>
      <c r="C5862" s="257" t="s">
        <v>12641</v>
      </c>
      <c r="D5862" s="9">
        <v>0.11274411603293304</v>
      </c>
      <c r="E5862" s="9">
        <v>17258998.467498779</v>
      </c>
      <c r="F5862" s="257" t="s">
        <v>17096</v>
      </c>
      <c r="G5862" s="9">
        <v>1</v>
      </c>
      <c r="H5862" s="257" t="s">
        <v>23901</v>
      </c>
      <c r="I5862" s="9">
        <v>3</v>
      </c>
    </row>
    <row r="5863" spans="1:9">
      <c r="A5863" s="257" t="s">
        <v>6961</v>
      </c>
      <c r="B5863" s="9">
        <v>0</v>
      </c>
      <c r="C5863" s="257" t="s">
        <v>12642</v>
      </c>
      <c r="D5863" s="9">
        <v>4.6728443924562539E-2</v>
      </c>
      <c r="E5863" s="9">
        <v>17258998.467498779</v>
      </c>
      <c r="F5863" s="257" t="s">
        <v>17096</v>
      </c>
      <c r="G5863" s="9">
        <v>1</v>
      </c>
      <c r="H5863" s="257" t="s">
        <v>23901</v>
      </c>
      <c r="I5863" s="9">
        <v>3</v>
      </c>
    </row>
    <row r="5864" spans="1:9">
      <c r="A5864" s="257" t="s">
        <v>6962</v>
      </c>
      <c r="B5864" s="9">
        <v>0</v>
      </c>
      <c r="C5864" s="257" t="s">
        <v>12643</v>
      </c>
      <c r="D5864" s="9">
        <v>0.38517863561477284</v>
      </c>
      <c r="E5864" s="9">
        <v>17258998.467498779</v>
      </c>
      <c r="F5864" s="257" t="s">
        <v>17097</v>
      </c>
      <c r="G5864" s="9">
        <v>1</v>
      </c>
      <c r="H5864" s="257" t="s">
        <v>23901</v>
      </c>
      <c r="I5864" s="9">
        <v>3</v>
      </c>
    </row>
    <row r="5865" spans="1:9">
      <c r="A5865" s="257" t="s">
        <v>6963</v>
      </c>
      <c r="B5865" s="9">
        <v>0</v>
      </c>
      <c r="C5865" s="257" t="s">
        <v>12644</v>
      </c>
      <c r="D5865" s="9">
        <v>0.1142376654385979</v>
      </c>
      <c r="E5865" s="9">
        <v>17258998.467498779</v>
      </c>
      <c r="F5865" s="257" t="s">
        <v>17097</v>
      </c>
      <c r="G5865" s="9">
        <v>1</v>
      </c>
      <c r="H5865" s="257" t="s">
        <v>23901</v>
      </c>
      <c r="I5865" s="9">
        <v>3</v>
      </c>
    </row>
    <row r="5866" spans="1:9">
      <c r="A5866" s="257" t="s">
        <v>6964</v>
      </c>
      <c r="B5866" s="9">
        <v>0</v>
      </c>
      <c r="C5866" s="257" t="s">
        <v>12645</v>
      </c>
      <c r="D5866" s="9">
        <v>4.7356928719404057E-2</v>
      </c>
      <c r="E5866" s="9">
        <v>17258998.467498779</v>
      </c>
      <c r="F5866" s="257" t="s">
        <v>17097</v>
      </c>
      <c r="G5866" s="9">
        <v>1</v>
      </c>
      <c r="H5866" s="257" t="s">
        <v>23901</v>
      </c>
      <c r="I5866" s="9">
        <v>3</v>
      </c>
    </row>
    <row r="5867" spans="1:9">
      <c r="A5867" s="257" t="s">
        <v>6965</v>
      </c>
      <c r="B5867" s="9">
        <v>0</v>
      </c>
      <c r="C5867" s="257" t="s">
        <v>12646</v>
      </c>
      <c r="D5867" s="9">
        <v>0.37863370000000002</v>
      </c>
      <c r="E5867" s="9">
        <v>17258998.467498779</v>
      </c>
      <c r="F5867" s="257" t="s">
        <v>17098</v>
      </c>
      <c r="G5867" s="9">
        <v>1</v>
      </c>
      <c r="H5867" s="257" t="s">
        <v>23902</v>
      </c>
      <c r="I5867" s="9">
        <v>3</v>
      </c>
    </row>
    <row r="5868" spans="1:9">
      <c r="A5868" s="257" t="s">
        <v>6966</v>
      </c>
      <c r="B5868" s="9">
        <v>0</v>
      </c>
      <c r="C5868" s="257" t="s">
        <v>12647</v>
      </c>
      <c r="D5868" s="9">
        <v>0.25890039999999997</v>
      </c>
      <c r="E5868" s="9">
        <v>17258998.467498779</v>
      </c>
      <c r="F5868" s="257" t="s">
        <v>17098</v>
      </c>
      <c r="G5868" s="9">
        <v>1</v>
      </c>
      <c r="H5868" s="257" t="s">
        <v>23903</v>
      </c>
      <c r="I5868" s="9">
        <v>3</v>
      </c>
    </row>
    <row r="5869" spans="1:9">
      <c r="A5869" s="257" t="s">
        <v>6967</v>
      </c>
      <c r="B5869" s="9">
        <v>0</v>
      </c>
      <c r="C5869" s="257" t="s">
        <v>12648</v>
      </c>
      <c r="D5869" s="9">
        <v>0.37994020000000001</v>
      </c>
      <c r="E5869" s="9">
        <v>17258998.467498779</v>
      </c>
      <c r="F5869" s="257" t="s">
        <v>17099</v>
      </c>
      <c r="G5869" s="9">
        <v>1</v>
      </c>
      <c r="H5869" s="257" t="s">
        <v>23904</v>
      </c>
      <c r="I5869" s="9">
        <v>3</v>
      </c>
    </row>
    <row r="5870" spans="1:9">
      <c r="A5870" s="257" t="s">
        <v>6968</v>
      </c>
      <c r="B5870" s="9">
        <v>0</v>
      </c>
      <c r="C5870" s="257" t="s">
        <v>12649</v>
      </c>
      <c r="D5870" s="9">
        <v>0.26052330000000001</v>
      </c>
      <c r="E5870" s="9">
        <v>17258998.467498779</v>
      </c>
      <c r="F5870" s="257" t="s">
        <v>17099</v>
      </c>
      <c r="G5870" s="9">
        <v>1</v>
      </c>
      <c r="H5870" s="257" t="s">
        <v>23905</v>
      </c>
      <c r="I5870" s="9">
        <v>3</v>
      </c>
    </row>
    <row r="5871" spans="1:9">
      <c r="A5871" s="257" t="s">
        <v>6969</v>
      </c>
      <c r="B5871" s="9">
        <v>0</v>
      </c>
      <c r="C5871" s="257" t="s">
        <v>12650</v>
      </c>
      <c r="D5871" s="9">
        <v>0.38097444780219231</v>
      </c>
      <c r="E5871" s="9">
        <v>17258998.467498779</v>
      </c>
      <c r="F5871" s="257" t="s">
        <v>17099</v>
      </c>
      <c r="G5871" s="9">
        <v>1</v>
      </c>
      <c r="H5871" s="257" t="s">
        <v>23906</v>
      </c>
      <c r="I5871" s="9">
        <v>3</v>
      </c>
    </row>
    <row r="5872" spans="1:9">
      <c r="A5872" s="257" t="s">
        <v>6970</v>
      </c>
      <c r="B5872" s="9">
        <v>0</v>
      </c>
      <c r="C5872" s="257" t="s">
        <v>12651</v>
      </c>
      <c r="D5872" s="9">
        <v>0.11274411603293304</v>
      </c>
      <c r="E5872" s="9">
        <v>17258998.467498779</v>
      </c>
      <c r="F5872" s="257" t="s">
        <v>17099</v>
      </c>
      <c r="G5872" s="9">
        <v>1</v>
      </c>
      <c r="H5872" s="257" t="s">
        <v>23906</v>
      </c>
      <c r="I5872" s="9">
        <v>3</v>
      </c>
    </row>
    <row r="5873" spans="1:9">
      <c r="A5873" s="257" t="s">
        <v>6971</v>
      </c>
      <c r="B5873" s="9">
        <v>0</v>
      </c>
      <c r="C5873" s="257" t="s">
        <v>12652</v>
      </c>
      <c r="D5873" s="9">
        <v>4.6728443924562539E-2</v>
      </c>
      <c r="E5873" s="9">
        <v>17258998.467498779</v>
      </c>
      <c r="F5873" s="257" t="s">
        <v>17099</v>
      </c>
      <c r="G5873" s="9">
        <v>1</v>
      </c>
      <c r="H5873" s="257" t="s">
        <v>23906</v>
      </c>
      <c r="I5873" s="9">
        <v>3</v>
      </c>
    </row>
    <row r="5874" spans="1:9">
      <c r="A5874" s="257" t="s">
        <v>6972</v>
      </c>
      <c r="B5874" s="9">
        <v>0</v>
      </c>
      <c r="C5874" s="257" t="s">
        <v>12653</v>
      </c>
      <c r="D5874" s="9">
        <v>0.37798359999999998</v>
      </c>
      <c r="E5874" s="9">
        <v>17258998.467498779</v>
      </c>
      <c r="F5874" s="257" t="s">
        <v>17100</v>
      </c>
      <c r="G5874" s="9">
        <v>1</v>
      </c>
      <c r="H5874" s="257" t="s">
        <v>23907</v>
      </c>
      <c r="I5874" s="9">
        <v>3</v>
      </c>
    </row>
    <row r="5875" spans="1:9">
      <c r="A5875" s="257" t="s">
        <v>6973</v>
      </c>
      <c r="B5875" s="9">
        <v>0</v>
      </c>
      <c r="C5875" s="257" t="s">
        <v>12654</v>
      </c>
      <c r="D5875" s="9">
        <v>0.2578761</v>
      </c>
      <c r="E5875" s="9">
        <v>17258998.467498779</v>
      </c>
      <c r="F5875" s="257" t="s">
        <v>17100</v>
      </c>
      <c r="G5875" s="9">
        <v>1</v>
      </c>
      <c r="H5875" s="257" t="s">
        <v>23908</v>
      </c>
      <c r="I5875" s="9">
        <v>3</v>
      </c>
    </row>
    <row r="5876" spans="1:9">
      <c r="A5876" s="257" t="s">
        <v>6974</v>
      </c>
      <c r="B5876" s="9">
        <v>0</v>
      </c>
      <c r="C5876" s="257" t="s">
        <v>12655</v>
      </c>
      <c r="D5876" s="9">
        <v>0.38705763826834666</v>
      </c>
      <c r="E5876" s="9">
        <v>17258998.467498779</v>
      </c>
      <c r="F5876" s="257" t="s">
        <v>17100</v>
      </c>
      <c r="G5876" s="9">
        <v>1</v>
      </c>
      <c r="H5876" s="257" t="s">
        <v>23909</v>
      </c>
      <c r="I5876" s="9">
        <v>3</v>
      </c>
    </row>
    <row r="5877" spans="1:9">
      <c r="A5877" s="257" t="s">
        <v>6975</v>
      </c>
      <c r="B5877" s="9">
        <v>0</v>
      </c>
      <c r="C5877" s="257" t="s">
        <v>12656</v>
      </c>
      <c r="D5877" s="9">
        <v>0.11475679931370281</v>
      </c>
      <c r="E5877" s="9">
        <v>17258998.467498779</v>
      </c>
      <c r="F5877" s="257" t="s">
        <v>17100</v>
      </c>
      <c r="G5877" s="9">
        <v>1</v>
      </c>
      <c r="H5877" s="257" t="s">
        <v>23909</v>
      </c>
      <c r="I5877" s="9">
        <v>3</v>
      </c>
    </row>
    <row r="5878" spans="1:9">
      <c r="A5878" s="257" t="s">
        <v>6976</v>
      </c>
      <c r="B5878" s="9">
        <v>0</v>
      </c>
      <c r="C5878" s="257" t="s">
        <v>12657</v>
      </c>
      <c r="D5878" s="9">
        <v>4.7603638946726798E-2</v>
      </c>
      <c r="E5878" s="9">
        <v>17258998.467498779</v>
      </c>
      <c r="F5878" s="257" t="s">
        <v>17100</v>
      </c>
      <c r="G5878" s="9">
        <v>1</v>
      </c>
      <c r="H5878" s="257" t="s">
        <v>23909</v>
      </c>
      <c r="I5878" s="9">
        <v>3</v>
      </c>
    </row>
    <row r="5879" spans="1:9">
      <c r="A5879" s="257" t="s">
        <v>6977</v>
      </c>
      <c r="B5879" s="9">
        <v>0</v>
      </c>
      <c r="C5879" s="257" t="s">
        <v>12658</v>
      </c>
      <c r="D5879" s="9">
        <v>0.38088709999999998</v>
      </c>
      <c r="E5879" s="9">
        <v>17258998.467498779</v>
      </c>
      <c r="F5879" s="257" t="s">
        <v>17101</v>
      </c>
      <c r="G5879" s="9">
        <v>1</v>
      </c>
      <c r="H5879" s="257" t="s">
        <v>23910</v>
      </c>
      <c r="I5879" s="9">
        <v>3</v>
      </c>
    </row>
    <row r="5880" spans="1:9">
      <c r="A5880" s="257" t="s">
        <v>6978</v>
      </c>
      <c r="B5880" s="9">
        <v>0</v>
      </c>
      <c r="C5880" s="257" t="s">
        <v>12659</v>
      </c>
      <c r="D5880" s="9">
        <v>0.26217469999999998</v>
      </c>
      <c r="E5880" s="9">
        <v>17258998.467498779</v>
      </c>
      <c r="F5880" s="257" t="s">
        <v>17101</v>
      </c>
      <c r="G5880" s="9">
        <v>1</v>
      </c>
      <c r="H5880" s="257" t="s">
        <v>23911</v>
      </c>
      <c r="I5880" s="9">
        <v>3</v>
      </c>
    </row>
    <row r="5881" spans="1:9">
      <c r="A5881" s="257" t="s">
        <v>6979</v>
      </c>
      <c r="B5881" s="9">
        <v>0</v>
      </c>
      <c r="C5881" s="257" t="s">
        <v>12660</v>
      </c>
      <c r="D5881" s="9">
        <v>0.38056165225692812</v>
      </c>
      <c r="E5881" s="9">
        <v>17258998.467498779</v>
      </c>
      <c r="F5881" s="257" t="s">
        <v>17101</v>
      </c>
      <c r="G5881" s="9">
        <v>1</v>
      </c>
      <c r="H5881" s="257" t="s">
        <v>23912</v>
      </c>
      <c r="I5881" s="9">
        <v>3</v>
      </c>
    </row>
    <row r="5882" spans="1:9">
      <c r="A5882" s="257" t="s">
        <v>6980</v>
      </c>
      <c r="B5882" s="9">
        <v>0</v>
      </c>
      <c r="C5882" s="257" t="s">
        <v>12661</v>
      </c>
      <c r="D5882" s="9">
        <v>0.11225069465412996</v>
      </c>
      <c r="E5882" s="9">
        <v>17258998.467498779</v>
      </c>
      <c r="F5882" s="257" t="s">
        <v>17101</v>
      </c>
      <c r="G5882" s="9">
        <v>1</v>
      </c>
      <c r="H5882" s="257" t="s">
        <v>23912</v>
      </c>
      <c r="I5882" s="9">
        <v>3</v>
      </c>
    </row>
    <row r="5883" spans="1:9">
      <c r="A5883" s="257" t="s">
        <v>6981</v>
      </c>
      <c r="B5883" s="9">
        <v>0</v>
      </c>
      <c r="C5883" s="257" t="s">
        <v>12662</v>
      </c>
      <c r="D5883" s="9">
        <v>4.6501411835283057E-2</v>
      </c>
      <c r="E5883" s="9">
        <v>17258998.467498779</v>
      </c>
      <c r="F5883" s="257" t="s">
        <v>17101</v>
      </c>
      <c r="G5883" s="9">
        <v>1</v>
      </c>
      <c r="H5883" s="257" t="s">
        <v>23912</v>
      </c>
      <c r="I5883" s="9">
        <v>3</v>
      </c>
    </row>
    <row r="5884" spans="1:9">
      <c r="A5884" s="257" t="s">
        <v>6982</v>
      </c>
      <c r="B5884" s="9">
        <v>0</v>
      </c>
      <c r="C5884" s="257" t="s">
        <v>12663</v>
      </c>
      <c r="D5884" s="9">
        <v>0.38088709999999998</v>
      </c>
      <c r="E5884" s="9">
        <v>17258998.467498779</v>
      </c>
      <c r="F5884" s="257" t="s">
        <v>17102</v>
      </c>
      <c r="G5884" s="9">
        <v>1</v>
      </c>
      <c r="H5884" s="257" t="s">
        <v>23913</v>
      </c>
      <c r="I5884" s="9">
        <v>3</v>
      </c>
    </row>
    <row r="5885" spans="1:9">
      <c r="A5885" s="257" t="s">
        <v>6983</v>
      </c>
      <c r="B5885" s="9">
        <v>0</v>
      </c>
      <c r="C5885" s="257" t="s">
        <v>12664</v>
      </c>
      <c r="D5885" s="9">
        <v>0.26217469999999998</v>
      </c>
      <c r="E5885" s="9">
        <v>17258998.467498779</v>
      </c>
      <c r="F5885" s="257" t="s">
        <v>17102</v>
      </c>
      <c r="G5885" s="9">
        <v>1</v>
      </c>
      <c r="H5885" s="257" t="s">
        <v>23914</v>
      </c>
      <c r="I5885" s="9">
        <v>3</v>
      </c>
    </row>
    <row r="5886" spans="1:9">
      <c r="A5886" s="257" t="s">
        <v>6984</v>
      </c>
      <c r="B5886" s="9">
        <v>0</v>
      </c>
      <c r="C5886" s="257" t="s">
        <v>12665</v>
      </c>
      <c r="D5886" s="9">
        <v>0.38056165225692812</v>
      </c>
      <c r="E5886" s="9">
        <v>17258998.467498779</v>
      </c>
      <c r="F5886" s="257" t="s">
        <v>17102</v>
      </c>
      <c r="G5886" s="9">
        <v>1</v>
      </c>
      <c r="H5886" s="257" t="s">
        <v>23915</v>
      </c>
      <c r="I5886" s="9">
        <v>3</v>
      </c>
    </row>
    <row r="5887" spans="1:9">
      <c r="A5887" s="257" t="s">
        <v>6985</v>
      </c>
      <c r="B5887" s="9">
        <v>0</v>
      </c>
      <c r="C5887" s="257" t="s">
        <v>12666</v>
      </c>
      <c r="D5887" s="9">
        <v>0.11225069465412996</v>
      </c>
      <c r="E5887" s="9">
        <v>17258998.467498779</v>
      </c>
      <c r="F5887" s="257" t="s">
        <v>17102</v>
      </c>
      <c r="G5887" s="9">
        <v>1</v>
      </c>
      <c r="H5887" s="257" t="s">
        <v>23915</v>
      </c>
      <c r="I5887" s="9">
        <v>3</v>
      </c>
    </row>
    <row r="5888" spans="1:9">
      <c r="A5888" s="257" t="s">
        <v>6986</v>
      </c>
      <c r="B5888" s="9">
        <v>0</v>
      </c>
      <c r="C5888" s="257" t="s">
        <v>12667</v>
      </c>
      <c r="D5888" s="9">
        <v>4.6501411835283057E-2</v>
      </c>
      <c r="E5888" s="9">
        <v>17258998.467498779</v>
      </c>
      <c r="F5888" s="257" t="s">
        <v>17102</v>
      </c>
      <c r="G5888" s="9">
        <v>1</v>
      </c>
      <c r="H5888" s="257" t="s">
        <v>23915</v>
      </c>
      <c r="I5888" s="9">
        <v>3</v>
      </c>
    </row>
    <row r="5889" spans="1:9">
      <c r="A5889" s="257" t="s">
        <v>6987</v>
      </c>
      <c r="B5889" s="9">
        <v>0</v>
      </c>
      <c r="C5889" s="257" t="s">
        <v>12668</v>
      </c>
      <c r="D5889" s="9">
        <v>0.3795499</v>
      </c>
      <c r="E5889" s="9">
        <v>17258998.467498779</v>
      </c>
      <c r="F5889" s="257" t="s">
        <v>17103</v>
      </c>
      <c r="G5889" s="9">
        <v>1</v>
      </c>
      <c r="H5889" s="257" t="s">
        <v>23916</v>
      </c>
      <c r="I5889" s="9">
        <v>3</v>
      </c>
    </row>
    <row r="5890" spans="1:9">
      <c r="A5890" s="257" t="s">
        <v>6988</v>
      </c>
      <c r="B5890" s="9">
        <v>0</v>
      </c>
      <c r="C5890" s="257" t="s">
        <v>12669</v>
      </c>
      <c r="D5890" s="9">
        <v>0.26001940000000001</v>
      </c>
      <c r="E5890" s="9">
        <v>17258998.467498779</v>
      </c>
      <c r="F5890" s="257" t="s">
        <v>17103</v>
      </c>
      <c r="G5890" s="9">
        <v>1</v>
      </c>
      <c r="H5890" s="257" t="s">
        <v>23917</v>
      </c>
      <c r="I5890" s="9">
        <v>3</v>
      </c>
    </row>
    <row r="5891" spans="1:9">
      <c r="A5891" s="257" t="s">
        <v>6989</v>
      </c>
      <c r="B5891" s="9">
        <v>0</v>
      </c>
      <c r="C5891" s="257" t="s">
        <v>12670</v>
      </c>
      <c r="D5891" s="9">
        <v>0.38327150774545521</v>
      </c>
      <c r="E5891" s="9">
        <v>17258998.467498779</v>
      </c>
      <c r="F5891" s="257" t="s">
        <v>17103</v>
      </c>
      <c r="G5891" s="9">
        <v>1</v>
      </c>
      <c r="H5891" s="257" t="s">
        <v>23918</v>
      </c>
      <c r="I5891" s="9">
        <v>3</v>
      </c>
    </row>
    <row r="5892" spans="1:9">
      <c r="A5892" s="257" t="s">
        <v>6990</v>
      </c>
      <c r="B5892" s="9">
        <v>0</v>
      </c>
      <c r="C5892" s="257" t="s">
        <v>12671</v>
      </c>
      <c r="D5892" s="9">
        <v>0.11354095039797399</v>
      </c>
      <c r="E5892" s="9">
        <v>17258998.467498779</v>
      </c>
      <c r="F5892" s="257" t="s">
        <v>17103</v>
      </c>
      <c r="G5892" s="9">
        <v>1</v>
      </c>
      <c r="H5892" s="257" t="s">
        <v>23918</v>
      </c>
      <c r="I5892" s="9">
        <v>3</v>
      </c>
    </row>
    <row r="5893" spans="1:9">
      <c r="A5893" s="257" t="s">
        <v>6991</v>
      </c>
      <c r="B5893" s="9">
        <v>0</v>
      </c>
      <c r="C5893" s="257" t="s">
        <v>12672</v>
      </c>
      <c r="D5893" s="9">
        <v>4.7096260254657199E-2</v>
      </c>
      <c r="E5893" s="9">
        <v>17258998.467498779</v>
      </c>
      <c r="F5893" s="257" t="s">
        <v>17103</v>
      </c>
      <c r="G5893" s="9">
        <v>1</v>
      </c>
      <c r="H5893" s="257" t="s">
        <v>23918</v>
      </c>
      <c r="I5893" s="9">
        <v>3</v>
      </c>
    </row>
    <row r="5894" spans="1:9">
      <c r="A5894" s="257" t="s">
        <v>6992</v>
      </c>
      <c r="B5894" s="9">
        <v>0</v>
      </c>
      <c r="C5894" s="257" t="s">
        <v>12673</v>
      </c>
      <c r="D5894" s="9">
        <v>0.3795499</v>
      </c>
      <c r="E5894" s="9">
        <v>17258998.467498779</v>
      </c>
      <c r="F5894" s="257" t="s">
        <v>17104</v>
      </c>
      <c r="G5894" s="9">
        <v>1</v>
      </c>
      <c r="H5894" s="257" t="s">
        <v>23919</v>
      </c>
      <c r="I5894" s="9">
        <v>3</v>
      </c>
    </row>
    <row r="5895" spans="1:9">
      <c r="A5895" s="257" t="s">
        <v>6993</v>
      </c>
      <c r="B5895" s="9">
        <v>0</v>
      </c>
      <c r="C5895" s="257" t="s">
        <v>12674</v>
      </c>
      <c r="D5895" s="9">
        <v>0.26001940000000001</v>
      </c>
      <c r="E5895" s="9">
        <v>17258998.467498779</v>
      </c>
      <c r="F5895" s="257" t="s">
        <v>17104</v>
      </c>
      <c r="G5895" s="9">
        <v>1</v>
      </c>
      <c r="H5895" s="257" t="s">
        <v>23920</v>
      </c>
      <c r="I5895" s="9">
        <v>3</v>
      </c>
    </row>
    <row r="5896" spans="1:9">
      <c r="A5896" s="257" t="s">
        <v>6994</v>
      </c>
      <c r="B5896" s="9">
        <v>0</v>
      </c>
      <c r="C5896" s="257" t="s">
        <v>12675</v>
      </c>
      <c r="D5896" s="9">
        <v>0.38327150774545521</v>
      </c>
      <c r="E5896" s="9">
        <v>17258998.467498779</v>
      </c>
      <c r="F5896" s="257" t="s">
        <v>17104</v>
      </c>
      <c r="G5896" s="9">
        <v>1</v>
      </c>
      <c r="H5896" s="257" t="s">
        <v>23921</v>
      </c>
      <c r="I5896" s="9">
        <v>3</v>
      </c>
    </row>
    <row r="5897" spans="1:9">
      <c r="A5897" s="257" t="s">
        <v>6995</v>
      </c>
      <c r="B5897" s="9">
        <v>0</v>
      </c>
      <c r="C5897" s="257" t="s">
        <v>12676</v>
      </c>
      <c r="D5897" s="9">
        <v>0.11354095039797399</v>
      </c>
      <c r="E5897" s="9">
        <v>17258998.467498779</v>
      </c>
      <c r="F5897" s="257" t="s">
        <v>17104</v>
      </c>
      <c r="G5897" s="9">
        <v>1</v>
      </c>
      <c r="H5897" s="257" t="s">
        <v>23921</v>
      </c>
      <c r="I5897" s="9">
        <v>3</v>
      </c>
    </row>
    <row r="5898" spans="1:9">
      <c r="A5898" s="257" t="s">
        <v>6996</v>
      </c>
      <c r="B5898" s="9">
        <v>0</v>
      </c>
      <c r="C5898" s="257" t="s">
        <v>12677</v>
      </c>
      <c r="D5898" s="9">
        <v>4.7096260254657199E-2</v>
      </c>
      <c r="E5898" s="9">
        <v>17258998.467498779</v>
      </c>
      <c r="F5898" s="257" t="s">
        <v>17104</v>
      </c>
      <c r="G5898" s="9">
        <v>1</v>
      </c>
      <c r="H5898" s="257" t="s">
        <v>23921</v>
      </c>
      <c r="I5898" s="9">
        <v>3</v>
      </c>
    </row>
    <row r="5899" spans="1:9">
      <c r="A5899" s="257" t="s">
        <v>6997</v>
      </c>
      <c r="B5899" s="9">
        <v>0</v>
      </c>
      <c r="C5899" s="257" t="s">
        <v>12678</v>
      </c>
      <c r="D5899" s="9">
        <v>0.37932159999999998</v>
      </c>
      <c r="E5899" s="9">
        <v>17258998.467498779</v>
      </c>
      <c r="F5899" s="257" t="s">
        <v>17105</v>
      </c>
      <c r="G5899" s="9">
        <v>1</v>
      </c>
      <c r="H5899" s="257" t="s">
        <v>23922</v>
      </c>
      <c r="I5899" s="9">
        <v>3</v>
      </c>
    </row>
    <row r="5900" spans="1:9">
      <c r="A5900" s="257" t="s">
        <v>6998</v>
      </c>
      <c r="B5900" s="9">
        <v>0</v>
      </c>
      <c r="C5900" s="257" t="s">
        <v>12679</v>
      </c>
      <c r="D5900" s="9">
        <v>0.26002350000000002</v>
      </c>
      <c r="E5900" s="9">
        <v>17258998.467498779</v>
      </c>
      <c r="F5900" s="257" t="s">
        <v>17105</v>
      </c>
      <c r="G5900" s="9">
        <v>1</v>
      </c>
      <c r="H5900" s="257" t="s">
        <v>23923</v>
      </c>
      <c r="I5900" s="9">
        <v>3</v>
      </c>
    </row>
    <row r="5901" spans="1:9">
      <c r="A5901" s="257" t="s">
        <v>6999</v>
      </c>
      <c r="B5901" s="9">
        <v>0</v>
      </c>
      <c r="C5901" s="257" t="s">
        <v>12680</v>
      </c>
      <c r="D5901" s="9">
        <v>0.38314735585574938</v>
      </c>
      <c r="E5901" s="9">
        <v>17258998.467498779</v>
      </c>
      <c r="F5901" s="257" t="s">
        <v>17105</v>
      </c>
      <c r="G5901" s="9">
        <v>1</v>
      </c>
      <c r="H5901" s="257" t="s">
        <v>23924</v>
      </c>
      <c r="I5901" s="9">
        <v>3</v>
      </c>
    </row>
    <row r="5902" spans="1:9">
      <c r="A5902" s="257" t="s">
        <v>7000</v>
      </c>
      <c r="B5902" s="9">
        <v>0</v>
      </c>
      <c r="C5902" s="257" t="s">
        <v>12681</v>
      </c>
      <c r="D5902" s="9">
        <v>0.11343147222378326</v>
      </c>
      <c r="E5902" s="9">
        <v>17258998.467498779</v>
      </c>
      <c r="F5902" s="257" t="s">
        <v>17105</v>
      </c>
      <c r="G5902" s="9">
        <v>1</v>
      </c>
      <c r="H5902" s="257" t="s">
        <v>23924</v>
      </c>
      <c r="I5902" s="9">
        <v>3</v>
      </c>
    </row>
    <row r="5903" spans="1:9">
      <c r="A5903" s="257" t="s">
        <v>7001</v>
      </c>
      <c r="B5903" s="9">
        <v>0</v>
      </c>
      <c r="C5903" s="257" t="s">
        <v>12682</v>
      </c>
      <c r="D5903" s="9">
        <v>4.6985004124137614E-2</v>
      </c>
      <c r="E5903" s="9">
        <v>17258998.467498779</v>
      </c>
      <c r="F5903" s="257" t="s">
        <v>17105</v>
      </c>
      <c r="G5903" s="9">
        <v>1</v>
      </c>
      <c r="H5903" s="257" t="s">
        <v>23924</v>
      </c>
      <c r="I5903" s="9">
        <v>3</v>
      </c>
    </row>
    <row r="5904" spans="1:9">
      <c r="A5904" s="257" t="s">
        <v>7002</v>
      </c>
      <c r="B5904" s="9">
        <v>0</v>
      </c>
      <c r="C5904" s="257" t="s">
        <v>12683</v>
      </c>
      <c r="D5904" s="9">
        <v>0.385411843162622</v>
      </c>
      <c r="E5904" s="9">
        <v>17258998.467498779</v>
      </c>
      <c r="F5904" s="257" t="s">
        <v>17106</v>
      </c>
      <c r="G5904" s="9">
        <v>1</v>
      </c>
      <c r="H5904" s="257" t="s">
        <v>23924</v>
      </c>
      <c r="I5904" s="9">
        <v>3</v>
      </c>
    </row>
    <row r="5905" spans="1:9">
      <c r="A5905" s="257" t="s">
        <v>7003</v>
      </c>
      <c r="B5905" s="9">
        <v>0</v>
      </c>
      <c r="C5905" s="257" t="s">
        <v>12684</v>
      </c>
      <c r="D5905" s="9">
        <v>0.11427846953778792</v>
      </c>
      <c r="E5905" s="9">
        <v>17258998.467498779</v>
      </c>
      <c r="F5905" s="257" t="s">
        <v>17106</v>
      </c>
      <c r="G5905" s="9">
        <v>1</v>
      </c>
      <c r="H5905" s="257" t="s">
        <v>23924</v>
      </c>
      <c r="I5905" s="9">
        <v>3</v>
      </c>
    </row>
    <row r="5906" spans="1:9">
      <c r="A5906" s="257" t="s">
        <v>7004</v>
      </c>
      <c r="B5906" s="9">
        <v>0</v>
      </c>
      <c r="C5906" s="257" t="s">
        <v>12685</v>
      </c>
      <c r="D5906" s="9">
        <v>4.7374657188523094E-2</v>
      </c>
      <c r="E5906" s="9">
        <v>17258998.467498779</v>
      </c>
      <c r="F5906" s="257" t="s">
        <v>17106</v>
      </c>
      <c r="G5906" s="9">
        <v>1</v>
      </c>
      <c r="H5906" s="257" t="s">
        <v>23924</v>
      </c>
      <c r="I5906" s="9">
        <v>3</v>
      </c>
    </row>
    <row r="5907" spans="1:9">
      <c r="A5907" s="257" t="s">
        <v>7005</v>
      </c>
      <c r="B5907" s="9">
        <v>0</v>
      </c>
      <c r="C5907" s="257" t="s">
        <v>12686</v>
      </c>
      <c r="D5907" s="9">
        <v>0.37827899999999998</v>
      </c>
      <c r="E5907" s="9">
        <v>17258998.467498779</v>
      </c>
      <c r="F5907" s="257" t="s">
        <v>17107</v>
      </c>
      <c r="G5907" s="9">
        <v>1</v>
      </c>
      <c r="H5907" s="257" t="s">
        <v>23925</v>
      </c>
      <c r="I5907" s="9">
        <v>3</v>
      </c>
    </row>
    <row r="5908" spans="1:9">
      <c r="A5908" s="257" t="s">
        <v>7006</v>
      </c>
      <c r="B5908" s="9">
        <v>0</v>
      </c>
      <c r="C5908" s="257" t="s">
        <v>12687</v>
      </c>
      <c r="D5908" s="9">
        <v>0.2584941</v>
      </c>
      <c r="E5908" s="9">
        <v>17258998.467498779</v>
      </c>
      <c r="F5908" s="257" t="s">
        <v>17107</v>
      </c>
      <c r="G5908" s="9">
        <v>1</v>
      </c>
      <c r="H5908" s="257" t="s">
        <v>23926</v>
      </c>
      <c r="I5908" s="9">
        <v>3</v>
      </c>
    </row>
    <row r="5909" spans="1:9">
      <c r="A5909" s="257" t="s">
        <v>7007</v>
      </c>
      <c r="B5909" s="9">
        <v>0</v>
      </c>
      <c r="C5909" s="257" t="s">
        <v>12688</v>
      </c>
      <c r="D5909" s="9">
        <v>0.38682443072049755</v>
      </c>
      <c r="E5909" s="9">
        <v>17258998.467498779</v>
      </c>
      <c r="F5909" s="257" t="s">
        <v>17107</v>
      </c>
      <c r="G5909" s="9">
        <v>1</v>
      </c>
      <c r="H5909" s="257" t="s">
        <v>23927</v>
      </c>
      <c r="I5909" s="9">
        <v>3</v>
      </c>
    </row>
    <row r="5910" spans="1:9">
      <c r="A5910" s="257" t="s">
        <v>7008</v>
      </c>
      <c r="B5910" s="9">
        <v>0</v>
      </c>
      <c r="C5910" s="257" t="s">
        <v>12689</v>
      </c>
      <c r="D5910" s="9">
        <v>0.11471599521451278</v>
      </c>
      <c r="E5910" s="9">
        <v>17258998.467498779</v>
      </c>
      <c r="F5910" s="257" t="s">
        <v>17107</v>
      </c>
      <c r="G5910" s="9">
        <v>1</v>
      </c>
      <c r="H5910" s="257" t="s">
        <v>23927</v>
      </c>
      <c r="I5910" s="9">
        <v>3</v>
      </c>
    </row>
    <row r="5911" spans="1:9">
      <c r="A5911" s="257" t="s">
        <v>7009</v>
      </c>
      <c r="B5911" s="9">
        <v>0</v>
      </c>
      <c r="C5911" s="257" t="s">
        <v>12690</v>
      </c>
      <c r="D5911" s="9">
        <v>4.7585780324508969E-2</v>
      </c>
      <c r="E5911" s="9">
        <v>17258998.467498779</v>
      </c>
      <c r="F5911" s="257" t="s">
        <v>17107</v>
      </c>
      <c r="G5911" s="9">
        <v>1</v>
      </c>
      <c r="H5911" s="257" t="s">
        <v>23927</v>
      </c>
      <c r="I5911" s="9">
        <v>3</v>
      </c>
    </row>
    <row r="5912" spans="1:9">
      <c r="A5912" s="257" t="s">
        <v>7010</v>
      </c>
      <c r="B5912" s="9">
        <v>0</v>
      </c>
      <c r="C5912" s="257" t="s">
        <v>12691</v>
      </c>
      <c r="D5912" s="9">
        <v>0.37994610000000001</v>
      </c>
      <c r="E5912" s="9">
        <v>17258998.467498779</v>
      </c>
      <c r="F5912" s="257" t="s">
        <v>17108</v>
      </c>
      <c r="G5912" s="9">
        <v>1</v>
      </c>
      <c r="H5912" s="257" t="s">
        <v>23928</v>
      </c>
      <c r="I5912" s="9">
        <v>3</v>
      </c>
    </row>
    <row r="5913" spans="1:9">
      <c r="A5913" s="257" t="s">
        <v>7011</v>
      </c>
      <c r="B5913" s="9">
        <v>0</v>
      </c>
      <c r="C5913" s="257" t="s">
        <v>12692</v>
      </c>
      <c r="D5913" s="9">
        <v>0.26103470000000001</v>
      </c>
      <c r="E5913" s="9">
        <v>17258998.467498779</v>
      </c>
      <c r="F5913" s="257" t="s">
        <v>17108</v>
      </c>
      <c r="G5913" s="9">
        <v>1</v>
      </c>
      <c r="H5913" s="257" t="s">
        <v>23929</v>
      </c>
      <c r="I5913" s="9">
        <v>3</v>
      </c>
    </row>
    <row r="5914" spans="1:9">
      <c r="A5914" s="257" t="s">
        <v>7012</v>
      </c>
      <c r="B5914" s="9">
        <v>0</v>
      </c>
      <c r="C5914" s="257" t="s">
        <v>12693</v>
      </c>
      <c r="D5914" s="9">
        <v>0.38378446411110612</v>
      </c>
      <c r="E5914" s="9">
        <v>17258998.467498779</v>
      </c>
      <c r="F5914" s="257" t="s">
        <v>17108</v>
      </c>
      <c r="G5914" s="9">
        <v>1</v>
      </c>
      <c r="H5914" s="257" t="s">
        <v>23930</v>
      </c>
      <c r="I5914" s="9">
        <v>3</v>
      </c>
    </row>
    <row r="5915" spans="1:9">
      <c r="A5915" s="257" t="s">
        <v>7013</v>
      </c>
      <c r="B5915" s="9">
        <v>0</v>
      </c>
      <c r="C5915" s="257" t="s">
        <v>12694</v>
      </c>
      <c r="D5915" s="9">
        <v>0.11353530088362165</v>
      </c>
      <c r="E5915" s="9">
        <v>17258998.467498779</v>
      </c>
      <c r="F5915" s="257" t="s">
        <v>17108</v>
      </c>
      <c r="G5915" s="9">
        <v>1</v>
      </c>
      <c r="H5915" s="257" t="s">
        <v>23930</v>
      </c>
      <c r="I5915" s="9">
        <v>3</v>
      </c>
    </row>
    <row r="5916" spans="1:9">
      <c r="A5916" s="257" t="s">
        <v>7014</v>
      </c>
      <c r="B5916" s="9">
        <v>0</v>
      </c>
      <c r="C5916" s="257" t="s">
        <v>12695</v>
      </c>
      <c r="D5916" s="9">
        <v>4.7039258891505301E-2</v>
      </c>
      <c r="E5916" s="9">
        <v>17258998.467498779</v>
      </c>
      <c r="F5916" s="257" t="s">
        <v>17108</v>
      </c>
      <c r="G5916" s="9">
        <v>1</v>
      </c>
      <c r="H5916" s="257" t="s">
        <v>23930</v>
      </c>
      <c r="I5916" s="9">
        <v>3</v>
      </c>
    </row>
    <row r="5917" spans="1:9">
      <c r="A5917" s="257" t="s">
        <v>7015</v>
      </c>
      <c r="B5917" s="9">
        <v>0</v>
      </c>
      <c r="C5917" s="257" t="s">
        <v>12696</v>
      </c>
      <c r="D5917" s="9">
        <v>0.37896819999999998</v>
      </c>
      <c r="E5917" s="9">
        <v>17258998.467498779</v>
      </c>
      <c r="F5917" s="257" t="s">
        <v>17109</v>
      </c>
      <c r="G5917" s="9">
        <v>1</v>
      </c>
      <c r="H5917" s="257" t="s">
        <v>23931</v>
      </c>
      <c r="I5917" s="9">
        <v>3</v>
      </c>
    </row>
    <row r="5918" spans="1:9">
      <c r="A5918" s="257" t="s">
        <v>7016</v>
      </c>
      <c r="B5918" s="9">
        <v>0</v>
      </c>
      <c r="C5918" s="257" t="s">
        <v>12697</v>
      </c>
      <c r="D5918" s="9">
        <v>0.25955669999999997</v>
      </c>
      <c r="E5918" s="9">
        <v>17258998.467498779</v>
      </c>
      <c r="F5918" s="257" t="s">
        <v>17109</v>
      </c>
      <c r="G5918" s="9">
        <v>1</v>
      </c>
      <c r="H5918" s="257" t="s">
        <v>23932</v>
      </c>
      <c r="I5918" s="9">
        <v>3</v>
      </c>
    </row>
    <row r="5919" spans="1:9">
      <c r="A5919" s="257" t="s">
        <v>7017</v>
      </c>
      <c r="B5919" s="9">
        <v>0</v>
      </c>
      <c r="C5919" s="257" t="s">
        <v>12698</v>
      </c>
      <c r="D5919" s="9">
        <v>0.38381684882540035</v>
      </c>
      <c r="E5919" s="9">
        <v>17258998.467498779</v>
      </c>
      <c r="F5919" s="257" t="s">
        <v>17109</v>
      </c>
      <c r="G5919" s="9">
        <v>1</v>
      </c>
      <c r="H5919" s="257" t="s">
        <v>23933</v>
      </c>
      <c r="I5919" s="9">
        <v>3</v>
      </c>
    </row>
    <row r="5920" spans="1:9">
      <c r="A5920" s="257" t="s">
        <v>7018</v>
      </c>
      <c r="B5920" s="9">
        <v>0</v>
      </c>
      <c r="C5920" s="257" t="s">
        <v>12699</v>
      </c>
      <c r="D5920" s="9">
        <v>0.11367171601551627</v>
      </c>
      <c r="E5920" s="9">
        <v>17258998.467498779</v>
      </c>
      <c r="F5920" s="257" t="s">
        <v>17109</v>
      </c>
      <c r="G5920" s="9">
        <v>1</v>
      </c>
      <c r="H5920" s="257" t="s">
        <v>23933</v>
      </c>
      <c r="I5920" s="9">
        <v>3</v>
      </c>
    </row>
    <row r="5921" spans="1:9">
      <c r="A5921" s="257" t="s">
        <v>7019</v>
      </c>
      <c r="B5921" s="9">
        <v>0</v>
      </c>
      <c r="C5921" s="257" t="s">
        <v>12700</v>
      </c>
      <c r="D5921" s="9">
        <v>4.7087288057786357E-2</v>
      </c>
      <c r="E5921" s="9">
        <v>17258998.467498779</v>
      </c>
      <c r="F5921" s="257" t="s">
        <v>17109</v>
      </c>
      <c r="G5921" s="9">
        <v>1</v>
      </c>
      <c r="H5921" s="257" t="s">
        <v>23933</v>
      </c>
      <c r="I5921" s="9">
        <v>3</v>
      </c>
    </row>
    <row r="5922" spans="1:9">
      <c r="A5922" s="257" t="s">
        <v>7020</v>
      </c>
      <c r="B5922" s="9">
        <v>0</v>
      </c>
      <c r="C5922" s="257" t="s">
        <v>12701</v>
      </c>
      <c r="D5922" s="9">
        <v>0.37998369999999998</v>
      </c>
      <c r="E5922" s="9">
        <v>17258998.467498779</v>
      </c>
      <c r="F5922" s="257" t="s">
        <v>17110</v>
      </c>
      <c r="G5922" s="9">
        <v>1</v>
      </c>
      <c r="H5922" s="257" t="s">
        <v>23934</v>
      </c>
      <c r="I5922" s="9">
        <v>3</v>
      </c>
    </row>
    <row r="5923" spans="1:9">
      <c r="A5923" s="257" t="s">
        <v>7021</v>
      </c>
      <c r="B5923" s="9">
        <v>0</v>
      </c>
      <c r="C5923" s="257" t="s">
        <v>12702</v>
      </c>
      <c r="D5923" s="9">
        <v>0.26107029999999998</v>
      </c>
      <c r="E5923" s="9">
        <v>17258998.467498779</v>
      </c>
      <c r="F5923" s="257" t="s">
        <v>17110</v>
      </c>
      <c r="G5923" s="9">
        <v>1</v>
      </c>
      <c r="H5923" s="257" t="s">
        <v>23935</v>
      </c>
      <c r="I5923" s="9">
        <v>3</v>
      </c>
    </row>
    <row r="5924" spans="1:9">
      <c r="A5924" s="257" t="s">
        <v>7022</v>
      </c>
      <c r="B5924" s="9">
        <v>0</v>
      </c>
      <c r="C5924" s="257" t="s">
        <v>12703</v>
      </c>
      <c r="D5924" s="9">
        <v>0.38205191301336816</v>
      </c>
      <c r="E5924" s="9">
        <v>17258998.467498779</v>
      </c>
      <c r="F5924" s="257" t="s">
        <v>17110</v>
      </c>
      <c r="G5924" s="9">
        <v>1</v>
      </c>
      <c r="H5924" s="257" t="s">
        <v>23936</v>
      </c>
      <c r="I5924" s="9">
        <v>3</v>
      </c>
    </row>
    <row r="5925" spans="1:9">
      <c r="A5925" s="257" t="s">
        <v>7023</v>
      </c>
      <c r="B5925" s="9">
        <v>0</v>
      </c>
      <c r="C5925" s="257" t="s">
        <v>12704</v>
      </c>
      <c r="D5925" s="9">
        <v>0.11297249405163107</v>
      </c>
      <c r="E5925" s="9">
        <v>17258998.467498779</v>
      </c>
      <c r="F5925" s="257" t="s">
        <v>17110</v>
      </c>
      <c r="G5925" s="9">
        <v>1</v>
      </c>
      <c r="H5925" s="257" t="s">
        <v>23936</v>
      </c>
      <c r="I5925" s="9">
        <v>3</v>
      </c>
    </row>
    <row r="5926" spans="1:9">
      <c r="A5926" s="257" t="s">
        <v>7024</v>
      </c>
      <c r="B5926" s="9">
        <v>0</v>
      </c>
      <c r="C5926" s="257" t="s">
        <v>12705</v>
      </c>
      <c r="D5926" s="9">
        <v>4.6771718557884694E-2</v>
      </c>
      <c r="E5926" s="9">
        <v>17258998.467498779</v>
      </c>
      <c r="F5926" s="257" t="s">
        <v>17110</v>
      </c>
      <c r="G5926" s="9">
        <v>1</v>
      </c>
      <c r="H5926" s="257" t="s">
        <v>23936</v>
      </c>
      <c r="I5926" s="9">
        <v>3</v>
      </c>
    </row>
    <row r="5927" spans="1:9">
      <c r="A5927" s="257" t="s">
        <v>7025</v>
      </c>
      <c r="B5927" s="9">
        <v>0</v>
      </c>
      <c r="C5927" s="257" t="s">
        <v>12706</v>
      </c>
      <c r="D5927" s="9">
        <v>0.3798648</v>
      </c>
      <c r="E5927" s="9">
        <v>17258998.467498779</v>
      </c>
      <c r="F5927" s="257" t="s">
        <v>17111</v>
      </c>
      <c r="G5927" s="9">
        <v>1</v>
      </c>
      <c r="H5927" s="257" t="s">
        <v>23937</v>
      </c>
      <c r="I5927" s="9">
        <v>3</v>
      </c>
    </row>
    <row r="5928" spans="1:9">
      <c r="A5928" s="257" t="s">
        <v>7026</v>
      </c>
      <c r="B5928" s="9">
        <v>0</v>
      </c>
      <c r="C5928" s="257" t="s">
        <v>12707</v>
      </c>
      <c r="D5928" s="9">
        <v>0.2606618</v>
      </c>
      <c r="E5928" s="9">
        <v>17258998.467498779</v>
      </c>
      <c r="F5928" s="257" t="s">
        <v>17111</v>
      </c>
      <c r="G5928" s="9">
        <v>1</v>
      </c>
      <c r="H5928" s="257" t="s">
        <v>23938</v>
      </c>
      <c r="I5928" s="9">
        <v>3</v>
      </c>
    </row>
    <row r="5929" spans="1:9">
      <c r="A5929" s="257" t="s">
        <v>7027</v>
      </c>
      <c r="B5929" s="9">
        <v>0</v>
      </c>
      <c r="C5929" s="257" t="s">
        <v>12708</v>
      </c>
      <c r="D5929" s="9">
        <v>0.38266214885988198</v>
      </c>
      <c r="E5929" s="9">
        <v>17258998.467498779</v>
      </c>
      <c r="F5929" s="257" t="s">
        <v>17111</v>
      </c>
      <c r="G5929" s="9">
        <v>1</v>
      </c>
      <c r="H5929" s="257" t="s">
        <v>23939</v>
      </c>
      <c r="I5929" s="9">
        <v>3</v>
      </c>
    </row>
    <row r="5930" spans="1:9">
      <c r="A5930" s="257" t="s">
        <v>7028</v>
      </c>
      <c r="B5930" s="9">
        <v>0</v>
      </c>
      <c r="C5930" s="257" t="s">
        <v>12709</v>
      </c>
      <c r="D5930" s="9">
        <v>0.11326245281096556</v>
      </c>
      <c r="E5930" s="9">
        <v>17258998.467498779</v>
      </c>
      <c r="F5930" s="257" t="s">
        <v>17111</v>
      </c>
      <c r="G5930" s="9">
        <v>1</v>
      </c>
      <c r="H5930" s="257" t="s">
        <v>23939</v>
      </c>
      <c r="I5930" s="9">
        <v>3</v>
      </c>
    </row>
    <row r="5931" spans="1:9">
      <c r="A5931" s="257" t="s">
        <v>7029</v>
      </c>
      <c r="B5931" s="9">
        <v>0</v>
      </c>
      <c r="C5931" s="257" t="s">
        <v>12710</v>
      </c>
      <c r="D5931" s="9">
        <v>4.6964700457474487E-2</v>
      </c>
      <c r="E5931" s="9">
        <v>17258998.467498779</v>
      </c>
      <c r="F5931" s="257" t="s">
        <v>17111</v>
      </c>
      <c r="G5931" s="9">
        <v>1</v>
      </c>
      <c r="H5931" s="257" t="s">
        <v>23939</v>
      </c>
      <c r="I5931" s="9">
        <v>3</v>
      </c>
    </row>
    <row r="5932" spans="1:9">
      <c r="A5932" s="257" t="s">
        <v>7030</v>
      </c>
      <c r="B5932" s="9">
        <v>0</v>
      </c>
      <c r="C5932" s="257" t="s">
        <v>12711</v>
      </c>
      <c r="D5932" s="9">
        <v>0.37890509999999999</v>
      </c>
      <c r="E5932" s="9">
        <v>17258998.467498779</v>
      </c>
      <c r="F5932" s="257" t="s">
        <v>17112</v>
      </c>
      <c r="G5932" s="9">
        <v>1</v>
      </c>
      <c r="H5932" s="257" t="s">
        <v>23940</v>
      </c>
      <c r="I5932" s="9">
        <v>3</v>
      </c>
    </row>
    <row r="5933" spans="1:9">
      <c r="A5933" s="257" t="s">
        <v>7031</v>
      </c>
      <c r="B5933" s="9">
        <v>0</v>
      </c>
      <c r="C5933" s="257" t="s">
        <v>12712</v>
      </c>
      <c r="D5933" s="9">
        <v>0.25948880000000002</v>
      </c>
      <c r="E5933" s="9">
        <v>17258998.467498779</v>
      </c>
      <c r="F5933" s="257" t="s">
        <v>17112</v>
      </c>
      <c r="G5933" s="9">
        <v>1</v>
      </c>
      <c r="H5933" s="257" t="s">
        <v>23941</v>
      </c>
      <c r="I5933" s="9">
        <v>3</v>
      </c>
    </row>
    <row r="5934" spans="1:9">
      <c r="A5934" s="257" t="s">
        <v>7032</v>
      </c>
      <c r="B5934" s="9">
        <v>0</v>
      </c>
      <c r="C5934" s="257" t="s">
        <v>12713</v>
      </c>
      <c r="D5934" s="9">
        <v>0.38671800590627525</v>
      </c>
      <c r="E5934" s="9">
        <v>17258998.467498779</v>
      </c>
      <c r="F5934" s="257" t="s">
        <v>17112</v>
      </c>
      <c r="G5934" s="9">
        <v>1</v>
      </c>
      <c r="H5934" s="257" t="s">
        <v>23942</v>
      </c>
      <c r="I5934" s="9">
        <v>3</v>
      </c>
    </row>
    <row r="5935" spans="1:9">
      <c r="A5935" s="257" t="s">
        <v>7033</v>
      </c>
      <c r="B5935" s="9">
        <v>0</v>
      </c>
      <c r="C5935" s="257" t="s">
        <v>12714</v>
      </c>
      <c r="D5935" s="9">
        <v>0.1144789624086157</v>
      </c>
      <c r="E5935" s="9">
        <v>17258998.467498779</v>
      </c>
      <c r="F5935" s="257" t="s">
        <v>17112</v>
      </c>
      <c r="G5935" s="9">
        <v>1</v>
      </c>
      <c r="H5935" s="257" t="s">
        <v>23942</v>
      </c>
      <c r="I5935" s="9">
        <v>3</v>
      </c>
    </row>
    <row r="5936" spans="1:9">
      <c r="A5936" s="257" t="s">
        <v>7034</v>
      </c>
      <c r="B5936" s="9">
        <v>0</v>
      </c>
      <c r="C5936" s="257" t="s">
        <v>12715</v>
      </c>
      <c r="D5936" s="9">
        <v>4.747346310813047E-2</v>
      </c>
      <c r="E5936" s="9">
        <v>17258998.467498779</v>
      </c>
      <c r="F5936" s="257" t="s">
        <v>17112</v>
      </c>
      <c r="G5936" s="9">
        <v>1</v>
      </c>
      <c r="H5936" s="257" t="s">
        <v>23942</v>
      </c>
      <c r="I5936" s="9">
        <v>3</v>
      </c>
    </row>
    <row r="5937" spans="1:9">
      <c r="A5937" s="257" t="s">
        <v>7035</v>
      </c>
      <c r="B5937" s="9">
        <v>0</v>
      </c>
      <c r="C5937" s="257" t="s">
        <v>12716</v>
      </c>
      <c r="D5937" s="9">
        <v>0.3798434</v>
      </c>
      <c r="E5937" s="9">
        <v>17258998.467498779</v>
      </c>
      <c r="F5937" s="257" t="s">
        <v>17113</v>
      </c>
      <c r="G5937" s="9">
        <v>1</v>
      </c>
      <c r="H5937" s="257" t="s">
        <v>23943</v>
      </c>
      <c r="I5937" s="9">
        <v>3</v>
      </c>
    </row>
    <row r="5938" spans="1:9">
      <c r="A5938" s="257" t="s">
        <v>7036</v>
      </c>
      <c r="B5938" s="9">
        <v>0</v>
      </c>
      <c r="C5938" s="257" t="s">
        <v>12717</v>
      </c>
      <c r="D5938" s="9">
        <v>0.26063520000000001</v>
      </c>
      <c r="E5938" s="9">
        <v>17258998.467498779</v>
      </c>
      <c r="F5938" s="257" t="s">
        <v>17113</v>
      </c>
      <c r="G5938" s="9">
        <v>1</v>
      </c>
      <c r="H5938" s="257" t="s">
        <v>23944</v>
      </c>
      <c r="I5938" s="9">
        <v>3</v>
      </c>
    </row>
    <row r="5939" spans="1:9">
      <c r="A5939" s="257" t="s">
        <v>7037</v>
      </c>
      <c r="B5939" s="9">
        <v>0</v>
      </c>
      <c r="C5939" s="257" t="s">
        <v>12718</v>
      </c>
      <c r="D5939" s="9">
        <v>0.38327150774545521</v>
      </c>
      <c r="E5939" s="9">
        <v>17258998.467498779</v>
      </c>
      <c r="F5939" s="257" t="s">
        <v>17113</v>
      </c>
      <c r="G5939" s="9">
        <v>1</v>
      </c>
      <c r="H5939" s="257" t="s">
        <v>23945</v>
      </c>
      <c r="I5939" s="9">
        <v>3</v>
      </c>
    </row>
    <row r="5940" spans="1:9">
      <c r="A5940" s="257" t="s">
        <v>7038</v>
      </c>
      <c r="B5940" s="9">
        <v>0</v>
      </c>
      <c r="C5940" s="257" t="s">
        <v>12719</v>
      </c>
      <c r="D5940" s="9">
        <v>0.11350111040182841</v>
      </c>
      <c r="E5940" s="9">
        <v>17258998.467498779</v>
      </c>
      <c r="F5940" s="257" t="s">
        <v>17113</v>
      </c>
      <c r="G5940" s="9">
        <v>1</v>
      </c>
      <c r="H5940" s="257" t="s">
        <v>23945</v>
      </c>
      <c r="I5940" s="9">
        <v>3</v>
      </c>
    </row>
    <row r="5941" spans="1:9">
      <c r="A5941" s="257" t="s">
        <v>7039</v>
      </c>
      <c r="B5941" s="9">
        <v>0</v>
      </c>
      <c r="C5941" s="257" t="s">
        <v>12720</v>
      </c>
      <c r="D5941" s="9">
        <v>4.7079856904142348E-2</v>
      </c>
      <c r="E5941" s="9">
        <v>17258998.467498779</v>
      </c>
      <c r="F5941" s="257" t="s">
        <v>17113</v>
      </c>
      <c r="G5941" s="9">
        <v>1</v>
      </c>
      <c r="H5941" s="257" t="s">
        <v>23945</v>
      </c>
      <c r="I5941" s="9">
        <v>3</v>
      </c>
    </row>
    <row r="5942" spans="1:9">
      <c r="A5942" s="257" t="s">
        <v>7040</v>
      </c>
      <c r="B5942" s="9">
        <v>1</v>
      </c>
      <c r="C5942" s="257" t="s">
        <v>12721</v>
      </c>
      <c r="D5942" s="9">
        <v>231369.07879638672</v>
      </c>
      <c r="E5942" s="9">
        <v>1721536.5294189453</v>
      </c>
      <c r="F5942" s="257" t="s">
        <v>17114</v>
      </c>
      <c r="G5942" s="9"/>
      <c r="H5942" s="257" t="s">
        <v>23946</v>
      </c>
      <c r="I5942" s="9">
        <v>4</v>
      </c>
    </row>
    <row r="5943" spans="1:9">
      <c r="A5943" s="257" t="s">
        <v>7041</v>
      </c>
      <c r="B5943" s="9">
        <v>1</v>
      </c>
      <c r="C5943" s="257" t="s">
        <v>12722</v>
      </c>
      <c r="D5943" s="9">
        <v>557510980.12458229</v>
      </c>
      <c r="E5943" s="9">
        <v>1721536.5294189453</v>
      </c>
      <c r="F5943" s="257" t="s">
        <v>17114</v>
      </c>
      <c r="G5943" s="9"/>
      <c r="H5943" s="257" t="s">
        <v>23947</v>
      </c>
      <c r="I5943" s="9">
        <v>4</v>
      </c>
    </row>
    <row r="5944" spans="1:9">
      <c r="A5944" s="257" t="s">
        <v>7042</v>
      </c>
      <c r="B5944" s="9">
        <v>1</v>
      </c>
      <c r="C5944" s="257" t="s">
        <v>12723</v>
      </c>
      <c r="D5944" s="9">
        <v>0.1343968454009388</v>
      </c>
      <c r="E5944" s="9">
        <v>1721536.5294189453</v>
      </c>
      <c r="F5944" s="257" t="s">
        <v>17114</v>
      </c>
      <c r="G5944" s="9"/>
      <c r="H5944" s="257" t="s">
        <v>23948</v>
      </c>
      <c r="I5944" s="9">
        <v>4</v>
      </c>
    </row>
    <row r="5945" spans="1:9">
      <c r="A5945" s="257" t="s">
        <v>7043</v>
      </c>
      <c r="B5945" s="9">
        <v>1</v>
      </c>
      <c r="C5945" s="257" t="s">
        <v>12724</v>
      </c>
      <c r="D5945" s="9">
        <v>323.84498998273011</v>
      </c>
      <c r="E5945" s="9">
        <v>1721536.5294189453</v>
      </c>
      <c r="F5945" s="257" t="s">
        <v>17114</v>
      </c>
      <c r="G5945" s="9"/>
      <c r="H5945" s="257" t="s">
        <v>23949</v>
      </c>
      <c r="I5945" s="9">
        <v>4</v>
      </c>
    </row>
    <row r="5946" spans="1:9">
      <c r="A5946" s="257" t="s">
        <v>7044</v>
      </c>
      <c r="B5946" s="9">
        <v>1</v>
      </c>
      <c r="C5946" s="257" t="s">
        <v>12725</v>
      </c>
      <c r="D5946" s="9">
        <v>0</v>
      </c>
      <c r="E5946" s="9">
        <v>1721536.5294189453</v>
      </c>
      <c r="F5946" s="257" t="s">
        <v>17115</v>
      </c>
      <c r="G5946" s="9"/>
      <c r="H5946" s="257" t="s">
        <v>23950</v>
      </c>
      <c r="I5946" s="9">
        <v>4</v>
      </c>
    </row>
    <row r="5947" spans="1:9">
      <c r="A5947" s="257" t="s">
        <v>7045</v>
      </c>
      <c r="B5947" s="9">
        <v>1</v>
      </c>
      <c r="C5947" s="257" t="s">
        <v>12726</v>
      </c>
      <c r="D5947" s="9">
        <v>0</v>
      </c>
      <c r="E5947" s="9">
        <v>1721536.5294189453</v>
      </c>
      <c r="F5947" s="257" t="s">
        <v>17115</v>
      </c>
      <c r="G5947" s="9"/>
      <c r="H5947" s="257" t="s">
        <v>23951</v>
      </c>
      <c r="I5947" s="9">
        <v>4</v>
      </c>
    </row>
    <row r="5948" spans="1:9">
      <c r="A5948" s="257" t="s">
        <v>7046</v>
      </c>
      <c r="B5948" s="9">
        <v>1</v>
      </c>
      <c r="C5948" s="257" t="s">
        <v>12727</v>
      </c>
      <c r="D5948" s="9">
        <v>0</v>
      </c>
      <c r="E5948" s="9">
        <v>1721536.5294189453</v>
      </c>
      <c r="F5948" s="257" t="s">
        <v>17115</v>
      </c>
      <c r="G5948" s="9"/>
      <c r="H5948" s="257" t="s">
        <v>23952</v>
      </c>
      <c r="I5948" s="9">
        <v>4</v>
      </c>
    </row>
    <row r="5949" spans="1:9">
      <c r="A5949" s="257" t="s">
        <v>7047</v>
      </c>
      <c r="B5949" s="9">
        <v>1</v>
      </c>
      <c r="C5949" s="257" t="s">
        <v>12728</v>
      </c>
      <c r="D5949" s="9">
        <v>0</v>
      </c>
      <c r="E5949" s="9">
        <v>1721536.5294189453</v>
      </c>
      <c r="F5949" s="257" t="s">
        <v>17115</v>
      </c>
      <c r="G5949" s="9"/>
      <c r="H5949" s="257" t="s">
        <v>23953</v>
      </c>
      <c r="I5949" s="9">
        <v>4</v>
      </c>
    </row>
    <row r="5950" spans="1:9">
      <c r="A5950" s="257" t="s">
        <v>7048</v>
      </c>
      <c r="B5950" s="9">
        <v>1</v>
      </c>
      <c r="C5950" s="257" t="s">
        <v>12729</v>
      </c>
      <c r="D5950" s="9">
        <v>287844.57055664063</v>
      </c>
      <c r="E5950" s="9">
        <v>1721536.5294189453</v>
      </c>
      <c r="F5950" s="257" t="s">
        <v>17116</v>
      </c>
      <c r="G5950" s="9"/>
      <c r="H5950" s="257" t="s">
        <v>23954</v>
      </c>
      <c r="I5950" s="9">
        <v>4</v>
      </c>
    </row>
    <row r="5951" spans="1:9">
      <c r="A5951" s="257" t="s">
        <v>7049</v>
      </c>
      <c r="B5951" s="9">
        <v>1</v>
      </c>
      <c r="C5951" s="257" t="s">
        <v>12730</v>
      </c>
      <c r="D5951" s="9">
        <v>40581786.265208587</v>
      </c>
      <c r="E5951" s="9">
        <v>1721536.5294189453</v>
      </c>
      <c r="F5951" s="257" t="s">
        <v>17116</v>
      </c>
      <c r="G5951" s="9"/>
      <c r="H5951" s="257" t="s">
        <v>23955</v>
      </c>
      <c r="I5951" s="9">
        <v>4</v>
      </c>
    </row>
    <row r="5952" spans="1:9">
      <c r="A5952" s="257" t="s">
        <v>7050</v>
      </c>
      <c r="B5952" s="9">
        <v>1</v>
      </c>
      <c r="C5952" s="257" t="s">
        <v>12731</v>
      </c>
      <c r="D5952" s="9">
        <v>0.16720212765615505</v>
      </c>
      <c r="E5952" s="9">
        <v>1721536.5294189453</v>
      </c>
      <c r="F5952" s="257" t="s">
        <v>17116</v>
      </c>
      <c r="G5952" s="9"/>
      <c r="H5952" s="257" t="s">
        <v>23956</v>
      </c>
      <c r="I5952" s="9">
        <v>4</v>
      </c>
    </row>
    <row r="5953" spans="1:9">
      <c r="A5953" s="257" t="s">
        <v>7051</v>
      </c>
      <c r="B5953" s="9">
        <v>1</v>
      </c>
      <c r="C5953" s="257" t="s">
        <v>12732</v>
      </c>
      <c r="D5953" s="9">
        <v>23.573003286143333</v>
      </c>
      <c r="E5953" s="9">
        <v>1721536.5294189453</v>
      </c>
      <c r="F5953" s="257" t="s">
        <v>17116</v>
      </c>
      <c r="G5953" s="9"/>
      <c r="H5953" s="257" t="s">
        <v>23957</v>
      </c>
      <c r="I5953" s="9">
        <v>4</v>
      </c>
    </row>
    <row r="5954" spans="1:9">
      <c r="A5954" s="257" t="s">
        <v>7052</v>
      </c>
      <c r="B5954" s="9">
        <v>1</v>
      </c>
      <c r="C5954" s="257" t="s">
        <v>12733</v>
      </c>
      <c r="D5954" s="9">
        <v>64124.260986328125</v>
      </c>
      <c r="E5954" s="9">
        <v>1721536.5294189453</v>
      </c>
      <c r="F5954" s="257" t="s">
        <v>17117</v>
      </c>
      <c r="G5954" s="9"/>
      <c r="H5954" s="257" t="s">
        <v>23958</v>
      </c>
      <c r="I5954" s="9">
        <v>4</v>
      </c>
    </row>
    <row r="5955" spans="1:9">
      <c r="A5955" s="257" t="s">
        <v>7053</v>
      </c>
      <c r="B5955" s="9">
        <v>1</v>
      </c>
      <c r="C5955" s="257" t="s">
        <v>12734</v>
      </c>
      <c r="D5955" s="9">
        <v>7988325.7338829637</v>
      </c>
      <c r="E5955" s="9">
        <v>1721536.5294189453</v>
      </c>
      <c r="F5955" s="257" t="s">
        <v>17117</v>
      </c>
      <c r="G5955" s="9"/>
      <c r="H5955" s="257" t="s">
        <v>23959</v>
      </c>
      <c r="I5955" s="9">
        <v>4</v>
      </c>
    </row>
    <row r="5956" spans="1:9">
      <c r="A5956" s="257" t="s">
        <v>7054</v>
      </c>
      <c r="B5956" s="9">
        <v>1</v>
      </c>
      <c r="C5956" s="257" t="s">
        <v>12735</v>
      </c>
      <c r="D5956" s="9">
        <v>3.7248272046815883E-2</v>
      </c>
      <c r="E5956" s="9">
        <v>1721536.5294189453</v>
      </c>
      <c r="F5956" s="257" t="s">
        <v>17117</v>
      </c>
      <c r="G5956" s="9"/>
      <c r="H5956" s="257" t="s">
        <v>23960</v>
      </c>
      <c r="I5956" s="9">
        <v>4</v>
      </c>
    </row>
    <row r="5957" spans="1:9">
      <c r="A5957" s="257" t="s">
        <v>7055</v>
      </c>
      <c r="B5957" s="9">
        <v>1</v>
      </c>
      <c r="C5957" s="257" t="s">
        <v>12736</v>
      </c>
      <c r="D5957" s="9">
        <v>4.6402301649557165</v>
      </c>
      <c r="E5957" s="9">
        <v>1721536.5294189453</v>
      </c>
      <c r="F5957" s="257" t="s">
        <v>17117</v>
      </c>
      <c r="G5957" s="9"/>
      <c r="H5957" s="257" t="s">
        <v>23961</v>
      </c>
      <c r="I5957" s="9">
        <v>4</v>
      </c>
    </row>
    <row r="5958" spans="1:9">
      <c r="A5958" s="257" t="s">
        <v>7056</v>
      </c>
      <c r="B5958" s="9">
        <v>1</v>
      </c>
      <c r="C5958" s="257" t="s">
        <v>12737</v>
      </c>
      <c r="D5958" s="9">
        <v>1237780.737487793</v>
      </c>
      <c r="E5958" s="9">
        <v>1721536.5294189453</v>
      </c>
      <c r="F5958" s="257" t="s">
        <v>17118</v>
      </c>
      <c r="G5958" s="9"/>
      <c r="H5958" s="257" t="s">
        <v>23962</v>
      </c>
      <c r="I5958" s="9">
        <v>4</v>
      </c>
    </row>
    <row r="5959" spans="1:9">
      <c r="A5959" s="257" t="s">
        <v>7057</v>
      </c>
      <c r="B5959" s="9">
        <v>1</v>
      </c>
      <c r="C5959" s="257" t="s">
        <v>12738</v>
      </c>
      <c r="D5959" s="9">
        <v>3355728967.8827205</v>
      </c>
      <c r="E5959" s="9">
        <v>1721536.5294189453</v>
      </c>
      <c r="F5959" s="257" t="s">
        <v>17118</v>
      </c>
      <c r="G5959" s="9"/>
      <c r="H5959" s="257" t="s">
        <v>23963</v>
      </c>
      <c r="I5959" s="9">
        <v>4</v>
      </c>
    </row>
    <row r="5960" spans="1:9">
      <c r="A5960" s="257" t="s">
        <v>7058</v>
      </c>
      <c r="B5960" s="9">
        <v>1</v>
      </c>
      <c r="C5960" s="257" t="s">
        <v>12739</v>
      </c>
      <c r="D5960" s="9">
        <v>0.71899766071508797</v>
      </c>
      <c r="E5960" s="9">
        <v>1721536.5294189453</v>
      </c>
      <c r="F5960" s="257" t="s">
        <v>17118</v>
      </c>
      <c r="G5960" s="9"/>
      <c r="H5960" s="257" t="s">
        <v>23964</v>
      </c>
      <c r="I5960" s="9">
        <v>4</v>
      </c>
    </row>
    <row r="5961" spans="1:9">
      <c r="A5961" s="257" t="s">
        <v>7059</v>
      </c>
      <c r="B5961" s="9">
        <v>1</v>
      </c>
      <c r="C5961" s="257" t="s">
        <v>12740</v>
      </c>
      <c r="D5961" s="9">
        <v>1949.263875925624</v>
      </c>
      <c r="E5961" s="9">
        <v>1721536.5294189453</v>
      </c>
      <c r="F5961" s="257" t="s">
        <v>17118</v>
      </c>
      <c r="G5961" s="9"/>
      <c r="H5961" s="257" t="s">
        <v>23965</v>
      </c>
      <c r="I5961" s="9">
        <v>4</v>
      </c>
    </row>
    <row r="5962" spans="1:9">
      <c r="A5962" s="257" t="s">
        <v>7060</v>
      </c>
      <c r="B5962" s="9">
        <v>1</v>
      </c>
      <c r="C5962" s="257" t="s">
        <v>12741</v>
      </c>
      <c r="D5962" s="9">
        <v>114219.11090087891</v>
      </c>
      <c r="E5962" s="9">
        <v>1721536.5294189453</v>
      </c>
      <c r="F5962" s="257" t="s">
        <v>17119</v>
      </c>
      <c r="G5962" s="9"/>
      <c r="H5962" s="257" t="s">
        <v>23966</v>
      </c>
      <c r="I5962" s="9">
        <v>4</v>
      </c>
    </row>
    <row r="5963" spans="1:9">
      <c r="A5963" s="257" t="s">
        <v>7061</v>
      </c>
      <c r="B5963" s="9">
        <v>1</v>
      </c>
      <c r="C5963" s="257" t="s">
        <v>12742</v>
      </c>
      <c r="D5963" s="9">
        <v>1079909039.6310773</v>
      </c>
      <c r="E5963" s="9">
        <v>1721536.5294189453</v>
      </c>
      <c r="F5963" s="257" t="s">
        <v>17119</v>
      </c>
      <c r="G5963" s="9"/>
      <c r="H5963" s="257" t="s">
        <v>23967</v>
      </c>
      <c r="I5963" s="9">
        <v>4</v>
      </c>
    </row>
    <row r="5964" spans="1:9">
      <c r="A5964" s="257" t="s">
        <v>7062</v>
      </c>
      <c r="B5964" s="9">
        <v>1</v>
      </c>
      <c r="C5964" s="257" t="s">
        <v>12743</v>
      </c>
      <c r="D5964" s="9">
        <v>6.6347189820845837E-2</v>
      </c>
      <c r="E5964" s="9">
        <v>1721536.5294189453</v>
      </c>
      <c r="F5964" s="257" t="s">
        <v>17119</v>
      </c>
      <c r="G5964" s="9"/>
      <c r="H5964" s="257" t="s">
        <v>23968</v>
      </c>
      <c r="I5964" s="9">
        <v>4</v>
      </c>
    </row>
    <row r="5965" spans="1:9">
      <c r="A5965" s="257" t="s">
        <v>7063</v>
      </c>
      <c r="B5965" s="9">
        <v>1</v>
      </c>
      <c r="C5965" s="257" t="s">
        <v>12744</v>
      </c>
      <c r="D5965" s="9">
        <v>627.2937118537759</v>
      </c>
      <c r="E5965" s="9">
        <v>1721536.5294189453</v>
      </c>
      <c r="F5965" s="257" t="s">
        <v>17119</v>
      </c>
      <c r="G5965" s="9"/>
      <c r="H5965" s="257" t="s">
        <v>23969</v>
      </c>
      <c r="I5965" s="9">
        <v>4</v>
      </c>
    </row>
    <row r="5966" spans="1:9">
      <c r="A5966" s="257" t="s">
        <v>7064</v>
      </c>
      <c r="B5966" s="9">
        <v>1</v>
      </c>
      <c r="C5966" s="257" t="s">
        <v>12745</v>
      </c>
      <c r="D5966" s="9">
        <v>1380991.6599121094</v>
      </c>
      <c r="E5966" s="9">
        <v>1721536.5294189453</v>
      </c>
      <c r="F5966" s="257" t="s">
        <v>17120</v>
      </c>
      <c r="G5966" s="9"/>
      <c r="H5966" s="257" t="s">
        <v>23970</v>
      </c>
      <c r="I5966" s="9">
        <v>4</v>
      </c>
    </row>
    <row r="5967" spans="1:9">
      <c r="A5967" s="257" t="s">
        <v>7065</v>
      </c>
      <c r="B5967" s="9">
        <v>1</v>
      </c>
      <c r="C5967" s="257" t="s">
        <v>12746</v>
      </c>
      <c r="D5967" s="9">
        <v>4484208119.5128889</v>
      </c>
      <c r="E5967" s="9">
        <v>1721536.5294189453</v>
      </c>
      <c r="F5967" s="257" t="s">
        <v>17120</v>
      </c>
      <c r="G5967" s="9"/>
      <c r="H5967" s="257" t="s">
        <v>23971</v>
      </c>
      <c r="I5967" s="9">
        <v>4</v>
      </c>
    </row>
    <row r="5968" spans="1:9">
      <c r="A5968" s="257" t="s">
        <v>7066</v>
      </c>
      <c r="B5968" s="9">
        <v>1</v>
      </c>
      <c r="C5968" s="257" t="s">
        <v>12747</v>
      </c>
      <c r="D5968" s="9">
        <v>0.80218551062533827</v>
      </c>
      <c r="E5968" s="9">
        <v>1721536.5294189453</v>
      </c>
      <c r="F5968" s="257" t="s">
        <v>17120</v>
      </c>
      <c r="G5968" s="9"/>
      <c r="H5968" s="257" t="s">
        <v>23972</v>
      </c>
      <c r="I5968" s="9">
        <v>4</v>
      </c>
    </row>
    <row r="5969" spans="1:9">
      <c r="A5969" s="257" t="s">
        <v>7067</v>
      </c>
      <c r="B5969" s="9">
        <v>1</v>
      </c>
      <c r="C5969" s="257" t="s">
        <v>12748</v>
      </c>
      <c r="D5969" s="9">
        <v>2604.7708212304988</v>
      </c>
      <c r="E5969" s="9">
        <v>1721536.5294189453</v>
      </c>
      <c r="F5969" s="257" t="s">
        <v>17120</v>
      </c>
      <c r="G5969" s="9"/>
      <c r="H5969" s="257" t="s">
        <v>23973</v>
      </c>
      <c r="I5969" s="9">
        <v>4</v>
      </c>
    </row>
    <row r="5970" spans="1:9">
      <c r="A5970" s="257" t="s">
        <v>7068</v>
      </c>
      <c r="B5970" s="9">
        <v>1</v>
      </c>
      <c r="C5970" s="257" t="s">
        <v>12749</v>
      </c>
      <c r="D5970" s="9">
        <v>1259976.7653198242</v>
      </c>
      <c r="E5970" s="9">
        <v>1721536.5294189453</v>
      </c>
      <c r="F5970" s="257" t="s">
        <v>17121</v>
      </c>
      <c r="G5970" s="9"/>
      <c r="H5970" s="257" t="s">
        <v>23974</v>
      </c>
      <c r="I5970" s="9">
        <v>4</v>
      </c>
    </row>
    <row r="5971" spans="1:9">
      <c r="A5971" s="257" t="s">
        <v>7069</v>
      </c>
      <c r="B5971" s="9">
        <v>1</v>
      </c>
      <c r="C5971" s="257" t="s">
        <v>12750</v>
      </c>
      <c r="D5971" s="9">
        <v>4443626333.2476807</v>
      </c>
      <c r="E5971" s="9">
        <v>1721536.5294189453</v>
      </c>
      <c r="F5971" s="257" t="s">
        <v>17121</v>
      </c>
      <c r="G5971" s="9"/>
      <c r="H5971" s="257" t="s">
        <v>23975</v>
      </c>
      <c r="I5971" s="9">
        <v>4</v>
      </c>
    </row>
    <row r="5972" spans="1:9">
      <c r="A5972" s="257" t="s">
        <v>7070</v>
      </c>
      <c r="B5972" s="9">
        <v>1</v>
      </c>
      <c r="C5972" s="257" t="s">
        <v>12751</v>
      </c>
      <c r="D5972" s="9">
        <v>0.73189081020842051</v>
      </c>
      <c r="E5972" s="9">
        <v>1721536.5294189453</v>
      </c>
      <c r="F5972" s="257" t="s">
        <v>17121</v>
      </c>
      <c r="G5972" s="9"/>
      <c r="H5972" s="257" t="s">
        <v>23976</v>
      </c>
      <c r="I5972" s="9">
        <v>4</v>
      </c>
    </row>
    <row r="5973" spans="1:9">
      <c r="A5973" s="257" t="s">
        <v>7071</v>
      </c>
      <c r="B5973" s="9">
        <v>1</v>
      </c>
      <c r="C5973" s="257" t="s">
        <v>12752</v>
      </c>
      <c r="D5973" s="9">
        <v>2581.1978179443558</v>
      </c>
      <c r="E5973" s="9">
        <v>1721536.5294189453</v>
      </c>
      <c r="F5973" s="257" t="s">
        <v>17121</v>
      </c>
      <c r="G5973" s="9"/>
      <c r="H5973" s="257" t="s">
        <v>23977</v>
      </c>
      <c r="I5973" s="9">
        <v>4</v>
      </c>
    </row>
    <row r="5974" spans="1:9">
      <c r="A5974" s="257" t="s">
        <v>7072</v>
      </c>
      <c r="B5974" s="9">
        <v>1</v>
      </c>
      <c r="C5974" s="257" t="s">
        <v>12753</v>
      </c>
      <c r="D5974" s="9">
        <v>1721536.5294189453</v>
      </c>
      <c r="E5974" s="9">
        <v>1721536.5294189453</v>
      </c>
      <c r="F5974" s="257" t="s">
        <v>17122</v>
      </c>
      <c r="G5974" s="9"/>
      <c r="H5974" s="257" t="s">
        <v>23978</v>
      </c>
      <c r="I5974" s="9">
        <v>4</v>
      </c>
    </row>
    <row r="5975" spans="1:9">
      <c r="A5975" s="257" t="s">
        <v>7073</v>
      </c>
      <c r="B5975" s="9">
        <v>1</v>
      </c>
      <c r="C5975" s="257" t="s">
        <v>12754</v>
      </c>
      <c r="D5975" s="9">
        <v>5800993372.9915352</v>
      </c>
      <c r="E5975" s="9">
        <v>1721536.5294189453</v>
      </c>
      <c r="F5975" s="257" t="s">
        <v>17122</v>
      </c>
      <c r="G5975" s="9"/>
      <c r="H5975" s="257" t="s">
        <v>23979</v>
      </c>
      <c r="I5975" s="9">
        <v>4</v>
      </c>
    </row>
    <row r="5976" spans="1:9">
      <c r="A5976" s="257" t="s">
        <v>7074</v>
      </c>
      <c r="B5976" s="9">
        <v>1</v>
      </c>
      <c r="C5976" s="257" t="s">
        <v>12755</v>
      </c>
      <c r="D5976" s="9">
        <v>1</v>
      </c>
      <c r="E5976" s="9">
        <v>1721536.5294189453</v>
      </c>
      <c r="F5976" s="257" t="s">
        <v>17122</v>
      </c>
      <c r="G5976" s="9"/>
      <c r="H5976" s="257" t="s">
        <v>23980</v>
      </c>
      <c r="I5976" s="9">
        <v>4</v>
      </c>
    </row>
    <row r="5977" spans="1:9">
      <c r="A5977" s="257" t="s">
        <v>7075</v>
      </c>
      <c r="B5977" s="9">
        <v>1</v>
      </c>
      <c r="C5977" s="257" t="s">
        <v>12756</v>
      </c>
      <c r="D5977" s="9">
        <v>3369.66034345463</v>
      </c>
      <c r="E5977" s="9">
        <v>1721536.5294189453</v>
      </c>
      <c r="F5977" s="257" t="s">
        <v>17122</v>
      </c>
      <c r="G5977" s="9"/>
      <c r="H5977" s="257" t="s">
        <v>23981</v>
      </c>
      <c r="I5977" s="9">
        <v>4</v>
      </c>
    </row>
    <row r="5978" spans="1:9">
      <c r="A5978" s="257" t="s">
        <v>7076</v>
      </c>
      <c r="B5978" s="9">
        <v>1</v>
      </c>
      <c r="C5978" s="257" t="s">
        <v>12757</v>
      </c>
      <c r="D5978" s="9">
        <v>1721536.5294189453</v>
      </c>
      <c r="E5978" s="9">
        <v>1721536.5294189453</v>
      </c>
      <c r="F5978" s="257" t="s">
        <v>17123</v>
      </c>
      <c r="G5978" s="9"/>
      <c r="H5978" s="257" t="s">
        <v>23982</v>
      </c>
      <c r="I5978" s="9">
        <v>4</v>
      </c>
    </row>
    <row r="5979" spans="1:9">
      <c r="A5979" s="257" t="s">
        <v>7077</v>
      </c>
      <c r="B5979" s="9">
        <v>1</v>
      </c>
      <c r="C5979" s="257" t="s">
        <v>12758</v>
      </c>
      <c r="D5979" s="9">
        <v>1316785253.4786463</v>
      </c>
      <c r="E5979" s="9">
        <v>1721536.5294189453</v>
      </c>
      <c r="F5979" s="257" t="s">
        <v>17123</v>
      </c>
      <c r="G5979" s="9"/>
      <c r="H5979" s="257" t="s">
        <v>23983</v>
      </c>
      <c r="I5979" s="9">
        <v>4</v>
      </c>
    </row>
    <row r="5980" spans="1:9">
      <c r="A5980" s="257" t="s">
        <v>7078</v>
      </c>
      <c r="B5980" s="9">
        <v>1</v>
      </c>
      <c r="C5980" s="257" t="s">
        <v>12759</v>
      </c>
      <c r="D5980" s="9">
        <v>1</v>
      </c>
      <c r="E5980" s="9">
        <v>1721536.5294189453</v>
      </c>
      <c r="F5980" s="257" t="s">
        <v>17123</v>
      </c>
      <c r="G5980" s="9"/>
      <c r="H5980" s="257" t="s">
        <v>23984</v>
      </c>
      <c r="I5980" s="9">
        <v>4</v>
      </c>
    </row>
    <row r="5981" spans="1:9">
      <c r="A5981" s="257" t="s">
        <v>7079</v>
      </c>
      <c r="B5981" s="9">
        <v>1</v>
      </c>
      <c r="C5981" s="257" t="s">
        <v>12760</v>
      </c>
      <c r="D5981" s="9">
        <v>764.88952222413127</v>
      </c>
      <c r="E5981" s="9">
        <v>1721536.5294189453</v>
      </c>
      <c r="F5981" s="257" t="s">
        <v>17123</v>
      </c>
      <c r="G5981" s="9"/>
      <c r="H5981" s="257" t="s">
        <v>23985</v>
      </c>
      <c r="I5981" s="9">
        <v>4</v>
      </c>
    </row>
    <row r="5982" spans="1:9">
      <c r="A5982" s="257" t="s">
        <v>7080</v>
      </c>
      <c r="B5982" s="9">
        <v>1</v>
      </c>
      <c r="C5982" s="257" t="s">
        <v>12761</v>
      </c>
      <c r="D5982" s="9">
        <v>1721536.5294189453</v>
      </c>
      <c r="E5982" s="9">
        <v>1721536.5294189453</v>
      </c>
      <c r="F5982" s="257" t="s">
        <v>17124</v>
      </c>
      <c r="G5982" s="9"/>
      <c r="H5982" s="257" t="s">
        <v>23986</v>
      </c>
      <c r="I5982" s="9">
        <v>4</v>
      </c>
    </row>
    <row r="5983" spans="1:9">
      <c r="A5983" s="257" t="s">
        <v>7081</v>
      </c>
      <c r="B5983" s="9">
        <v>1</v>
      </c>
      <c r="C5983" s="257" t="s">
        <v>12762</v>
      </c>
      <c r="D5983" s="9">
        <v>1357367039.743855</v>
      </c>
      <c r="E5983" s="9">
        <v>1721536.5294189453</v>
      </c>
      <c r="F5983" s="257" t="s">
        <v>17124</v>
      </c>
      <c r="G5983" s="9"/>
      <c r="H5983" s="257" t="s">
        <v>23987</v>
      </c>
      <c r="I5983" s="9">
        <v>4</v>
      </c>
    </row>
    <row r="5984" spans="1:9">
      <c r="A5984" s="257" t="s">
        <v>7082</v>
      </c>
      <c r="B5984" s="9">
        <v>1</v>
      </c>
      <c r="C5984" s="257" t="s">
        <v>12763</v>
      </c>
      <c r="D5984" s="9">
        <v>1</v>
      </c>
      <c r="E5984" s="9">
        <v>1721536.5294189453</v>
      </c>
      <c r="F5984" s="257" t="s">
        <v>17124</v>
      </c>
      <c r="G5984" s="9"/>
      <c r="H5984" s="257" t="s">
        <v>23988</v>
      </c>
      <c r="I5984" s="9">
        <v>4</v>
      </c>
    </row>
    <row r="5985" spans="1:9">
      <c r="A5985" s="257" t="s">
        <v>7083</v>
      </c>
      <c r="B5985" s="9">
        <v>1</v>
      </c>
      <c r="C5985" s="257" t="s">
        <v>12764</v>
      </c>
      <c r="D5985" s="9">
        <v>788.46252551027476</v>
      </c>
      <c r="E5985" s="9">
        <v>1721536.5294189453</v>
      </c>
      <c r="F5985" s="257" t="s">
        <v>17124</v>
      </c>
      <c r="G5985" s="9"/>
      <c r="H5985" s="257" t="s">
        <v>23989</v>
      </c>
      <c r="I5985" s="9">
        <v>4</v>
      </c>
    </row>
    <row r="5986" spans="1:9">
      <c r="A5986" s="257" t="s">
        <v>7084</v>
      </c>
      <c r="B5986" s="9">
        <v>1</v>
      </c>
      <c r="C5986" s="257" t="s">
        <v>12765</v>
      </c>
      <c r="D5986" s="9">
        <v>1721536.5294189453</v>
      </c>
      <c r="E5986" s="9">
        <v>1721536.5294189453</v>
      </c>
      <c r="F5986" s="257" t="s">
        <v>17125</v>
      </c>
      <c r="G5986" s="9"/>
      <c r="H5986" s="257" t="s">
        <v>23990</v>
      </c>
      <c r="I5986" s="9">
        <v>4</v>
      </c>
    </row>
    <row r="5987" spans="1:9">
      <c r="A5987" s="257" t="s">
        <v>7085</v>
      </c>
      <c r="B5987" s="9">
        <v>1</v>
      </c>
      <c r="C5987" s="257" t="s">
        <v>12766</v>
      </c>
      <c r="D5987" s="9">
        <v>565909604.27923203</v>
      </c>
      <c r="E5987" s="9">
        <v>1721536.5294189453</v>
      </c>
      <c r="F5987" s="257" t="s">
        <v>17125</v>
      </c>
      <c r="G5987" s="9"/>
      <c r="H5987" s="257" t="s">
        <v>23991</v>
      </c>
      <c r="I5987" s="9">
        <v>4</v>
      </c>
    </row>
    <row r="5988" spans="1:9">
      <c r="A5988" s="257" t="s">
        <v>7086</v>
      </c>
      <c r="B5988" s="9">
        <v>1</v>
      </c>
      <c r="C5988" s="257" t="s">
        <v>12767</v>
      </c>
      <c r="D5988" s="9">
        <v>1</v>
      </c>
      <c r="E5988" s="9">
        <v>1721536.5294189453</v>
      </c>
      <c r="F5988" s="257" t="s">
        <v>17125</v>
      </c>
      <c r="G5988" s="9"/>
      <c r="H5988" s="257" t="s">
        <v>23992</v>
      </c>
      <c r="I5988" s="9">
        <v>4</v>
      </c>
    </row>
    <row r="5989" spans="1:9">
      <c r="A5989" s="257" t="s">
        <v>7087</v>
      </c>
      <c r="B5989" s="9">
        <v>1</v>
      </c>
      <c r="C5989" s="257" t="s">
        <v>12768</v>
      </c>
      <c r="D5989" s="9">
        <v>328.72355283116667</v>
      </c>
      <c r="E5989" s="9">
        <v>1721536.5294189453</v>
      </c>
      <c r="F5989" s="257" t="s">
        <v>17125</v>
      </c>
      <c r="G5989" s="9"/>
      <c r="H5989" s="257" t="s">
        <v>23993</v>
      </c>
      <c r="I5989" s="9">
        <v>4</v>
      </c>
    </row>
    <row r="5990" spans="1:9">
      <c r="A5990" s="257" t="s">
        <v>7088</v>
      </c>
      <c r="B5990" s="9">
        <v>1</v>
      </c>
      <c r="C5990" s="257" t="s">
        <v>12769</v>
      </c>
      <c r="D5990" s="9">
        <v>240333.54522705078</v>
      </c>
      <c r="E5990" s="9">
        <v>1721536.5294189453</v>
      </c>
      <c r="F5990" s="257" t="s">
        <v>17126</v>
      </c>
      <c r="G5990" s="9"/>
      <c r="H5990" s="257" t="s">
        <v>23994</v>
      </c>
      <c r="I5990" s="9">
        <v>4</v>
      </c>
    </row>
    <row r="5991" spans="1:9">
      <c r="A5991" s="257" t="s">
        <v>7089</v>
      </c>
      <c r="B5991" s="9">
        <v>1</v>
      </c>
      <c r="C5991" s="257" t="s">
        <v>12770</v>
      </c>
      <c r="D5991" s="9">
        <v>413518893.51263011</v>
      </c>
      <c r="E5991" s="9">
        <v>1721536.5294189453</v>
      </c>
      <c r="F5991" s="257" t="s">
        <v>17126</v>
      </c>
      <c r="G5991" s="9"/>
      <c r="H5991" s="257" t="s">
        <v>23995</v>
      </c>
      <c r="I5991" s="9">
        <v>4</v>
      </c>
    </row>
    <row r="5992" spans="1:9">
      <c r="A5992" s="257" t="s">
        <v>7090</v>
      </c>
      <c r="B5992" s="9">
        <v>1</v>
      </c>
      <c r="C5992" s="257" t="s">
        <v>12771</v>
      </c>
      <c r="D5992" s="9">
        <v>0.13960409269280413</v>
      </c>
      <c r="E5992" s="9">
        <v>1721536.5294189453</v>
      </c>
      <c r="F5992" s="257" t="s">
        <v>17126</v>
      </c>
      <c r="G5992" s="9"/>
      <c r="H5992" s="257" t="s">
        <v>23996</v>
      </c>
      <c r="I5992" s="9">
        <v>4</v>
      </c>
    </row>
    <row r="5993" spans="1:9">
      <c r="A5993" s="257" t="s">
        <v>7091</v>
      </c>
      <c r="B5993" s="9">
        <v>1</v>
      </c>
      <c r="C5993" s="257" t="s">
        <v>12772</v>
      </c>
      <c r="D5993" s="9">
        <v>240.20338020489254</v>
      </c>
      <c r="E5993" s="9">
        <v>1721536.5294189453</v>
      </c>
      <c r="F5993" s="257" t="s">
        <v>17126</v>
      </c>
      <c r="G5993" s="9"/>
      <c r="H5993" s="257" t="s">
        <v>23997</v>
      </c>
      <c r="I5993" s="9">
        <v>4</v>
      </c>
    </row>
    <row r="5994" spans="1:9">
      <c r="A5994" s="257" t="s">
        <v>7092</v>
      </c>
      <c r="B5994" s="9">
        <v>1</v>
      </c>
      <c r="C5994" s="257" t="s">
        <v>12773</v>
      </c>
      <c r="D5994" s="9">
        <v>1721536.5294189453</v>
      </c>
      <c r="E5994" s="9">
        <v>1721536.5294189453</v>
      </c>
      <c r="F5994" s="257" t="s">
        <v>17127</v>
      </c>
      <c r="G5994" s="9"/>
      <c r="H5994" s="257" t="s">
        <v>23998</v>
      </c>
      <c r="I5994" s="9">
        <v>4</v>
      </c>
    </row>
    <row r="5995" spans="1:9">
      <c r="A5995" s="257" t="s">
        <v>7093</v>
      </c>
      <c r="B5995" s="9">
        <v>1</v>
      </c>
      <c r="C5995" s="257" t="s">
        <v>12774</v>
      </c>
      <c r="D5995" s="9">
        <v>1730304146.9912765</v>
      </c>
      <c r="E5995" s="9">
        <v>1721536.5294189453</v>
      </c>
      <c r="F5995" s="257" t="s">
        <v>17127</v>
      </c>
      <c r="G5995" s="9"/>
      <c r="H5995" s="257" t="s">
        <v>23999</v>
      </c>
      <c r="I5995" s="9">
        <v>4</v>
      </c>
    </row>
    <row r="5996" spans="1:9">
      <c r="A5996" s="257" t="s">
        <v>7094</v>
      </c>
      <c r="B5996" s="9">
        <v>1</v>
      </c>
      <c r="C5996" s="257" t="s">
        <v>12775</v>
      </c>
      <c r="D5996" s="9">
        <v>1</v>
      </c>
      <c r="E5996" s="9">
        <v>1721536.5294189453</v>
      </c>
      <c r="F5996" s="257" t="s">
        <v>17127</v>
      </c>
      <c r="G5996" s="9"/>
      <c r="H5996" s="257" t="s">
        <v>24000</v>
      </c>
      <c r="I5996" s="9">
        <v>4</v>
      </c>
    </row>
    <row r="5997" spans="1:9">
      <c r="A5997" s="257" t="s">
        <v>7095</v>
      </c>
      <c r="B5997" s="9">
        <v>1</v>
      </c>
      <c r="C5997" s="257" t="s">
        <v>12776</v>
      </c>
      <c r="D5997" s="9">
        <v>1005.092902429024</v>
      </c>
      <c r="E5997" s="9">
        <v>1721536.5294189453</v>
      </c>
      <c r="F5997" s="257" t="s">
        <v>17127</v>
      </c>
      <c r="G5997" s="9"/>
      <c r="H5997" s="257" t="s">
        <v>24001</v>
      </c>
      <c r="I5997" s="9">
        <v>4</v>
      </c>
    </row>
    <row r="5998" spans="1:9">
      <c r="A5998" s="257" t="s">
        <v>7096</v>
      </c>
      <c r="B5998" s="9">
        <v>1</v>
      </c>
      <c r="C5998" s="257" t="s">
        <v>12777</v>
      </c>
      <c r="D5998" s="9">
        <v>1721536.5294189453</v>
      </c>
      <c r="E5998" s="9">
        <v>1721536.5294189453</v>
      </c>
      <c r="F5998" s="257" t="s">
        <v>17128</v>
      </c>
      <c r="G5998" s="9"/>
      <c r="H5998" s="257" t="s">
        <v>24002</v>
      </c>
      <c r="I5998" s="9">
        <v>4</v>
      </c>
    </row>
    <row r="5999" spans="1:9">
      <c r="A5999" s="257" t="s">
        <v>7097</v>
      </c>
      <c r="B5999" s="9">
        <v>1</v>
      </c>
      <c r="C5999" s="257" t="s">
        <v>12778</v>
      </c>
      <c r="D5999" s="9">
        <v>1770885933.256485</v>
      </c>
      <c r="E5999" s="9">
        <v>1721536.5294189453</v>
      </c>
      <c r="F5999" s="257" t="s">
        <v>17128</v>
      </c>
      <c r="G5999" s="9"/>
      <c r="H5999" s="257" t="s">
        <v>24003</v>
      </c>
      <c r="I5999" s="9">
        <v>4</v>
      </c>
    </row>
    <row r="6000" spans="1:9">
      <c r="A6000" s="257" t="s">
        <v>7098</v>
      </c>
      <c r="B6000" s="9">
        <v>1</v>
      </c>
      <c r="C6000" s="257" t="s">
        <v>12779</v>
      </c>
      <c r="D6000" s="9">
        <v>1</v>
      </c>
      <c r="E6000" s="9">
        <v>1721536.5294189453</v>
      </c>
      <c r="F6000" s="257" t="s">
        <v>17128</v>
      </c>
      <c r="G6000" s="9"/>
      <c r="H6000" s="257" t="s">
        <v>24004</v>
      </c>
      <c r="I6000" s="9">
        <v>4</v>
      </c>
    </row>
    <row r="6001" spans="1:9">
      <c r="A6001" s="257" t="s">
        <v>7099</v>
      </c>
      <c r="B6001" s="9">
        <v>1</v>
      </c>
      <c r="C6001" s="257" t="s">
        <v>12780</v>
      </c>
      <c r="D6001" s="9">
        <v>1028.6659057151671</v>
      </c>
      <c r="E6001" s="9">
        <v>1721536.5294189453</v>
      </c>
      <c r="F6001" s="257" t="s">
        <v>17128</v>
      </c>
      <c r="G6001" s="9"/>
      <c r="H6001" s="257" t="s">
        <v>24005</v>
      </c>
      <c r="I6001" s="9">
        <v>4</v>
      </c>
    </row>
    <row r="6002" spans="1:9">
      <c r="A6002" s="257" t="s">
        <v>7100</v>
      </c>
      <c r="B6002" s="9">
        <v>1</v>
      </c>
      <c r="C6002" s="257" t="s">
        <v>12781</v>
      </c>
      <c r="D6002" s="9">
        <v>285772.10522460938</v>
      </c>
      <c r="E6002" s="9">
        <v>1721536.5294189453</v>
      </c>
      <c r="F6002" s="257" t="s">
        <v>17129</v>
      </c>
      <c r="G6002" s="9"/>
      <c r="H6002" s="257" t="s">
        <v>24006</v>
      </c>
      <c r="I6002" s="9">
        <v>4</v>
      </c>
    </row>
    <row r="6003" spans="1:9">
      <c r="A6003" s="257" t="s">
        <v>7101</v>
      </c>
      <c r="B6003" s="9">
        <v>1</v>
      </c>
      <c r="C6003" s="257" t="s">
        <v>12782</v>
      </c>
      <c r="D6003" s="9">
        <v>597109749.40966177</v>
      </c>
      <c r="E6003" s="9">
        <v>1721536.5294189453</v>
      </c>
      <c r="F6003" s="257" t="s">
        <v>17129</v>
      </c>
      <c r="G6003" s="9"/>
      <c r="H6003" s="257" t="s">
        <v>24007</v>
      </c>
      <c r="I6003" s="9">
        <v>4</v>
      </c>
    </row>
    <row r="6004" spans="1:9">
      <c r="A6004" s="257" t="s">
        <v>7102</v>
      </c>
      <c r="B6004" s="9">
        <v>1</v>
      </c>
      <c r="C6004" s="257" t="s">
        <v>12783</v>
      </c>
      <c r="D6004" s="9">
        <v>0.16599828138474845</v>
      </c>
      <c r="E6004" s="9">
        <v>1721536.5294189453</v>
      </c>
      <c r="F6004" s="257" t="s">
        <v>17129</v>
      </c>
      <c r="G6004" s="9"/>
      <c r="H6004" s="257" t="s">
        <v>24008</v>
      </c>
      <c r="I6004" s="9">
        <v>4</v>
      </c>
    </row>
    <row r="6005" spans="1:9">
      <c r="A6005" s="257" t="s">
        <v>7103</v>
      </c>
      <c r="B6005" s="9">
        <v>1</v>
      </c>
      <c r="C6005" s="257" t="s">
        <v>12784</v>
      </c>
      <c r="D6005" s="9">
        <v>346.84698187101429</v>
      </c>
      <c r="E6005" s="9">
        <v>1721536.5294189453</v>
      </c>
      <c r="F6005" s="257" t="s">
        <v>17129</v>
      </c>
      <c r="G6005" s="9"/>
      <c r="H6005" s="257" t="s">
        <v>24009</v>
      </c>
      <c r="I6005" s="9">
        <v>4</v>
      </c>
    </row>
    <row r="6006" spans="1:9">
      <c r="A6006" s="257" t="s">
        <v>7104</v>
      </c>
      <c r="B6006" s="9">
        <v>1</v>
      </c>
      <c r="C6006" s="257" t="s">
        <v>12785</v>
      </c>
      <c r="D6006" s="9">
        <v>285772.10522460938</v>
      </c>
      <c r="E6006" s="9">
        <v>1721536.5294189453</v>
      </c>
      <c r="F6006" s="257" t="s">
        <v>17130</v>
      </c>
      <c r="G6006" s="9"/>
      <c r="H6006" s="257" t="s">
        <v>24010</v>
      </c>
      <c r="I6006" s="9">
        <v>4</v>
      </c>
    </row>
    <row r="6007" spans="1:9">
      <c r="A6007" s="257" t="s">
        <v>7105</v>
      </c>
      <c r="B6007" s="9">
        <v>1</v>
      </c>
      <c r="C6007" s="257" t="s">
        <v>12786</v>
      </c>
      <c r="D6007" s="9">
        <v>637691535.67487037</v>
      </c>
      <c r="E6007" s="9">
        <v>1721536.5294189453</v>
      </c>
      <c r="F6007" s="257" t="s">
        <v>17130</v>
      </c>
      <c r="G6007" s="9"/>
      <c r="H6007" s="257" t="s">
        <v>24011</v>
      </c>
      <c r="I6007" s="9">
        <v>4</v>
      </c>
    </row>
    <row r="6008" spans="1:9">
      <c r="A6008" s="257" t="s">
        <v>7106</v>
      </c>
      <c r="B6008" s="9">
        <v>1</v>
      </c>
      <c r="C6008" s="257" t="s">
        <v>12787</v>
      </c>
      <c r="D6008" s="9">
        <v>0.16599828138474845</v>
      </c>
      <c r="E6008" s="9">
        <v>1721536.5294189453</v>
      </c>
      <c r="F6008" s="257" t="s">
        <v>17130</v>
      </c>
      <c r="G6008" s="9"/>
      <c r="H6008" s="257" t="s">
        <v>24012</v>
      </c>
      <c r="I6008" s="9">
        <v>4</v>
      </c>
    </row>
    <row r="6009" spans="1:9">
      <c r="A6009" s="257" t="s">
        <v>7107</v>
      </c>
      <c r="B6009" s="9">
        <v>1</v>
      </c>
      <c r="C6009" s="257" t="s">
        <v>12788</v>
      </c>
      <c r="D6009" s="9">
        <v>370.41998515715761</v>
      </c>
      <c r="E6009" s="9">
        <v>1721536.5294189453</v>
      </c>
      <c r="F6009" s="257" t="s">
        <v>17130</v>
      </c>
      <c r="G6009" s="9"/>
      <c r="H6009" s="257" t="s">
        <v>24013</v>
      </c>
      <c r="I6009" s="9">
        <v>4</v>
      </c>
    </row>
    <row r="6010" spans="1:9">
      <c r="A6010" s="257" t="s">
        <v>7108</v>
      </c>
      <c r="B6010" s="9">
        <v>1</v>
      </c>
      <c r="C6010" s="257" t="s">
        <v>12789</v>
      </c>
      <c r="D6010" s="9">
        <v>1721536.5294189453</v>
      </c>
      <c r="E6010" s="9">
        <v>1721536.5294189453</v>
      </c>
      <c r="F6010" s="257" t="s">
        <v>17131</v>
      </c>
      <c r="G6010" s="9"/>
      <c r="H6010" s="257" t="s">
        <v>24014</v>
      </c>
      <c r="I6010" s="9">
        <v>4</v>
      </c>
    </row>
    <row r="6011" spans="1:9">
      <c r="A6011" s="257" t="s">
        <v>7109</v>
      </c>
      <c r="B6011" s="9">
        <v>1</v>
      </c>
      <c r="C6011" s="257" t="s">
        <v>12790</v>
      </c>
      <c r="D6011" s="9">
        <v>719675504.06898451</v>
      </c>
      <c r="E6011" s="9">
        <v>1721536.5294189453</v>
      </c>
      <c r="F6011" s="257" t="s">
        <v>17131</v>
      </c>
      <c r="G6011" s="9"/>
      <c r="H6011" s="257" t="s">
        <v>24015</v>
      </c>
      <c r="I6011" s="9">
        <v>4</v>
      </c>
    </row>
    <row r="6012" spans="1:9">
      <c r="A6012" s="257" t="s">
        <v>7110</v>
      </c>
      <c r="B6012" s="9">
        <v>1</v>
      </c>
      <c r="C6012" s="257" t="s">
        <v>12791</v>
      </c>
      <c r="D6012" s="9">
        <v>1</v>
      </c>
      <c r="E6012" s="9">
        <v>1721536.5294189453</v>
      </c>
      <c r="F6012" s="257" t="s">
        <v>17131</v>
      </c>
      <c r="G6012" s="9"/>
      <c r="H6012" s="257" t="s">
        <v>24016</v>
      </c>
      <c r="I6012" s="9">
        <v>4</v>
      </c>
    </row>
    <row r="6013" spans="1:9">
      <c r="A6013" s="257" t="s">
        <v>7111</v>
      </c>
      <c r="B6013" s="9">
        <v>1</v>
      </c>
      <c r="C6013" s="257" t="s">
        <v>12792</v>
      </c>
      <c r="D6013" s="9">
        <v>418.04254035311703</v>
      </c>
      <c r="E6013" s="9">
        <v>1721536.5294189453</v>
      </c>
      <c r="F6013" s="257" t="s">
        <v>17131</v>
      </c>
      <c r="G6013" s="9"/>
      <c r="H6013" s="257" t="s">
        <v>24017</v>
      </c>
      <c r="I6013" s="9">
        <v>4</v>
      </c>
    </row>
    <row r="6014" spans="1:9">
      <c r="A6014" s="257" t="s">
        <v>7112</v>
      </c>
      <c r="B6014" s="9">
        <v>1</v>
      </c>
      <c r="C6014" s="257" t="s">
        <v>12793</v>
      </c>
      <c r="D6014" s="9">
        <v>1721536.5294189453</v>
      </c>
      <c r="E6014" s="9">
        <v>1721536.5294189453</v>
      </c>
      <c r="F6014" s="257" t="s">
        <v>17132</v>
      </c>
      <c r="G6014" s="9"/>
      <c r="H6014" s="257" t="s">
        <v>24018</v>
      </c>
      <c r="I6014" s="9">
        <v>4</v>
      </c>
    </row>
    <row r="6015" spans="1:9">
      <c r="A6015" s="257" t="s">
        <v>7113</v>
      </c>
      <c r="B6015" s="9">
        <v>1</v>
      </c>
      <c r="C6015" s="257" t="s">
        <v>12794</v>
      </c>
      <c r="D6015" s="9">
        <v>1123420584.4038143</v>
      </c>
      <c r="E6015" s="9">
        <v>1721536.5294189453</v>
      </c>
      <c r="F6015" s="257" t="s">
        <v>17132</v>
      </c>
      <c r="G6015" s="9"/>
      <c r="H6015" s="257" t="s">
        <v>24019</v>
      </c>
      <c r="I6015" s="9">
        <v>4</v>
      </c>
    </row>
    <row r="6016" spans="1:9">
      <c r="A6016" s="257" t="s">
        <v>7114</v>
      </c>
      <c r="B6016" s="9">
        <v>1</v>
      </c>
      <c r="C6016" s="257" t="s">
        <v>12795</v>
      </c>
      <c r="D6016" s="9">
        <v>1</v>
      </c>
      <c r="E6016" s="9">
        <v>1721536.5294189453</v>
      </c>
      <c r="F6016" s="257" t="s">
        <v>17132</v>
      </c>
      <c r="G6016" s="9"/>
      <c r="H6016" s="257" t="s">
        <v>24020</v>
      </c>
      <c r="I6016" s="9">
        <v>4</v>
      </c>
    </row>
    <row r="6017" spans="1:9">
      <c r="A6017" s="257" t="s">
        <v>7115</v>
      </c>
      <c r="B6017" s="9">
        <v>1</v>
      </c>
      <c r="C6017" s="257" t="s">
        <v>12796</v>
      </c>
      <c r="D6017" s="9">
        <v>652.56854281389678</v>
      </c>
      <c r="E6017" s="9">
        <v>1721536.5294189453</v>
      </c>
      <c r="F6017" s="257" t="s">
        <v>17132</v>
      </c>
      <c r="G6017" s="9"/>
      <c r="H6017" s="257" t="s">
        <v>24021</v>
      </c>
      <c r="I6017" s="9">
        <v>4</v>
      </c>
    </row>
    <row r="6018" spans="1:9">
      <c r="A6018" s="257" t="s">
        <v>7116</v>
      </c>
      <c r="B6018" s="9">
        <v>1</v>
      </c>
      <c r="C6018" s="257" t="s">
        <v>12797</v>
      </c>
      <c r="D6018" s="9">
        <v>287844.57055664063</v>
      </c>
      <c r="E6018" s="9">
        <v>1721536.5294189453</v>
      </c>
      <c r="F6018" s="257" t="s">
        <v>17133</v>
      </c>
      <c r="G6018" s="9"/>
      <c r="H6018" s="257" t="s">
        <v>24022</v>
      </c>
      <c r="I6018" s="9">
        <v>4</v>
      </c>
    </row>
    <row r="6019" spans="1:9">
      <c r="A6019" s="257" t="s">
        <v>7117</v>
      </c>
      <c r="B6019" s="9">
        <v>1</v>
      </c>
      <c r="C6019" s="257" t="s">
        <v>12798</v>
      </c>
      <c r="D6019" s="9">
        <v>893670096.39259613</v>
      </c>
      <c r="E6019" s="9">
        <v>1721536.5294189453</v>
      </c>
      <c r="F6019" s="257" t="s">
        <v>17133</v>
      </c>
      <c r="G6019" s="9"/>
      <c r="H6019" s="257" t="s">
        <v>24023</v>
      </c>
      <c r="I6019" s="9">
        <v>4</v>
      </c>
    </row>
    <row r="6020" spans="1:9">
      <c r="A6020" s="257" t="s">
        <v>7118</v>
      </c>
      <c r="B6020" s="9">
        <v>1</v>
      </c>
      <c r="C6020" s="257" t="s">
        <v>12799</v>
      </c>
      <c r="D6020" s="9">
        <v>0.16720212765615505</v>
      </c>
      <c r="E6020" s="9">
        <v>1721536.5294189453</v>
      </c>
      <c r="F6020" s="257" t="s">
        <v>17133</v>
      </c>
      <c r="G6020" s="9"/>
      <c r="H6020" s="257" t="s">
        <v>24024</v>
      </c>
      <c r="I6020" s="9">
        <v>4</v>
      </c>
    </row>
    <row r="6021" spans="1:9">
      <c r="A6021" s="257" t="s">
        <v>7119</v>
      </c>
      <c r="B6021" s="9">
        <v>1</v>
      </c>
      <c r="C6021" s="257" t="s">
        <v>12800</v>
      </c>
      <c r="D6021" s="9">
        <v>519.11189865615484</v>
      </c>
      <c r="E6021" s="9">
        <v>1721536.5294189453</v>
      </c>
      <c r="F6021" s="257" t="s">
        <v>17133</v>
      </c>
      <c r="G6021" s="9"/>
      <c r="H6021" s="257" t="s">
        <v>24025</v>
      </c>
      <c r="I6021" s="9">
        <v>4</v>
      </c>
    </row>
    <row r="6022" spans="1:9">
      <c r="A6022" s="257" t="s">
        <v>7120</v>
      </c>
      <c r="B6022" s="9">
        <v>1</v>
      </c>
      <c r="C6022" s="257" t="s">
        <v>12801</v>
      </c>
      <c r="D6022" s="9">
        <v>0</v>
      </c>
      <c r="E6022" s="9">
        <v>1721536.5294189453</v>
      </c>
      <c r="F6022" s="257" t="s">
        <v>17134</v>
      </c>
      <c r="G6022" s="9"/>
      <c r="H6022" s="257" t="s">
        <v>24026</v>
      </c>
      <c r="I6022" s="9">
        <v>4</v>
      </c>
    </row>
    <row r="6023" spans="1:9">
      <c r="A6023" s="257" t="s">
        <v>7121</v>
      </c>
      <c r="B6023" s="9">
        <v>1</v>
      </c>
      <c r="C6023" s="257" t="s">
        <v>12802</v>
      </c>
      <c r="D6023" s="9">
        <v>-246204747.53992537</v>
      </c>
      <c r="E6023" s="9">
        <v>1721536.5294189453</v>
      </c>
      <c r="F6023" s="257" t="s">
        <v>17134</v>
      </c>
      <c r="G6023" s="9"/>
      <c r="H6023" s="257" t="s">
        <v>24027</v>
      </c>
      <c r="I6023" s="9">
        <v>4</v>
      </c>
    </row>
    <row r="6024" spans="1:9">
      <c r="A6024" s="257" t="s">
        <v>7122</v>
      </c>
      <c r="B6024" s="9">
        <v>1</v>
      </c>
      <c r="C6024" s="257" t="s">
        <v>12803</v>
      </c>
      <c r="D6024" s="9">
        <v>0</v>
      </c>
      <c r="E6024" s="9">
        <v>1721536.5294189453</v>
      </c>
      <c r="F6024" s="257" t="s">
        <v>17134</v>
      </c>
      <c r="G6024" s="9"/>
      <c r="H6024" s="257" t="s">
        <v>24028</v>
      </c>
      <c r="I6024" s="9">
        <v>4</v>
      </c>
    </row>
    <row r="6025" spans="1:9">
      <c r="A6025" s="257" t="s">
        <v>7123</v>
      </c>
      <c r="B6025" s="9">
        <v>1</v>
      </c>
      <c r="C6025" s="257" t="s">
        <v>12804</v>
      </c>
      <c r="D6025" s="9">
        <v>-143.01453575488441</v>
      </c>
      <c r="E6025" s="9">
        <v>1721536.5294189453</v>
      </c>
      <c r="F6025" s="257" t="s">
        <v>17134</v>
      </c>
      <c r="G6025" s="9"/>
      <c r="H6025" s="257" t="s">
        <v>24029</v>
      </c>
      <c r="I6025" s="9">
        <v>4</v>
      </c>
    </row>
    <row r="6026" spans="1:9">
      <c r="A6026" s="257" t="s">
        <v>7124</v>
      </c>
      <c r="B6026" s="9">
        <v>1</v>
      </c>
      <c r="C6026" s="257" t="s">
        <v>12805</v>
      </c>
      <c r="D6026" s="9">
        <v>285772.10522460938</v>
      </c>
      <c r="E6026" s="9">
        <v>1721536.5294189453</v>
      </c>
      <c r="F6026" s="257" t="s">
        <v>17135</v>
      </c>
      <c r="G6026" s="9"/>
      <c r="H6026" s="257" t="s">
        <v>24030</v>
      </c>
      <c r="I6026" s="9">
        <v>4</v>
      </c>
    </row>
    <row r="6027" spans="1:9">
      <c r="A6027" s="257" t="s">
        <v>7125</v>
      </c>
      <c r="B6027" s="9">
        <v>1</v>
      </c>
      <c r="C6027" s="257" t="s">
        <v>12806</v>
      </c>
      <c r="D6027" s="9">
        <v>647465348.85267079</v>
      </c>
      <c r="E6027" s="9">
        <v>1721536.5294189453</v>
      </c>
      <c r="F6027" s="257" t="s">
        <v>17135</v>
      </c>
      <c r="G6027" s="9"/>
      <c r="H6027" s="257" t="s">
        <v>24031</v>
      </c>
      <c r="I6027" s="9">
        <v>4</v>
      </c>
    </row>
    <row r="6028" spans="1:9">
      <c r="A6028" s="257" t="s">
        <v>7126</v>
      </c>
      <c r="B6028" s="9">
        <v>1</v>
      </c>
      <c r="C6028" s="257" t="s">
        <v>12807</v>
      </c>
      <c r="D6028" s="9">
        <v>0.16599828138474845</v>
      </c>
      <c r="E6028" s="9">
        <v>1721536.5294189453</v>
      </c>
      <c r="F6028" s="257" t="s">
        <v>17135</v>
      </c>
      <c r="G6028" s="9"/>
      <c r="H6028" s="257" t="s">
        <v>24032</v>
      </c>
      <c r="I6028" s="9">
        <v>4</v>
      </c>
    </row>
    <row r="6029" spans="1:9">
      <c r="A6029" s="257" t="s">
        <v>7127</v>
      </c>
      <c r="B6029" s="9">
        <v>1</v>
      </c>
      <c r="C6029" s="257" t="s">
        <v>12808</v>
      </c>
      <c r="D6029" s="9">
        <v>376.09736290127046</v>
      </c>
      <c r="E6029" s="9">
        <v>1721536.5294189453</v>
      </c>
      <c r="F6029" s="257" t="s">
        <v>17135</v>
      </c>
      <c r="G6029" s="9"/>
      <c r="H6029" s="257" t="s">
        <v>24033</v>
      </c>
      <c r="I6029" s="9">
        <v>4</v>
      </c>
    </row>
    <row r="6030" spans="1:9">
      <c r="A6030" s="257" t="s">
        <v>7128</v>
      </c>
      <c r="B6030" s="9">
        <v>1</v>
      </c>
      <c r="C6030" s="257" t="s">
        <v>12809</v>
      </c>
      <c r="D6030" s="9">
        <v>13207.776977539063</v>
      </c>
      <c r="E6030" s="9">
        <v>1721536.5294189453</v>
      </c>
      <c r="F6030" s="257" t="s">
        <v>17136</v>
      </c>
      <c r="G6030" s="9"/>
      <c r="H6030" s="257" t="s">
        <v>24034</v>
      </c>
      <c r="I6030" s="9">
        <v>4</v>
      </c>
    </row>
    <row r="6031" spans="1:9">
      <c r="A6031" s="257" t="s">
        <v>7129</v>
      </c>
      <c r="B6031" s="9">
        <v>1</v>
      </c>
      <c r="C6031" s="257" t="s">
        <v>12810</v>
      </c>
      <c r="D6031" s="9">
        <v>9773813.1778003834</v>
      </c>
      <c r="E6031" s="9">
        <v>1721536.5294189453</v>
      </c>
      <c r="F6031" s="257" t="s">
        <v>17136</v>
      </c>
      <c r="G6031" s="9"/>
      <c r="H6031" s="257" t="s">
        <v>24035</v>
      </c>
      <c r="I6031" s="9">
        <v>4</v>
      </c>
    </row>
    <row r="6032" spans="1:9">
      <c r="A6032" s="257" t="s">
        <v>7130</v>
      </c>
      <c r="B6032" s="9">
        <v>1</v>
      </c>
      <c r="C6032" s="257" t="s">
        <v>12811</v>
      </c>
      <c r="D6032" s="9">
        <v>7.6720863901720195E-3</v>
      </c>
      <c r="E6032" s="9">
        <v>1721536.5294189453</v>
      </c>
      <c r="F6032" s="257" t="s">
        <v>17136</v>
      </c>
      <c r="G6032" s="9"/>
      <c r="H6032" s="257" t="s">
        <v>24036</v>
      </c>
      <c r="I6032" s="9">
        <v>4</v>
      </c>
    </row>
    <row r="6033" spans="1:9">
      <c r="A6033" s="257" t="s">
        <v>7131</v>
      </c>
      <c r="B6033" s="9">
        <v>1</v>
      </c>
      <c r="C6033" s="257" t="s">
        <v>12812</v>
      </c>
      <c r="D6033" s="9">
        <v>5.6773777441128424</v>
      </c>
      <c r="E6033" s="9">
        <v>1721536.5294189453</v>
      </c>
      <c r="F6033" s="257" t="s">
        <v>17136</v>
      </c>
      <c r="G6033" s="9"/>
      <c r="H6033" s="257" t="s">
        <v>24037</v>
      </c>
      <c r="I6033" s="9">
        <v>4</v>
      </c>
    </row>
    <row r="6034" spans="1:9">
      <c r="A6034" s="257" t="s">
        <v>7132</v>
      </c>
      <c r="B6034" s="9">
        <v>1</v>
      </c>
      <c r="C6034" s="257" t="s">
        <v>12813</v>
      </c>
      <c r="D6034" s="9">
        <v>231369.07879638672</v>
      </c>
      <c r="E6034" s="9">
        <v>1721536.5294189453</v>
      </c>
      <c r="F6034" s="257" t="s">
        <v>17137</v>
      </c>
      <c r="G6034" s="9"/>
      <c r="H6034" s="257" t="s">
        <v>24038</v>
      </c>
      <c r="I6034" s="9">
        <v>4</v>
      </c>
    </row>
    <row r="6035" spans="1:9">
      <c r="A6035" s="257" t="s">
        <v>7133</v>
      </c>
      <c r="B6035" s="9">
        <v>1</v>
      </c>
      <c r="C6035" s="257" t="s">
        <v>12814</v>
      </c>
      <c r="D6035" s="9">
        <v>403745080.33482975</v>
      </c>
      <c r="E6035" s="9">
        <v>1721536.5294189453</v>
      </c>
      <c r="F6035" s="257" t="s">
        <v>17137</v>
      </c>
      <c r="G6035" s="9"/>
      <c r="H6035" s="257" t="s">
        <v>24039</v>
      </c>
      <c r="I6035" s="9">
        <v>4</v>
      </c>
    </row>
    <row r="6036" spans="1:9">
      <c r="A6036" s="257" t="s">
        <v>7134</v>
      </c>
      <c r="B6036" s="9">
        <v>1</v>
      </c>
      <c r="C6036" s="257" t="s">
        <v>12815</v>
      </c>
      <c r="D6036" s="9">
        <v>0.1343968454009388</v>
      </c>
      <c r="E6036" s="9">
        <v>1721536.5294189453</v>
      </c>
      <c r="F6036" s="257" t="s">
        <v>17137</v>
      </c>
      <c r="G6036" s="9"/>
      <c r="H6036" s="257" t="s">
        <v>24040</v>
      </c>
      <c r="I6036" s="9">
        <v>4</v>
      </c>
    </row>
    <row r="6037" spans="1:9">
      <c r="A6037" s="257" t="s">
        <v>7135</v>
      </c>
      <c r="B6037" s="9">
        <v>1</v>
      </c>
      <c r="C6037" s="257" t="s">
        <v>12816</v>
      </c>
      <c r="D6037" s="9">
        <v>234.52600246077972</v>
      </c>
      <c r="E6037" s="9">
        <v>1721536.5294189453</v>
      </c>
      <c r="F6037" s="257" t="s">
        <v>17137</v>
      </c>
      <c r="G6037" s="9"/>
      <c r="H6037" s="257" t="s">
        <v>24041</v>
      </c>
      <c r="I6037" s="9">
        <v>4</v>
      </c>
    </row>
    <row r="6038" spans="1:9">
      <c r="A6038" s="257" t="s">
        <v>7136</v>
      </c>
      <c r="B6038" s="9">
        <v>1</v>
      </c>
      <c r="C6038" s="257" t="s">
        <v>12817</v>
      </c>
      <c r="D6038" s="9">
        <v>1237780.737487793</v>
      </c>
      <c r="E6038" s="9">
        <v>1721536.5294189453</v>
      </c>
      <c r="F6038" s="257" t="s">
        <v>17138</v>
      </c>
      <c r="G6038" s="9"/>
      <c r="H6038" s="257" t="s">
        <v>24042</v>
      </c>
      <c r="I6038" s="9">
        <v>4</v>
      </c>
    </row>
    <row r="6039" spans="1:9">
      <c r="A6039" s="257" t="s">
        <v>7137</v>
      </c>
      <c r="B6039" s="9">
        <v>1</v>
      </c>
      <c r="C6039" s="257" t="s">
        <v>12818</v>
      </c>
      <c r="D6039" s="9">
        <v>4435638007.5137978</v>
      </c>
      <c r="E6039" s="9">
        <v>1721536.5294189453</v>
      </c>
      <c r="F6039" s="257" t="s">
        <v>17138</v>
      </c>
      <c r="G6039" s="9"/>
      <c r="H6039" s="257" t="s">
        <v>24043</v>
      </c>
      <c r="I6039" s="9">
        <v>4</v>
      </c>
    </row>
    <row r="6040" spans="1:9">
      <c r="A6040" s="257" t="s">
        <v>7138</v>
      </c>
      <c r="B6040" s="9">
        <v>1</v>
      </c>
      <c r="C6040" s="257" t="s">
        <v>12819</v>
      </c>
      <c r="D6040" s="9">
        <v>0.71899766071508797</v>
      </c>
      <c r="E6040" s="9">
        <v>1721536.5294189453</v>
      </c>
      <c r="F6040" s="257" t="s">
        <v>17138</v>
      </c>
      <c r="G6040" s="9"/>
      <c r="H6040" s="257" t="s">
        <v>24044</v>
      </c>
      <c r="I6040" s="9">
        <v>4</v>
      </c>
    </row>
    <row r="6041" spans="1:9">
      <c r="A6041" s="257" t="s">
        <v>7139</v>
      </c>
      <c r="B6041" s="9">
        <v>1</v>
      </c>
      <c r="C6041" s="257" t="s">
        <v>12820</v>
      </c>
      <c r="D6041" s="9">
        <v>2576.5575877793999</v>
      </c>
      <c r="E6041" s="9">
        <v>1721536.5294189453</v>
      </c>
      <c r="F6041" s="257" t="s">
        <v>17138</v>
      </c>
      <c r="G6041" s="9"/>
      <c r="H6041" s="257" t="s">
        <v>24045</v>
      </c>
      <c r="I6041" s="9">
        <v>4</v>
      </c>
    </row>
    <row r="6042" spans="1:9">
      <c r="A6042" s="257" t="s">
        <v>7140</v>
      </c>
      <c r="B6042" s="9">
        <v>2</v>
      </c>
      <c r="C6042" s="257" t="s">
        <v>12821</v>
      </c>
      <c r="D6042" s="9">
        <v>371304.27395629883</v>
      </c>
      <c r="E6042" s="9">
        <v>1728935.5716552734</v>
      </c>
      <c r="F6042" s="257" t="s">
        <v>17139</v>
      </c>
      <c r="G6042" s="9"/>
      <c r="H6042" s="257" t="s">
        <v>24046</v>
      </c>
      <c r="I6042" s="9">
        <v>4</v>
      </c>
    </row>
    <row r="6043" spans="1:9">
      <c r="A6043" s="257" t="s">
        <v>7141</v>
      </c>
      <c r="B6043" s="9">
        <v>2</v>
      </c>
      <c r="C6043" s="257" t="s">
        <v>12822</v>
      </c>
      <c r="D6043" s="9">
        <v>1221506233.8920085</v>
      </c>
      <c r="E6043" s="9">
        <v>1728935.5716552734</v>
      </c>
      <c r="F6043" s="257" t="s">
        <v>17139</v>
      </c>
      <c r="G6043" s="9"/>
      <c r="H6043" s="257" t="s">
        <v>24047</v>
      </c>
      <c r="I6043" s="9">
        <v>4</v>
      </c>
    </row>
    <row r="6044" spans="1:9">
      <c r="A6044" s="257" t="s">
        <v>7142</v>
      </c>
      <c r="B6044" s="9">
        <v>2</v>
      </c>
      <c r="C6044" s="257" t="s">
        <v>12823</v>
      </c>
      <c r="D6044" s="9">
        <v>0.21475888404610366</v>
      </c>
      <c r="E6044" s="9">
        <v>1728935.5716552734</v>
      </c>
      <c r="F6044" s="257" t="s">
        <v>17139</v>
      </c>
      <c r="G6044" s="9"/>
      <c r="H6044" s="257" t="s">
        <v>24048</v>
      </c>
      <c r="I6044" s="9">
        <v>4</v>
      </c>
    </row>
    <row r="6045" spans="1:9">
      <c r="A6045" s="257" t="s">
        <v>7143</v>
      </c>
      <c r="B6045" s="9">
        <v>2</v>
      </c>
      <c r="C6045" s="257" t="s">
        <v>12824</v>
      </c>
      <c r="D6045" s="9">
        <v>706.50766513094823</v>
      </c>
      <c r="E6045" s="9">
        <v>1728935.5716552734</v>
      </c>
      <c r="F6045" s="257" t="s">
        <v>17139</v>
      </c>
      <c r="G6045" s="9"/>
      <c r="H6045" s="257" t="s">
        <v>24049</v>
      </c>
      <c r="I6045" s="9">
        <v>4</v>
      </c>
    </row>
    <row r="6046" spans="1:9">
      <c r="A6046" s="257" t="s">
        <v>7144</v>
      </c>
      <c r="B6046" s="9">
        <v>2</v>
      </c>
      <c r="C6046" s="257" t="s">
        <v>12825</v>
      </c>
      <c r="D6046" s="9">
        <v>0</v>
      </c>
      <c r="E6046" s="9">
        <v>1728935.5716552734</v>
      </c>
      <c r="F6046" s="257" t="s">
        <v>17140</v>
      </c>
      <c r="G6046" s="9"/>
      <c r="H6046" s="257" t="s">
        <v>24050</v>
      </c>
      <c r="I6046" s="9">
        <v>4</v>
      </c>
    </row>
    <row r="6047" spans="1:9">
      <c r="A6047" s="257" t="s">
        <v>7145</v>
      </c>
      <c r="B6047" s="9">
        <v>2</v>
      </c>
      <c r="C6047" s="257" t="s">
        <v>12826</v>
      </c>
      <c r="D6047" s="9">
        <v>0</v>
      </c>
      <c r="E6047" s="9">
        <v>1728935.5716552734</v>
      </c>
      <c r="F6047" s="257" t="s">
        <v>17140</v>
      </c>
      <c r="G6047" s="9"/>
      <c r="H6047" s="257" t="s">
        <v>24051</v>
      </c>
      <c r="I6047" s="9">
        <v>4</v>
      </c>
    </row>
    <row r="6048" spans="1:9">
      <c r="A6048" s="257" t="s">
        <v>7146</v>
      </c>
      <c r="B6048" s="9">
        <v>2</v>
      </c>
      <c r="C6048" s="257" t="s">
        <v>12827</v>
      </c>
      <c r="D6048" s="9">
        <v>0</v>
      </c>
      <c r="E6048" s="9">
        <v>1728935.5716552734</v>
      </c>
      <c r="F6048" s="257" t="s">
        <v>17140</v>
      </c>
      <c r="G6048" s="9"/>
      <c r="H6048" s="257" t="s">
        <v>24052</v>
      </c>
      <c r="I6048" s="9">
        <v>4</v>
      </c>
    </row>
    <row r="6049" spans="1:9">
      <c r="A6049" s="257" t="s">
        <v>7147</v>
      </c>
      <c r="B6049" s="9">
        <v>2</v>
      </c>
      <c r="C6049" s="257" t="s">
        <v>12828</v>
      </c>
      <c r="D6049" s="9">
        <v>0</v>
      </c>
      <c r="E6049" s="9">
        <v>1728935.5716552734</v>
      </c>
      <c r="F6049" s="257" t="s">
        <v>17140</v>
      </c>
      <c r="G6049" s="9"/>
      <c r="H6049" s="257" t="s">
        <v>24053</v>
      </c>
      <c r="I6049" s="9">
        <v>4</v>
      </c>
    </row>
    <row r="6050" spans="1:9">
      <c r="A6050" s="257" t="s">
        <v>7148</v>
      </c>
      <c r="B6050" s="9">
        <v>2</v>
      </c>
      <c r="C6050" s="257" t="s">
        <v>12829</v>
      </c>
      <c r="D6050" s="9">
        <v>460464.61125183105</v>
      </c>
      <c r="E6050" s="9">
        <v>1728935.5716552734</v>
      </c>
      <c r="F6050" s="257" t="s">
        <v>17141</v>
      </c>
      <c r="G6050" s="9"/>
      <c r="H6050" s="257" t="s">
        <v>24054</v>
      </c>
      <c r="I6050" s="9">
        <v>4</v>
      </c>
    </row>
    <row r="6051" spans="1:9">
      <c r="A6051" s="257" t="s">
        <v>7149</v>
      </c>
      <c r="B6051" s="9">
        <v>2</v>
      </c>
      <c r="C6051" s="257" t="s">
        <v>12830</v>
      </c>
      <c r="D6051" s="9">
        <v>76645649.225105882</v>
      </c>
      <c r="E6051" s="9">
        <v>1728935.5716552734</v>
      </c>
      <c r="F6051" s="257" t="s">
        <v>17141</v>
      </c>
      <c r="G6051" s="9"/>
      <c r="H6051" s="257" t="s">
        <v>24055</v>
      </c>
      <c r="I6051" s="9">
        <v>4</v>
      </c>
    </row>
    <row r="6052" spans="1:9">
      <c r="A6052" s="257" t="s">
        <v>7150</v>
      </c>
      <c r="B6052" s="9">
        <v>2</v>
      </c>
      <c r="C6052" s="257" t="s">
        <v>12831</v>
      </c>
      <c r="D6052" s="9">
        <v>0.26632838076839654</v>
      </c>
      <c r="E6052" s="9">
        <v>1728935.5716552734</v>
      </c>
      <c r="F6052" s="257" t="s">
        <v>17141</v>
      </c>
      <c r="G6052" s="9"/>
      <c r="H6052" s="257" t="s">
        <v>24056</v>
      </c>
      <c r="I6052" s="9">
        <v>4</v>
      </c>
    </row>
    <row r="6053" spans="1:9">
      <c r="A6053" s="257" t="s">
        <v>7151</v>
      </c>
      <c r="B6053" s="9">
        <v>2</v>
      </c>
      <c r="C6053" s="257" t="s">
        <v>12832</v>
      </c>
      <c r="D6053" s="9">
        <v>44.331119378685557</v>
      </c>
      <c r="E6053" s="9">
        <v>1728935.5716552734</v>
      </c>
      <c r="F6053" s="257" t="s">
        <v>17141</v>
      </c>
      <c r="G6053" s="9"/>
      <c r="H6053" s="257" t="s">
        <v>24057</v>
      </c>
      <c r="I6053" s="9">
        <v>4</v>
      </c>
    </row>
    <row r="6054" spans="1:9">
      <c r="A6054" s="257" t="s">
        <v>7152</v>
      </c>
      <c r="B6054" s="9">
        <v>2</v>
      </c>
      <c r="C6054" s="257" t="s">
        <v>12833</v>
      </c>
      <c r="D6054" s="9">
        <v>114919.66333007813</v>
      </c>
      <c r="E6054" s="9">
        <v>1728935.5716552734</v>
      </c>
      <c r="F6054" s="257" t="s">
        <v>17142</v>
      </c>
      <c r="G6054" s="9"/>
      <c r="H6054" s="257" t="s">
        <v>24058</v>
      </c>
      <c r="I6054" s="9">
        <v>4</v>
      </c>
    </row>
    <row r="6055" spans="1:9">
      <c r="A6055" s="257" t="s">
        <v>7153</v>
      </c>
      <c r="B6055" s="9">
        <v>2</v>
      </c>
      <c r="C6055" s="257" t="s">
        <v>12834</v>
      </c>
      <c r="D6055" s="9">
        <v>21006543.484324638</v>
      </c>
      <c r="E6055" s="9">
        <v>1728935.5716552734</v>
      </c>
      <c r="F6055" s="257" t="s">
        <v>17142</v>
      </c>
      <c r="G6055" s="9"/>
      <c r="H6055" s="257" t="s">
        <v>24059</v>
      </c>
      <c r="I6055" s="9">
        <v>4</v>
      </c>
    </row>
    <row r="6056" spans="1:9">
      <c r="A6056" s="257" t="s">
        <v>7154</v>
      </c>
      <c r="B6056" s="9">
        <v>2</v>
      </c>
      <c r="C6056" s="257" t="s">
        <v>12835</v>
      </c>
      <c r="D6056" s="9">
        <v>6.6468447531595795E-2</v>
      </c>
      <c r="E6056" s="9">
        <v>1728935.5716552734</v>
      </c>
      <c r="F6056" s="257" t="s">
        <v>17142</v>
      </c>
      <c r="G6056" s="9"/>
      <c r="H6056" s="257" t="s">
        <v>24060</v>
      </c>
      <c r="I6056" s="9">
        <v>4</v>
      </c>
    </row>
    <row r="6057" spans="1:9">
      <c r="A6057" s="257" t="s">
        <v>7155</v>
      </c>
      <c r="B6057" s="9">
        <v>2</v>
      </c>
      <c r="C6057" s="257" t="s">
        <v>12836</v>
      </c>
      <c r="D6057" s="9">
        <v>12.149986285615658</v>
      </c>
      <c r="E6057" s="9">
        <v>1728935.5716552734</v>
      </c>
      <c r="F6057" s="257" t="s">
        <v>17142</v>
      </c>
      <c r="G6057" s="9"/>
      <c r="H6057" s="257" t="s">
        <v>24061</v>
      </c>
      <c r="I6057" s="9">
        <v>4</v>
      </c>
    </row>
    <row r="6058" spans="1:9">
      <c r="A6058" s="257" t="s">
        <v>7156</v>
      </c>
      <c r="B6058" s="9">
        <v>2</v>
      </c>
      <c r="C6058" s="257" t="s">
        <v>12837</v>
      </c>
      <c r="D6058" s="9">
        <v>976110.63868713379</v>
      </c>
      <c r="E6058" s="9">
        <v>1728935.5716552734</v>
      </c>
      <c r="F6058" s="257" t="s">
        <v>17143</v>
      </c>
      <c r="G6058" s="9"/>
      <c r="H6058" s="257" t="s">
        <v>24062</v>
      </c>
      <c r="I6058" s="9">
        <v>4</v>
      </c>
    </row>
    <row r="6059" spans="1:9">
      <c r="A6059" s="257" t="s">
        <v>7157</v>
      </c>
      <c r="B6059" s="9">
        <v>2</v>
      </c>
      <c r="C6059" s="257" t="s">
        <v>12838</v>
      </c>
      <c r="D6059" s="9">
        <v>2815612291.4262843</v>
      </c>
      <c r="E6059" s="9">
        <v>1728935.5716552734</v>
      </c>
      <c r="F6059" s="257" t="s">
        <v>17143</v>
      </c>
      <c r="G6059" s="9"/>
      <c r="H6059" s="257" t="s">
        <v>24063</v>
      </c>
      <c r="I6059" s="9">
        <v>4</v>
      </c>
    </row>
    <row r="6060" spans="1:9">
      <c r="A6060" s="257" t="s">
        <v>7158</v>
      </c>
      <c r="B6060" s="9">
        <v>2</v>
      </c>
      <c r="C6060" s="257" t="s">
        <v>12839</v>
      </c>
      <c r="D6060" s="9">
        <v>0.56457317131407669</v>
      </c>
      <c r="E6060" s="9">
        <v>1728935.5716552734</v>
      </c>
      <c r="F6060" s="257" t="s">
        <v>17143</v>
      </c>
      <c r="G6060" s="9"/>
      <c r="H6060" s="257" t="s">
        <v>24064</v>
      </c>
      <c r="I6060" s="9">
        <v>4</v>
      </c>
    </row>
    <row r="6061" spans="1:9">
      <c r="A6061" s="257" t="s">
        <v>7159</v>
      </c>
      <c r="B6061" s="9">
        <v>2</v>
      </c>
      <c r="C6061" s="257" t="s">
        <v>12840</v>
      </c>
      <c r="D6061" s="9">
        <v>1628.523548006264</v>
      </c>
      <c r="E6061" s="9">
        <v>1728935.5716552734</v>
      </c>
      <c r="F6061" s="257" t="s">
        <v>17143</v>
      </c>
      <c r="G6061" s="9"/>
      <c r="H6061" s="257" t="s">
        <v>24065</v>
      </c>
      <c r="I6061" s="9">
        <v>4</v>
      </c>
    </row>
    <row r="6062" spans="1:9">
      <c r="A6062" s="257" t="s">
        <v>7160</v>
      </c>
      <c r="B6062" s="9">
        <v>2</v>
      </c>
      <c r="C6062" s="257" t="s">
        <v>12841</v>
      </c>
      <c r="D6062" s="9">
        <v>187239.73027038574</v>
      </c>
      <c r="E6062" s="9">
        <v>1728935.5716552734</v>
      </c>
      <c r="F6062" s="257" t="s">
        <v>17144</v>
      </c>
      <c r="G6062" s="9"/>
      <c r="H6062" s="257" t="s">
        <v>24066</v>
      </c>
      <c r="I6062" s="9">
        <v>4</v>
      </c>
    </row>
    <row r="6063" spans="1:9">
      <c r="A6063" s="257" t="s">
        <v>7161</v>
      </c>
      <c r="B6063" s="9">
        <v>2</v>
      </c>
      <c r="C6063" s="257" t="s">
        <v>12842</v>
      </c>
      <c r="D6063" s="9">
        <v>1689432235.8768532</v>
      </c>
      <c r="E6063" s="9">
        <v>1728935.5716552734</v>
      </c>
      <c r="F6063" s="257" t="s">
        <v>17144</v>
      </c>
      <c r="G6063" s="9"/>
      <c r="H6063" s="257" t="s">
        <v>24067</v>
      </c>
      <c r="I6063" s="9">
        <v>4</v>
      </c>
    </row>
    <row r="6064" spans="1:9">
      <c r="A6064" s="257" t="s">
        <v>7162</v>
      </c>
      <c r="B6064" s="9">
        <v>2</v>
      </c>
      <c r="C6064" s="257" t="s">
        <v>12843</v>
      </c>
      <c r="D6064" s="9">
        <v>0.10829769098401015</v>
      </c>
      <c r="E6064" s="9">
        <v>1728935.5716552734</v>
      </c>
      <c r="F6064" s="257" t="s">
        <v>17144</v>
      </c>
      <c r="G6064" s="9"/>
      <c r="H6064" s="257" t="s">
        <v>24068</v>
      </c>
      <c r="I6064" s="9">
        <v>4</v>
      </c>
    </row>
    <row r="6065" spans="1:9">
      <c r="A6065" s="257" t="s">
        <v>7163</v>
      </c>
      <c r="B6065" s="9">
        <v>2</v>
      </c>
      <c r="C6065" s="257" t="s">
        <v>12844</v>
      </c>
      <c r="D6065" s="9">
        <v>977.15164380555836</v>
      </c>
      <c r="E6065" s="9">
        <v>1728935.5716552734</v>
      </c>
      <c r="F6065" s="257" t="s">
        <v>17144</v>
      </c>
      <c r="G6065" s="9"/>
      <c r="H6065" s="257" t="s">
        <v>24069</v>
      </c>
      <c r="I6065" s="9">
        <v>4</v>
      </c>
    </row>
    <row r="6066" spans="1:9">
      <c r="A6066" s="257" t="s">
        <v>7164</v>
      </c>
      <c r="B6066" s="9">
        <v>2</v>
      </c>
      <c r="C6066" s="257" t="s">
        <v>12845</v>
      </c>
      <c r="D6066" s="9">
        <v>1277101.3666992188</v>
      </c>
      <c r="E6066" s="9">
        <v>1728935.5716552734</v>
      </c>
      <c r="F6066" s="257" t="s">
        <v>17145</v>
      </c>
      <c r="G6066" s="9"/>
      <c r="H6066" s="257" t="s">
        <v>24070</v>
      </c>
      <c r="I6066" s="9">
        <v>4</v>
      </c>
    </row>
    <row r="6067" spans="1:9">
      <c r="A6067" s="257" t="s">
        <v>7165</v>
      </c>
      <c r="B6067" s="9">
        <v>2</v>
      </c>
      <c r="C6067" s="257" t="s">
        <v>12846</v>
      </c>
      <c r="D6067" s="9">
        <v>4602696720.0125685</v>
      </c>
      <c r="E6067" s="9">
        <v>1728935.5716552734</v>
      </c>
      <c r="F6067" s="257" t="s">
        <v>17145</v>
      </c>
      <c r="G6067" s="9"/>
      <c r="H6067" s="257" t="s">
        <v>24071</v>
      </c>
      <c r="I6067" s="9">
        <v>4</v>
      </c>
    </row>
    <row r="6068" spans="1:9">
      <c r="A6068" s="257" t="s">
        <v>7166</v>
      </c>
      <c r="B6068" s="9">
        <v>2</v>
      </c>
      <c r="C6068" s="257" t="s">
        <v>12847</v>
      </c>
      <c r="D6068" s="9">
        <v>0.73866336469468841</v>
      </c>
      <c r="E6068" s="9">
        <v>1728935.5716552734</v>
      </c>
      <c r="F6068" s="257" t="s">
        <v>17145</v>
      </c>
      <c r="G6068" s="9"/>
      <c r="H6068" s="257" t="s">
        <v>24072</v>
      </c>
      <c r="I6068" s="9">
        <v>4</v>
      </c>
    </row>
    <row r="6069" spans="1:9">
      <c r="A6069" s="257" t="s">
        <v>7167</v>
      </c>
      <c r="B6069" s="9">
        <v>2</v>
      </c>
      <c r="C6069" s="257" t="s">
        <v>12848</v>
      </c>
      <c r="D6069" s="9">
        <v>2662.1562974761241</v>
      </c>
      <c r="E6069" s="9">
        <v>1728935.5716552734</v>
      </c>
      <c r="F6069" s="257" t="s">
        <v>17145</v>
      </c>
      <c r="G6069" s="9"/>
      <c r="H6069" s="257" t="s">
        <v>24073</v>
      </c>
      <c r="I6069" s="9">
        <v>4</v>
      </c>
    </row>
    <row r="6070" spans="1:9">
      <c r="A6070" s="257" t="s">
        <v>7168</v>
      </c>
      <c r="B6070" s="9">
        <v>2</v>
      </c>
      <c r="C6070" s="257" t="s">
        <v>12849</v>
      </c>
      <c r="D6070" s="9">
        <v>1025346.0157623291</v>
      </c>
      <c r="E6070" s="9">
        <v>1728935.5716552734</v>
      </c>
      <c r="F6070" s="257" t="s">
        <v>17146</v>
      </c>
      <c r="G6070" s="9"/>
      <c r="H6070" s="257" t="s">
        <v>24074</v>
      </c>
      <c r="I6070" s="9">
        <v>4</v>
      </c>
    </row>
    <row r="6071" spans="1:9">
      <c r="A6071" s="257" t="s">
        <v>7169</v>
      </c>
      <c r="B6071" s="9">
        <v>2</v>
      </c>
      <c r="C6071" s="257" t="s">
        <v>12850</v>
      </c>
      <c r="D6071" s="9">
        <v>4526051070.7874622</v>
      </c>
      <c r="E6071" s="9">
        <v>1728935.5716552734</v>
      </c>
      <c r="F6071" s="257" t="s">
        <v>17146</v>
      </c>
      <c r="G6071" s="9"/>
      <c r="H6071" s="257" t="s">
        <v>24075</v>
      </c>
      <c r="I6071" s="9">
        <v>4</v>
      </c>
    </row>
    <row r="6072" spans="1:9">
      <c r="A6072" s="257" t="s">
        <v>7170</v>
      </c>
      <c r="B6072" s="9">
        <v>2</v>
      </c>
      <c r="C6072" s="257" t="s">
        <v>12851</v>
      </c>
      <c r="D6072" s="9">
        <v>0.59305044824814868</v>
      </c>
      <c r="E6072" s="9">
        <v>1728935.5716552734</v>
      </c>
      <c r="F6072" s="257" t="s">
        <v>17146</v>
      </c>
      <c r="G6072" s="9"/>
      <c r="H6072" s="257" t="s">
        <v>24076</v>
      </c>
      <c r="I6072" s="9">
        <v>4</v>
      </c>
    </row>
    <row r="6073" spans="1:9">
      <c r="A6073" s="257" t="s">
        <v>7171</v>
      </c>
      <c r="B6073" s="9">
        <v>2</v>
      </c>
      <c r="C6073" s="257" t="s">
        <v>12852</v>
      </c>
      <c r="D6073" s="9">
        <v>2617.8251780974383</v>
      </c>
      <c r="E6073" s="9">
        <v>1728935.5716552734</v>
      </c>
      <c r="F6073" s="257" t="s">
        <v>17146</v>
      </c>
      <c r="G6073" s="9"/>
      <c r="H6073" s="257" t="s">
        <v>24077</v>
      </c>
      <c r="I6073" s="9">
        <v>4</v>
      </c>
    </row>
    <row r="6074" spans="1:9">
      <c r="A6074" s="257" t="s">
        <v>7172</v>
      </c>
      <c r="B6074" s="9">
        <v>2</v>
      </c>
      <c r="C6074" s="257" t="s">
        <v>12853</v>
      </c>
      <c r="D6074" s="9">
        <v>1728935.5716552734</v>
      </c>
      <c r="E6074" s="9">
        <v>1728935.5716552734</v>
      </c>
      <c r="F6074" s="257" t="s">
        <v>17147</v>
      </c>
      <c r="G6074" s="9"/>
      <c r="H6074" s="257" t="s">
        <v>24078</v>
      </c>
      <c r="I6074" s="9">
        <v>4</v>
      </c>
    </row>
    <row r="6075" spans="1:9">
      <c r="A6075" s="257" t="s">
        <v>7173</v>
      </c>
      <c r="B6075" s="9">
        <v>2</v>
      </c>
      <c r="C6075" s="257" t="s">
        <v>12854</v>
      </c>
      <c r="D6075" s="9">
        <v>7087588837.9742317</v>
      </c>
      <c r="E6075" s="9">
        <v>1728935.5716552734</v>
      </c>
      <c r="F6075" s="257" t="s">
        <v>17147</v>
      </c>
      <c r="G6075" s="9"/>
      <c r="H6075" s="257" t="s">
        <v>24079</v>
      </c>
      <c r="I6075" s="9">
        <v>4</v>
      </c>
    </row>
    <row r="6076" spans="1:9">
      <c r="A6076" s="257" t="s">
        <v>7174</v>
      </c>
      <c r="B6076" s="9">
        <v>2</v>
      </c>
      <c r="C6076" s="257" t="s">
        <v>12855</v>
      </c>
      <c r="D6076" s="9">
        <v>1</v>
      </c>
      <c r="E6076" s="9">
        <v>1728935.5716552734</v>
      </c>
      <c r="F6076" s="257" t="s">
        <v>17147</v>
      </c>
      <c r="G6076" s="9"/>
      <c r="H6076" s="257" t="s">
        <v>24080</v>
      </c>
      <c r="I6076" s="9">
        <v>4</v>
      </c>
    </row>
    <row r="6077" spans="1:9">
      <c r="A6077" s="257" t="s">
        <v>7175</v>
      </c>
      <c r="B6077" s="9">
        <v>2</v>
      </c>
      <c r="C6077" s="257" t="s">
        <v>12856</v>
      </c>
      <c r="D6077" s="9">
        <v>4099.3944217300204</v>
      </c>
      <c r="E6077" s="9">
        <v>1728935.5716552734</v>
      </c>
      <c r="F6077" s="257" t="s">
        <v>17147</v>
      </c>
      <c r="G6077" s="9"/>
      <c r="H6077" s="257" t="s">
        <v>24081</v>
      </c>
      <c r="I6077" s="9">
        <v>4</v>
      </c>
    </row>
    <row r="6078" spans="1:9">
      <c r="A6078" s="257" t="s">
        <v>7176</v>
      </c>
      <c r="B6078" s="9">
        <v>2</v>
      </c>
      <c r="C6078" s="257" t="s">
        <v>12857</v>
      </c>
      <c r="D6078" s="9">
        <v>1728935.5716552734</v>
      </c>
      <c r="E6078" s="9">
        <v>1728935.5716552734</v>
      </c>
      <c r="F6078" s="257" t="s">
        <v>17148</v>
      </c>
      <c r="G6078" s="9"/>
      <c r="H6078" s="257" t="s">
        <v>24082</v>
      </c>
      <c r="I6078" s="9">
        <v>4</v>
      </c>
    </row>
    <row r="6079" spans="1:9">
      <c r="A6079" s="257" t="s">
        <v>7177</v>
      </c>
      <c r="B6079" s="9">
        <v>2</v>
      </c>
      <c r="C6079" s="257" t="s">
        <v>12858</v>
      </c>
      <c r="D6079" s="9">
        <v>2484892117.9616637</v>
      </c>
      <c r="E6079" s="9">
        <v>1728935.5716552734</v>
      </c>
      <c r="F6079" s="257" t="s">
        <v>17148</v>
      </c>
      <c r="G6079" s="9"/>
      <c r="H6079" s="257" t="s">
        <v>24083</v>
      </c>
      <c r="I6079" s="9">
        <v>4</v>
      </c>
    </row>
    <row r="6080" spans="1:9">
      <c r="A6080" s="257" t="s">
        <v>7178</v>
      </c>
      <c r="B6080" s="9">
        <v>2</v>
      </c>
      <c r="C6080" s="257" t="s">
        <v>12859</v>
      </c>
      <c r="D6080" s="9">
        <v>1</v>
      </c>
      <c r="E6080" s="9">
        <v>1728935.5716552734</v>
      </c>
      <c r="F6080" s="257" t="s">
        <v>17148</v>
      </c>
      <c r="G6080" s="9"/>
      <c r="H6080" s="257" t="s">
        <v>24084</v>
      </c>
      <c r="I6080" s="9">
        <v>4</v>
      </c>
    </row>
    <row r="6081" spans="1:9">
      <c r="A6081" s="257" t="s">
        <v>7179</v>
      </c>
      <c r="B6081" s="9">
        <v>2</v>
      </c>
      <c r="C6081" s="257" t="s">
        <v>12860</v>
      </c>
      <c r="D6081" s="9">
        <v>1437.2381242538966</v>
      </c>
      <c r="E6081" s="9">
        <v>1728935.5716552734</v>
      </c>
      <c r="F6081" s="257" t="s">
        <v>17148</v>
      </c>
      <c r="G6081" s="9"/>
      <c r="H6081" s="257" t="s">
        <v>24085</v>
      </c>
      <c r="I6081" s="9">
        <v>4</v>
      </c>
    </row>
    <row r="6082" spans="1:9">
      <c r="A6082" s="257" t="s">
        <v>7180</v>
      </c>
      <c r="B6082" s="9">
        <v>2</v>
      </c>
      <c r="C6082" s="257" t="s">
        <v>12861</v>
      </c>
      <c r="D6082" s="9">
        <v>1728935.5716552734</v>
      </c>
      <c r="E6082" s="9">
        <v>1728935.5716552734</v>
      </c>
      <c r="F6082" s="257" t="s">
        <v>17149</v>
      </c>
      <c r="G6082" s="9"/>
      <c r="H6082" s="257" t="s">
        <v>24086</v>
      </c>
      <c r="I6082" s="9">
        <v>4</v>
      </c>
    </row>
    <row r="6083" spans="1:9">
      <c r="A6083" s="257" t="s">
        <v>7181</v>
      </c>
      <c r="B6083" s="9">
        <v>2</v>
      </c>
      <c r="C6083" s="257" t="s">
        <v>12862</v>
      </c>
      <c r="D6083" s="9">
        <v>2561537767.18677</v>
      </c>
      <c r="E6083" s="9">
        <v>1728935.5716552734</v>
      </c>
      <c r="F6083" s="257" t="s">
        <v>17149</v>
      </c>
      <c r="G6083" s="9"/>
      <c r="H6083" s="257" t="s">
        <v>24087</v>
      </c>
      <c r="I6083" s="9">
        <v>4</v>
      </c>
    </row>
    <row r="6084" spans="1:9">
      <c r="A6084" s="257" t="s">
        <v>7182</v>
      </c>
      <c r="B6084" s="9">
        <v>2</v>
      </c>
      <c r="C6084" s="257" t="s">
        <v>12863</v>
      </c>
      <c r="D6084" s="9">
        <v>1</v>
      </c>
      <c r="E6084" s="9">
        <v>1728935.5716552734</v>
      </c>
      <c r="F6084" s="257" t="s">
        <v>17149</v>
      </c>
      <c r="G6084" s="9"/>
      <c r="H6084" s="257" t="s">
        <v>24088</v>
      </c>
      <c r="I6084" s="9">
        <v>4</v>
      </c>
    </row>
    <row r="6085" spans="1:9">
      <c r="A6085" s="257" t="s">
        <v>7183</v>
      </c>
      <c r="B6085" s="9">
        <v>2</v>
      </c>
      <c r="C6085" s="257" t="s">
        <v>12864</v>
      </c>
      <c r="D6085" s="9">
        <v>1481.5692436325824</v>
      </c>
      <c r="E6085" s="9">
        <v>1728935.5716552734</v>
      </c>
      <c r="F6085" s="257" t="s">
        <v>17149</v>
      </c>
      <c r="G6085" s="9"/>
      <c r="H6085" s="257" t="s">
        <v>24089</v>
      </c>
      <c r="I6085" s="9">
        <v>4</v>
      </c>
    </row>
    <row r="6086" spans="1:9">
      <c r="A6086" s="257" t="s">
        <v>7184</v>
      </c>
      <c r="B6086" s="9">
        <v>2</v>
      </c>
      <c r="C6086" s="257" t="s">
        <v>12865</v>
      </c>
      <c r="D6086" s="9">
        <v>1728935.5716552734</v>
      </c>
      <c r="E6086" s="9">
        <v>1728935.5716552734</v>
      </c>
      <c r="F6086" s="257" t="s">
        <v>17150</v>
      </c>
      <c r="G6086" s="9"/>
      <c r="H6086" s="257" t="s">
        <v>24090</v>
      </c>
      <c r="I6086" s="9">
        <v>4</v>
      </c>
    </row>
    <row r="6087" spans="1:9">
      <c r="A6087" s="257" t="s">
        <v>7185</v>
      </c>
      <c r="B6087" s="9">
        <v>2</v>
      </c>
      <c r="C6087" s="257" t="s">
        <v>12866</v>
      </c>
      <c r="D6087" s="9">
        <v>886579772.77209437</v>
      </c>
      <c r="E6087" s="9">
        <v>1728935.5716552734</v>
      </c>
      <c r="F6087" s="257" t="s">
        <v>17150</v>
      </c>
      <c r="G6087" s="9"/>
      <c r="H6087" s="257" t="s">
        <v>24091</v>
      </c>
      <c r="I6087" s="9">
        <v>4</v>
      </c>
    </row>
    <row r="6088" spans="1:9">
      <c r="A6088" s="257" t="s">
        <v>7186</v>
      </c>
      <c r="B6088" s="9">
        <v>2</v>
      </c>
      <c r="C6088" s="257" t="s">
        <v>12867</v>
      </c>
      <c r="D6088" s="9">
        <v>1</v>
      </c>
      <c r="E6088" s="9">
        <v>1728935.5716552734</v>
      </c>
      <c r="F6088" s="257" t="s">
        <v>17150</v>
      </c>
      <c r="G6088" s="9"/>
      <c r="H6088" s="257" t="s">
        <v>24092</v>
      </c>
      <c r="I6088" s="9">
        <v>4</v>
      </c>
    </row>
    <row r="6089" spans="1:9">
      <c r="A6089" s="257" t="s">
        <v>7187</v>
      </c>
      <c r="B6089" s="9">
        <v>2</v>
      </c>
      <c r="C6089" s="257" t="s">
        <v>12868</v>
      </c>
      <c r="D6089" s="9">
        <v>512.78936433894285</v>
      </c>
      <c r="E6089" s="9">
        <v>1728935.5716552734</v>
      </c>
      <c r="F6089" s="257" t="s">
        <v>17150</v>
      </c>
      <c r="G6089" s="9"/>
      <c r="H6089" s="257" t="s">
        <v>24093</v>
      </c>
      <c r="I6089" s="9">
        <v>4</v>
      </c>
    </row>
    <row r="6090" spans="1:9">
      <c r="A6090" s="257" t="s">
        <v>7188</v>
      </c>
      <c r="B6090" s="9">
        <v>2</v>
      </c>
      <c r="C6090" s="257" t="s">
        <v>12869</v>
      </c>
      <c r="D6090" s="9">
        <v>407549.17483520508</v>
      </c>
      <c r="E6090" s="9">
        <v>1728935.5716552734</v>
      </c>
      <c r="F6090" s="257" t="s">
        <v>17151</v>
      </c>
      <c r="G6090" s="9"/>
      <c r="H6090" s="257" t="s">
        <v>24094</v>
      </c>
      <c r="I6090" s="9">
        <v>4</v>
      </c>
    </row>
    <row r="6091" spans="1:9">
      <c r="A6091" s="257" t="s">
        <v>7189</v>
      </c>
      <c r="B6091" s="9">
        <v>2</v>
      </c>
      <c r="C6091" s="257" t="s">
        <v>12870</v>
      </c>
      <c r="D6091" s="9">
        <v>909008921.40612173</v>
      </c>
      <c r="E6091" s="9">
        <v>1728935.5716552734</v>
      </c>
      <c r="F6091" s="257" t="s">
        <v>17151</v>
      </c>
      <c r="G6091" s="9"/>
      <c r="H6091" s="257" t="s">
        <v>24095</v>
      </c>
      <c r="I6091" s="9">
        <v>4</v>
      </c>
    </row>
    <row r="6092" spans="1:9">
      <c r="A6092" s="257" t="s">
        <v>7190</v>
      </c>
      <c r="B6092" s="9">
        <v>2</v>
      </c>
      <c r="C6092" s="257" t="s">
        <v>12871</v>
      </c>
      <c r="D6092" s="9">
        <v>0.23572259227972256</v>
      </c>
      <c r="E6092" s="9">
        <v>1728935.5716552734</v>
      </c>
      <c r="F6092" s="257" t="s">
        <v>17151</v>
      </c>
      <c r="G6092" s="9"/>
      <c r="H6092" s="257" t="s">
        <v>24096</v>
      </c>
      <c r="I6092" s="9">
        <v>4</v>
      </c>
    </row>
    <row r="6093" spans="1:9">
      <c r="A6093" s="257" t="s">
        <v>7191</v>
      </c>
      <c r="B6093" s="9">
        <v>2</v>
      </c>
      <c r="C6093" s="257" t="s">
        <v>12872</v>
      </c>
      <c r="D6093" s="9">
        <v>525.76217200265103</v>
      </c>
      <c r="E6093" s="9">
        <v>1728935.5716552734</v>
      </c>
      <c r="F6093" s="257" t="s">
        <v>17151</v>
      </c>
      <c r="G6093" s="9"/>
      <c r="H6093" s="257" t="s">
        <v>24097</v>
      </c>
      <c r="I6093" s="9">
        <v>4</v>
      </c>
    </row>
    <row r="6094" spans="1:9">
      <c r="A6094" s="257" t="s">
        <v>7192</v>
      </c>
      <c r="B6094" s="9">
        <v>2</v>
      </c>
      <c r="C6094" s="257" t="s">
        <v>12873</v>
      </c>
      <c r="D6094" s="9">
        <v>1728935.5716552734</v>
      </c>
      <c r="E6094" s="9">
        <v>1728935.5716552734</v>
      </c>
      <c r="F6094" s="257" t="s">
        <v>17152</v>
      </c>
      <c r="G6094" s="9"/>
      <c r="H6094" s="257" t="s">
        <v>24098</v>
      </c>
      <c r="I6094" s="9">
        <v>4</v>
      </c>
    </row>
    <row r="6095" spans="1:9">
      <c r="A6095" s="257" t="s">
        <v>7193</v>
      </c>
      <c r="B6095" s="9">
        <v>2</v>
      </c>
      <c r="C6095" s="257" t="s">
        <v>12874</v>
      </c>
      <c r="D6095" s="9">
        <v>3393901039.3677859</v>
      </c>
      <c r="E6095" s="9">
        <v>1728935.5716552734</v>
      </c>
      <c r="F6095" s="257" t="s">
        <v>17152</v>
      </c>
      <c r="G6095" s="9"/>
      <c r="H6095" s="257" t="s">
        <v>24099</v>
      </c>
      <c r="I6095" s="9">
        <v>4</v>
      </c>
    </row>
    <row r="6096" spans="1:9">
      <c r="A6096" s="257" t="s">
        <v>7194</v>
      </c>
      <c r="B6096" s="9">
        <v>2</v>
      </c>
      <c r="C6096" s="257" t="s">
        <v>12875</v>
      </c>
      <c r="D6096" s="9">
        <v>1</v>
      </c>
      <c r="E6096" s="9">
        <v>1728935.5716552734</v>
      </c>
      <c r="F6096" s="257" t="s">
        <v>17152</v>
      </c>
      <c r="G6096" s="9"/>
      <c r="H6096" s="257" t="s">
        <v>24100</v>
      </c>
      <c r="I6096" s="9">
        <v>4</v>
      </c>
    </row>
    <row r="6097" spans="1:9">
      <c r="A6097" s="257" t="s">
        <v>7195</v>
      </c>
      <c r="B6097" s="9">
        <v>2</v>
      </c>
      <c r="C6097" s="257" t="s">
        <v>12876</v>
      </c>
      <c r="D6097" s="9">
        <v>1963.0002962565479</v>
      </c>
      <c r="E6097" s="9">
        <v>1728935.5716552734</v>
      </c>
      <c r="F6097" s="257" t="s">
        <v>17152</v>
      </c>
      <c r="G6097" s="9"/>
      <c r="H6097" s="257" t="s">
        <v>24101</v>
      </c>
      <c r="I6097" s="9">
        <v>4</v>
      </c>
    </row>
    <row r="6098" spans="1:9">
      <c r="A6098" s="257" t="s">
        <v>7196</v>
      </c>
      <c r="B6098" s="9">
        <v>2</v>
      </c>
      <c r="C6098" s="257" t="s">
        <v>12877</v>
      </c>
      <c r="D6098" s="9">
        <v>1728935.5716552734</v>
      </c>
      <c r="E6098" s="9">
        <v>1728935.5716552734</v>
      </c>
      <c r="F6098" s="257" t="s">
        <v>17153</v>
      </c>
      <c r="G6098" s="9"/>
      <c r="H6098" s="257" t="s">
        <v>24102</v>
      </c>
      <c r="I6098" s="9">
        <v>4</v>
      </c>
    </row>
    <row r="6099" spans="1:9">
      <c r="A6099" s="257" t="s">
        <v>7197</v>
      </c>
      <c r="B6099" s="9">
        <v>2</v>
      </c>
      <c r="C6099" s="257" t="s">
        <v>12878</v>
      </c>
      <c r="D6099" s="9">
        <v>3470546688.5928917</v>
      </c>
      <c r="E6099" s="9">
        <v>1728935.5716552734</v>
      </c>
      <c r="F6099" s="257" t="s">
        <v>17153</v>
      </c>
      <c r="G6099" s="9"/>
      <c r="H6099" s="257" t="s">
        <v>24103</v>
      </c>
      <c r="I6099" s="9">
        <v>4</v>
      </c>
    </row>
    <row r="6100" spans="1:9">
      <c r="A6100" s="257" t="s">
        <v>7198</v>
      </c>
      <c r="B6100" s="9">
        <v>2</v>
      </c>
      <c r="C6100" s="257" t="s">
        <v>12879</v>
      </c>
      <c r="D6100" s="9">
        <v>1</v>
      </c>
      <c r="E6100" s="9">
        <v>1728935.5716552734</v>
      </c>
      <c r="F6100" s="257" t="s">
        <v>17153</v>
      </c>
      <c r="G6100" s="9"/>
      <c r="H6100" s="257" t="s">
        <v>24104</v>
      </c>
      <c r="I6100" s="9">
        <v>4</v>
      </c>
    </row>
    <row r="6101" spans="1:9">
      <c r="A6101" s="257" t="s">
        <v>7199</v>
      </c>
      <c r="B6101" s="9">
        <v>2</v>
      </c>
      <c r="C6101" s="257" t="s">
        <v>12880</v>
      </c>
      <c r="D6101" s="9">
        <v>2007.3314156352335</v>
      </c>
      <c r="E6101" s="9">
        <v>1728935.5716552734</v>
      </c>
      <c r="F6101" s="257" t="s">
        <v>17153</v>
      </c>
      <c r="G6101" s="9"/>
      <c r="H6101" s="257" t="s">
        <v>24105</v>
      </c>
      <c r="I6101" s="9">
        <v>4</v>
      </c>
    </row>
    <row r="6102" spans="1:9">
      <c r="A6102" s="257" t="s">
        <v>7200</v>
      </c>
      <c r="B6102" s="9">
        <v>2</v>
      </c>
      <c r="C6102" s="257" t="s">
        <v>12881</v>
      </c>
      <c r="D6102" s="9">
        <v>460319.74406433105</v>
      </c>
      <c r="E6102" s="9">
        <v>1728935.5716552734</v>
      </c>
      <c r="F6102" s="257" t="s">
        <v>17154</v>
      </c>
      <c r="G6102" s="9"/>
      <c r="H6102" s="257" t="s">
        <v>24106</v>
      </c>
      <c r="I6102" s="9">
        <v>4</v>
      </c>
    </row>
    <row r="6103" spans="1:9">
      <c r="A6103" s="257" t="s">
        <v>7201</v>
      </c>
      <c r="B6103" s="9">
        <v>2</v>
      </c>
      <c r="C6103" s="257" t="s">
        <v>12882</v>
      </c>
      <c r="D6103" s="9">
        <v>1215936986.96979</v>
      </c>
      <c r="E6103" s="9">
        <v>1728935.5716552734</v>
      </c>
      <c r="F6103" s="257" t="s">
        <v>17154</v>
      </c>
      <c r="G6103" s="9"/>
      <c r="H6103" s="257" t="s">
        <v>24107</v>
      </c>
      <c r="I6103" s="9">
        <v>4</v>
      </c>
    </row>
    <row r="6104" spans="1:9">
      <c r="A6104" s="257" t="s">
        <v>7202</v>
      </c>
      <c r="B6104" s="9">
        <v>2</v>
      </c>
      <c r="C6104" s="257" t="s">
        <v>12883</v>
      </c>
      <c r="D6104" s="9">
        <v>0.26624459095582342</v>
      </c>
      <c r="E6104" s="9">
        <v>1728935.5716552734</v>
      </c>
      <c r="F6104" s="257" t="s">
        <v>17154</v>
      </c>
      <c r="G6104" s="9"/>
      <c r="H6104" s="257" t="s">
        <v>24108</v>
      </c>
      <c r="I6104" s="9">
        <v>4</v>
      </c>
    </row>
    <row r="6105" spans="1:9">
      <c r="A6105" s="257" t="s">
        <v>7203</v>
      </c>
      <c r="B6105" s="9">
        <v>2</v>
      </c>
      <c r="C6105" s="257" t="s">
        <v>12884</v>
      </c>
      <c r="D6105" s="9">
        <v>703.28646532829362</v>
      </c>
      <c r="E6105" s="9">
        <v>1728935.5716552734</v>
      </c>
      <c r="F6105" s="257" t="s">
        <v>17154</v>
      </c>
      <c r="G6105" s="9"/>
      <c r="H6105" s="257" t="s">
        <v>24109</v>
      </c>
      <c r="I6105" s="9">
        <v>4</v>
      </c>
    </row>
    <row r="6106" spans="1:9">
      <c r="A6106" s="257" t="s">
        <v>7204</v>
      </c>
      <c r="B6106" s="9">
        <v>2</v>
      </c>
      <c r="C6106" s="257" t="s">
        <v>12885</v>
      </c>
      <c r="D6106" s="9">
        <v>460319.74406433105</v>
      </c>
      <c r="E6106" s="9">
        <v>1728935.5716552734</v>
      </c>
      <c r="F6106" s="257" t="s">
        <v>17155</v>
      </c>
      <c r="G6106" s="9"/>
      <c r="H6106" s="257" t="s">
        <v>24110</v>
      </c>
      <c r="I6106" s="9">
        <v>4</v>
      </c>
    </row>
    <row r="6107" spans="1:9">
      <c r="A6107" s="257" t="s">
        <v>7205</v>
      </c>
      <c r="B6107" s="9">
        <v>2</v>
      </c>
      <c r="C6107" s="257" t="s">
        <v>12886</v>
      </c>
      <c r="D6107" s="9">
        <v>1292582636.1948957</v>
      </c>
      <c r="E6107" s="9">
        <v>1728935.5716552734</v>
      </c>
      <c r="F6107" s="257" t="s">
        <v>17155</v>
      </c>
      <c r="G6107" s="9"/>
      <c r="H6107" s="257" t="s">
        <v>24111</v>
      </c>
      <c r="I6107" s="9">
        <v>4</v>
      </c>
    </row>
    <row r="6108" spans="1:9">
      <c r="A6108" s="257" t="s">
        <v>7206</v>
      </c>
      <c r="B6108" s="9">
        <v>2</v>
      </c>
      <c r="C6108" s="257" t="s">
        <v>12887</v>
      </c>
      <c r="D6108" s="9">
        <v>0.26624459095582342</v>
      </c>
      <c r="E6108" s="9">
        <v>1728935.5716552734</v>
      </c>
      <c r="F6108" s="257" t="s">
        <v>17155</v>
      </c>
      <c r="G6108" s="9"/>
      <c r="H6108" s="257" t="s">
        <v>24112</v>
      </c>
      <c r="I6108" s="9">
        <v>4</v>
      </c>
    </row>
    <row r="6109" spans="1:9">
      <c r="A6109" s="257" t="s">
        <v>7207</v>
      </c>
      <c r="B6109" s="9">
        <v>2</v>
      </c>
      <c r="C6109" s="257" t="s">
        <v>12888</v>
      </c>
      <c r="D6109" s="9">
        <v>747.61758470697907</v>
      </c>
      <c r="E6109" s="9">
        <v>1728935.5716552734</v>
      </c>
      <c r="F6109" s="257" t="s">
        <v>17155</v>
      </c>
      <c r="G6109" s="9"/>
      <c r="H6109" s="257" t="s">
        <v>24113</v>
      </c>
      <c r="I6109" s="9">
        <v>4</v>
      </c>
    </row>
    <row r="6110" spans="1:9">
      <c r="A6110" s="257" t="s">
        <v>7208</v>
      </c>
      <c r="B6110" s="9">
        <v>2</v>
      </c>
      <c r="C6110" s="257" t="s">
        <v>12889</v>
      </c>
      <c r="D6110" s="9">
        <v>1728935.5716552734</v>
      </c>
      <c r="E6110" s="9">
        <v>1728935.5716552734</v>
      </c>
      <c r="F6110" s="257" t="s">
        <v>17156</v>
      </c>
      <c r="G6110" s="9"/>
      <c r="H6110" s="257" t="s">
        <v>24114</v>
      </c>
      <c r="I6110" s="9">
        <v>4</v>
      </c>
    </row>
    <row r="6111" spans="1:9">
      <c r="A6111" s="257" t="s">
        <v>7209</v>
      </c>
      <c r="B6111" s="9">
        <v>2</v>
      </c>
      <c r="C6111" s="257" t="s">
        <v>12890</v>
      </c>
      <c r="D6111" s="9">
        <v>1268955130.991874</v>
      </c>
      <c r="E6111" s="9">
        <v>1728935.5716552734</v>
      </c>
      <c r="F6111" s="257" t="s">
        <v>17156</v>
      </c>
      <c r="G6111" s="9"/>
      <c r="H6111" s="257" t="s">
        <v>24115</v>
      </c>
      <c r="I6111" s="9">
        <v>4</v>
      </c>
    </row>
    <row r="6112" spans="1:9">
      <c r="A6112" s="257" t="s">
        <v>7210</v>
      </c>
      <c r="B6112" s="9">
        <v>2</v>
      </c>
      <c r="C6112" s="257" t="s">
        <v>12891</v>
      </c>
      <c r="D6112" s="9">
        <v>1</v>
      </c>
      <c r="E6112" s="9">
        <v>1728935.5716552734</v>
      </c>
      <c r="F6112" s="257" t="s">
        <v>17156</v>
      </c>
      <c r="G6112" s="9"/>
      <c r="H6112" s="257" t="s">
        <v>24116</v>
      </c>
      <c r="I6112" s="9">
        <v>4</v>
      </c>
    </row>
    <row r="6113" spans="1:9">
      <c r="A6113" s="257" t="s">
        <v>7211</v>
      </c>
      <c r="B6113" s="9">
        <v>2</v>
      </c>
      <c r="C6113" s="257" t="s">
        <v>12892</v>
      </c>
      <c r="D6113" s="9">
        <v>733.95165892560317</v>
      </c>
      <c r="E6113" s="9">
        <v>1728935.5716552734</v>
      </c>
      <c r="F6113" s="257" t="s">
        <v>17156</v>
      </c>
      <c r="G6113" s="9"/>
      <c r="H6113" s="257" t="s">
        <v>24117</v>
      </c>
      <c r="I6113" s="9">
        <v>4</v>
      </c>
    </row>
    <row r="6114" spans="1:9">
      <c r="A6114" s="257" t="s">
        <v>7212</v>
      </c>
      <c r="B6114" s="9">
        <v>2</v>
      </c>
      <c r="C6114" s="257" t="s">
        <v>12893</v>
      </c>
      <c r="D6114" s="9">
        <v>1728935.5716552734</v>
      </c>
      <c r="E6114" s="9">
        <v>1728935.5716552734</v>
      </c>
      <c r="F6114" s="257" t="s">
        <v>17157</v>
      </c>
      <c r="G6114" s="9"/>
      <c r="H6114" s="257" t="s">
        <v>24118</v>
      </c>
      <c r="I6114" s="9">
        <v>4</v>
      </c>
    </row>
    <row r="6115" spans="1:9">
      <c r="A6115" s="257" t="s">
        <v>7213</v>
      </c>
      <c r="B6115" s="9">
        <v>2</v>
      </c>
      <c r="C6115" s="257" t="s">
        <v>12894</v>
      </c>
      <c r="D6115" s="9">
        <v>2108086006.664103</v>
      </c>
      <c r="E6115" s="9">
        <v>1728935.5716552734</v>
      </c>
      <c r="F6115" s="257" t="s">
        <v>17157</v>
      </c>
      <c r="G6115" s="9"/>
      <c r="H6115" s="257" t="s">
        <v>24119</v>
      </c>
      <c r="I6115" s="9">
        <v>4</v>
      </c>
    </row>
    <row r="6116" spans="1:9">
      <c r="A6116" s="257" t="s">
        <v>7214</v>
      </c>
      <c r="B6116" s="9">
        <v>2</v>
      </c>
      <c r="C6116" s="257" t="s">
        <v>12895</v>
      </c>
      <c r="D6116" s="9">
        <v>1</v>
      </c>
      <c r="E6116" s="9">
        <v>1728935.5716552734</v>
      </c>
      <c r="F6116" s="257" t="s">
        <v>17157</v>
      </c>
      <c r="G6116" s="9"/>
      <c r="H6116" s="257" t="s">
        <v>24120</v>
      </c>
      <c r="I6116" s="9">
        <v>4</v>
      </c>
    </row>
    <row r="6117" spans="1:9">
      <c r="A6117" s="257" t="s">
        <v>7215</v>
      </c>
      <c r="B6117" s="9">
        <v>2</v>
      </c>
      <c r="C6117" s="257" t="s">
        <v>12896</v>
      </c>
      <c r="D6117" s="9">
        <v>1219.2970294698912</v>
      </c>
      <c r="E6117" s="9">
        <v>1728935.5716552734</v>
      </c>
      <c r="F6117" s="257" t="s">
        <v>17157</v>
      </c>
      <c r="G6117" s="9"/>
      <c r="H6117" s="257" t="s">
        <v>24121</v>
      </c>
      <c r="I6117" s="9">
        <v>4</v>
      </c>
    </row>
    <row r="6118" spans="1:9">
      <c r="A6118" s="257" t="s">
        <v>7216</v>
      </c>
      <c r="B6118" s="9">
        <v>2</v>
      </c>
      <c r="C6118" s="257" t="s">
        <v>12897</v>
      </c>
      <c r="D6118" s="9">
        <v>462838.70304870605</v>
      </c>
      <c r="E6118" s="9">
        <v>1728935.5716552734</v>
      </c>
      <c r="F6118" s="257" t="s">
        <v>17158</v>
      </c>
      <c r="G6118" s="9"/>
      <c r="H6118" s="257" t="s">
        <v>24122</v>
      </c>
      <c r="I6118" s="9">
        <v>4</v>
      </c>
    </row>
    <row r="6119" spans="1:9">
      <c r="A6119" s="257" t="s">
        <v>7217</v>
      </c>
      <c r="B6119" s="9">
        <v>2</v>
      </c>
      <c r="C6119" s="257" t="s">
        <v>12898</v>
      </c>
      <c r="D6119" s="9">
        <v>1744804105.1406186</v>
      </c>
      <c r="E6119" s="9">
        <v>1728935.5716552734</v>
      </c>
      <c r="F6119" s="257" t="s">
        <v>17158</v>
      </c>
      <c r="G6119" s="9"/>
      <c r="H6119" s="257" t="s">
        <v>24123</v>
      </c>
      <c r="I6119" s="9">
        <v>4</v>
      </c>
    </row>
    <row r="6120" spans="1:9">
      <c r="A6120" s="257" t="s">
        <v>7218</v>
      </c>
      <c r="B6120" s="9">
        <v>2</v>
      </c>
      <c r="C6120" s="257" t="s">
        <v>12899</v>
      </c>
      <c r="D6120" s="9">
        <v>0.26770153303375371</v>
      </c>
      <c r="E6120" s="9">
        <v>1728935.5716552734</v>
      </c>
      <c r="F6120" s="257" t="s">
        <v>17158</v>
      </c>
      <c r="G6120" s="9"/>
      <c r="H6120" s="257" t="s">
        <v>24124</v>
      </c>
      <c r="I6120" s="9">
        <v>4</v>
      </c>
    </row>
    <row r="6121" spans="1:9">
      <c r="A6121" s="257" t="s">
        <v>7219</v>
      </c>
      <c r="B6121" s="9">
        <v>2</v>
      </c>
      <c r="C6121" s="257" t="s">
        <v>12900</v>
      </c>
      <c r="D6121" s="9">
        <v>1009.1782098451203</v>
      </c>
      <c r="E6121" s="9">
        <v>1728935.5716552734</v>
      </c>
      <c r="F6121" s="257" t="s">
        <v>17158</v>
      </c>
      <c r="G6121" s="9"/>
      <c r="H6121" s="257" t="s">
        <v>24125</v>
      </c>
      <c r="I6121" s="9">
        <v>4</v>
      </c>
    </row>
    <row r="6122" spans="1:9">
      <c r="A6122" s="257" t="s">
        <v>7220</v>
      </c>
      <c r="B6122" s="9">
        <v>2</v>
      </c>
      <c r="C6122" s="257" t="s">
        <v>12901</v>
      </c>
      <c r="D6122" s="9">
        <v>0</v>
      </c>
      <c r="E6122" s="9">
        <v>1728935.5716552734</v>
      </c>
      <c r="F6122" s="257" t="s">
        <v>17159</v>
      </c>
      <c r="G6122" s="9"/>
      <c r="H6122" s="257" t="s">
        <v>24126</v>
      </c>
      <c r="I6122" s="9">
        <v>4</v>
      </c>
    </row>
    <row r="6123" spans="1:9">
      <c r="A6123" s="257" t="s">
        <v>7221</v>
      </c>
      <c r="B6123" s="9">
        <v>2</v>
      </c>
      <c r="C6123" s="257" t="s">
        <v>12902</v>
      </c>
      <c r="D6123" s="9">
        <v>-382343423.2118299</v>
      </c>
      <c r="E6123" s="9">
        <v>1728935.5716552734</v>
      </c>
      <c r="F6123" s="257" t="s">
        <v>17159</v>
      </c>
      <c r="G6123" s="9"/>
      <c r="H6123" s="257" t="s">
        <v>24127</v>
      </c>
      <c r="I6123" s="9">
        <v>4</v>
      </c>
    </row>
    <row r="6124" spans="1:9">
      <c r="A6124" s="257" t="s">
        <v>7222</v>
      </c>
      <c r="B6124" s="9">
        <v>2</v>
      </c>
      <c r="C6124" s="257" t="s">
        <v>12903</v>
      </c>
      <c r="D6124" s="9">
        <v>0</v>
      </c>
      <c r="E6124" s="9">
        <v>1728935.5716552734</v>
      </c>
      <c r="F6124" s="257" t="s">
        <v>17159</v>
      </c>
      <c r="G6124" s="9"/>
      <c r="H6124" s="257" t="s">
        <v>24128</v>
      </c>
      <c r="I6124" s="9">
        <v>4</v>
      </c>
    </row>
    <row r="6125" spans="1:9">
      <c r="A6125" s="257" t="s">
        <v>7223</v>
      </c>
      <c r="B6125" s="9">
        <v>2</v>
      </c>
      <c r="C6125" s="257" t="s">
        <v>12904</v>
      </c>
      <c r="D6125" s="9">
        <v>-221.14382367977797</v>
      </c>
      <c r="E6125" s="9">
        <v>1728935.5716552734</v>
      </c>
      <c r="F6125" s="257" t="s">
        <v>17159</v>
      </c>
      <c r="G6125" s="9"/>
      <c r="H6125" s="257" t="s">
        <v>24129</v>
      </c>
      <c r="I6125" s="9">
        <v>4</v>
      </c>
    </row>
    <row r="6126" spans="1:9">
      <c r="A6126" s="257" t="s">
        <v>7224</v>
      </c>
      <c r="B6126" s="9">
        <v>2</v>
      </c>
      <c r="C6126" s="257" t="s">
        <v>12905</v>
      </c>
      <c r="D6126" s="9">
        <v>460319.74406433105</v>
      </c>
      <c r="E6126" s="9">
        <v>1728935.5716552734</v>
      </c>
      <c r="F6126" s="257" t="s">
        <v>17160</v>
      </c>
      <c r="G6126" s="9"/>
      <c r="H6126" s="257" t="s">
        <v>24130</v>
      </c>
      <c r="I6126" s="9">
        <v>4</v>
      </c>
    </row>
    <row r="6127" spans="1:9">
      <c r="A6127" s="257" t="s">
        <v>7225</v>
      </c>
      <c r="B6127" s="9">
        <v>2</v>
      </c>
      <c r="C6127" s="257" t="s">
        <v>12906</v>
      </c>
      <c r="D6127" s="9">
        <v>1362460681.9287884</v>
      </c>
      <c r="E6127" s="9">
        <v>1728935.5716552734</v>
      </c>
      <c r="F6127" s="257" t="s">
        <v>17160</v>
      </c>
      <c r="G6127" s="9"/>
      <c r="H6127" s="257" t="s">
        <v>24131</v>
      </c>
      <c r="I6127" s="9">
        <v>4</v>
      </c>
    </row>
    <row r="6128" spans="1:9">
      <c r="A6128" s="257" t="s">
        <v>7226</v>
      </c>
      <c r="B6128" s="9">
        <v>2</v>
      </c>
      <c r="C6128" s="257" t="s">
        <v>12907</v>
      </c>
      <c r="D6128" s="9">
        <v>0.26624459095582342</v>
      </c>
      <c r="E6128" s="9">
        <v>1728935.5716552734</v>
      </c>
      <c r="F6128" s="257" t="s">
        <v>17160</v>
      </c>
      <c r="G6128" s="9"/>
      <c r="H6128" s="257" t="s">
        <v>24132</v>
      </c>
      <c r="I6128" s="9">
        <v>4</v>
      </c>
    </row>
    <row r="6129" spans="1:9">
      <c r="A6129" s="257" t="s">
        <v>7227</v>
      </c>
      <c r="B6129" s="9">
        <v>2</v>
      </c>
      <c r="C6129" s="257" t="s">
        <v>12908</v>
      </c>
      <c r="D6129" s="9">
        <v>788.0343861653422</v>
      </c>
      <c r="E6129" s="9">
        <v>1728935.5716552734</v>
      </c>
      <c r="F6129" s="257" t="s">
        <v>17160</v>
      </c>
      <c r="G6129" s="9"/>
      <c r="H6129" s="257" t="s">
        <v>24133</v>
      </c>
      <c r="I6129" s="9">
        <v>4</v>
      </c>
    </row>
    <row r="6130" spans="1:9">
      <c r="A6130" s="257" t="s">
        <v>7228</v>
      </c>
      <c r="B6130" s="9">
        <v>2</v>
      </c>
      <c r="C6130" s="257" t="s">
        <v>12909</v>
      </c>
      <c r="D6130" s="9">
        <v>51071.08203125</v>
      </c>
      <c r="E6130" s="9">
        <v>1728935.5716552734</v>
      </c>
      <c r="F6130" s="257" t="s">
        <v>17161</v>
      </c>
      <c r="G6130" s="9"/>
      <c r="H6130" s="257" t="s">
        <v>24134</v>
      </c>
      <c r="I6130" s="9">
        <v>4</v>
      </c>
    </row>
    <row r="6131" spans="1:9">
      <c r="A6131" s="257" t="s">
        <v>7229</v>
      </c>
      <c r="B6131" s="9">
        <v>2</v>
      </c>
      <c r="C6131" s="257" t="s">
        <v>12910</v>
      </c>
      <c r="D6131" s="9">
        <v>69878045.733892769</v>
      </c>
      <c r="E6131" s="9">
        <v>1728935.5716552734</v>
      </c>
      <c r="F6131" s="257" t="s">
        <v>17161</v>
      </c>
      <c r="G6131" s="9"/>
      <c r="H6131" s="257" t="s">
        <v>24135</v>
      </c>
      <c r="I6131" s="9">
        <v>4</v>
      </c>
    </row>
    <row r="6132" spans="1:9">
      <c r="A6132" s="257" t="s">
        <v>7230</v>
      </c>
      <c r="B6132" s="9">
        <v>2</v>
      </c>
      <c r="C6132" s="257" t="s">
        <v>12911</v>
      </c>
      <c r="D6132" s="9">
        <v>2.9539031337272346E-2</v>
      </c>
      <c r="E6132" s="9">
        <v>1728935.5716552734</v>
      </c>
      <c r="F6132" s="257" t="s">
        <v>17161</v>
      </c>
      <c r="G6132" s="9"/>
      <c r="H6132" s="257" t="s">
        <v>24136</v>
      </c>
      <c r="I6132" s="9">
        <v>4</v>
      </c>
    </row>
    <row r="6133" spans="1:9">
      <c r="A6133" s="257" t="s">
        <v>7231</v>
      </c>
      <c r="B6133" s="9">
        <v>2</v>
      </c>
      <c r="C6133" s="257" t="s">
        <v>12912</v>
      </c>
      <c r="D6133" s="9">
        <v>40.416801458363139</v>
      </c>
      <c r="E6133" s="9">
        <v>1728935.5716552734</v>
      </c>
      <c r="F6133" s="257" t="s">
        <v>17161</v>
      </c>
      <c r="G6133" s="9"/>
      <c r="H6133" s="257" t="s">
        <v>24137</v>
      </c>
      <c r="I6133" s="9">
        <v>4</v>
      </c>
    </row>
    <row r="6134" spans="1:9">
      <c r="A6134" s="257" t="s">
        <v>7232</v>
      </c>
      <c r="B6134" s="9">
        <v>2</v>
      </c>
      <c r="C6134" s="257" t="s">
        <v>12913</v>
      </c>
      <c r="D6134" s="9">
        <v>371304.27395629883</v>
      </c>
      <c r="E6134" s="9">
        <v>1728935.5716552734</v>
      </c>
      <c r="F6134" s="257" t="s">
        <v>17162</v>
      </c>
      <c r="G6134" s="9"/>
      <c r="H6134" s="257" t="s">
        <v>24138</v>
      </c>
      <c r="I6134" s="9">
        <v>4</v>
      </c>
    </row>
    <row r="6135" spans="1:9">
      <c r="A6135" s="257" t="s">
        <v>7233</v>
      </c>
      <c r="B6135" s="9">
        <v>2</v>
      </c>
      <c r="C6135" s="257" t="s">
        <v>12914</v>
      </c>
      <c r="D6135" s="9">
        <v>839130875.67222893</v>
      </c>
      <c r="E6135" s="9">
        <v>1728935.5716552734</v>
      </c>
      <c r="F6135" s="257" t="s">
        <v>17162</v>
      </c>
      <c r="G6135" s="9"/>
      <c r="H6135" s="257" t="s">
        <v>24139</v>
      </c>
      <c r="I6135" s="9">
        <v>4</v>
      </c>
    </row>
    <row r="6136" spans="1:9">
      <c r="A6136" s="257" t="s">
        <v>7234</v>
      </c>
      <c r="B6136" s="9">
        <v>2</v>
      </c>
      <c r="C6136" s="257" t="s">
        <v>12915</v>
      </c>
      <c r="D6136" s="9">
        <v>0.21475888404610366</v>
      </c>
      <c r="E6136" s="9">
        <v>1728935.5716552734</v>
      </c>
      <c r="F6136" s="257" t="s">
        <v>17162</v>
      </c>
      <c r="G6136" s="9"/>
      <c r="H6136" s="257" t="s">
        <v>24140</v>
      </c>
      <c r="I6136" s="9">
        <v>4</v>
      </c>
    </row>
    <row r="6137" spans="1:9">
      <c r="A6137" s="257" t="s">
        <v>7235</v>
      </c>
      <c r="B6137" s="9">
        <v>2</v>
      </c>
      <c r="C6137" s="257" t="s">
        <v>12916</v>
      </c>
      <c r="D6137" s="9">
        <v>485.3453705442879</v>
      </c>
      <c r="E6137" s="9">
        <v>1728935.5716552734</v>
      </c>
      <c r="F6137" s="257" t="s">
        <v>17162</v>
      </c>
      <c r="G6137" s="9"/>
      <c r="H6137" s="257" t="s">
        <v>24141</v>
      </c>
      <c r="I6137" s="9">
        <v>4</v>
      </c>
    </row>
    <row r="6138" spans="1:9">
      <c r="A6138" s="257" t="s">
        <v>7236</v>
      </c>
      <c r="B6138" s="9">
        <v>2</v>
      </c>
      <c r="C6138" s="257" t="s">
        <v>12917</v>
      </c>
      <c r="D6138" s="9">
        <v>976110.63868713379</v>
      </c>
      <c r="E6138" s="9">
        <v>1728935.5716552734</v>
      </c>
      <c r="F6138" s="257" t="s">
        <v>17163</v>
      </c>
      <c r="G6138" s="9"/>
      <c r="H6138" s="257" t="s">
        <v>24142</v>
      </c>
      <c r="I6138" s="9">
        <v>4</v>
      </c>
    </row>
    <row r="6139" spans="1:9">
      <c r="A6139" s="257" t="s">
        <v>7237</v>
      </c>
      <c r="B6139" s="9">
        <v>2</v>
      </c>
      <c r="C6139" s="257" t="s">
        <v>12918</v>
      </c>
      <c r="D6139" s="9">
        <v>4505044527.3031378</v>
      </c>
      <c r="E6139" s="9">
        <v>1728935.5716552734</v>
      </c>
      <c r="F6139" s="257" t="s">
        <v>17163</v>
      </c>
      <c r="G6139" s="9"/>
      <c r="H6139" s="257" t="s">
        <v>24143</v>
      </c>
      <c r="I6139" s="9">
        <v>4</v>
      </c>
    </row>
    <row r="6140" spans="1:9">
      <c r="A6140" s="257" t="s">
        <v>7238</v>
      </c>
      <c r="B6140" s="9">
        <v>2</v>
      </c>
      <c r="C6140" s="257" t="s">
        <v>12919</v>
      </c>
      <c r="D6140" s="9">
        <v>0.56457317131407669</v>
      </c>
      <c r="E6140" s="9">
        <v>1728935.5716552734</v>
      </c>
      <c r="F6140" s="257" t="s">
        <v>17163</v>
      </c>
      <c r="G6140" s="9"/>
      <c r="H6140" s="257" t="s">
        <v>24144</v>
      </c>
      <c r="I6140" s="9">
        <v>4</v>
      </c>
    </row>
    <row r="6141" spans="1:9">
      <c r="A6141" s="257" t="s">
        <v>7239</v>
      </c>
      <c r="B6141" s="9">
        <v>2</v>
      </c>
      <c r="C6141" s="257" t="s">
        <v>12920</v>
      </c>
      <c r="D6141" s="9">
        <v>2605.6751918118225</v>
      </c>
      <c r="E6141" s="9">
        <v>1728935.5716552734</v>
      </c>
      <c r="F6141" s="257" t="s">
        <v>17163</v>
      </c>
      <c r="G6141" s="9"/>
      <c r="H6141" s="257" t="s">
        <v>24145</v>
      </c>
      <c r="I6141" s="9">
        <v>4</v>
      </c>
    </row>
    <row r="6142" spans="1:9">
      <c r="A6142" s="257" t="s">
        <v>7240</v>
      </c>
      <c r="B6142" s="9">
        <v>3</v>
      </c>
      <c r="C6142" s="257" t="s">
        <v>12921</v>
      </c>
      <c r="D6142" s="9">
        <v>558196.97508239746</v>
      </c>
      <c r="E6142" s="9">
        <v>1724459.8235549927</v>
      </c>
      <c r="F6142" s="257" t="s">
        <v>17164</v>
      </c>
      <c r="G6142" s="9"/>
      <c r="H6142" s="257" t="s">
        <v>24146</v>
      </c>
      <c r="I6142" s="9">
        <v>4</v>
      </c>
    </row>
    <row r="6143" spans="1:9">
      <c r="A6143" s="257" t="s">
        <v>7241</v>
      </c>
      <c r="B6143" s="9">
        <v>3</v>
      </c>
      <c r="C6143" s="257" t="s">
        <v>12922</v>
      </c>
      <c r="D6143" s="9">
        <v>1326242447.9909408</v>
      </c>
      <c r="E6143" s="9">
        <v>1724459.8235549927</v>
      </c>
      <c r="F6143" s="257" t="s">
        <v>17164</v>
      </c>
      <c r="G6143" s="9"/>
      <c r="H6143" s="257" t="s">
        <v>24147</v>
      </c>
      <c r="I6143" s="9">
        <v>4</v>
      </c>
    </row>
    <row r="6144" spans="1:9">
      <c r="A6144" s="257" t="s">
        <v>7242</v>
      </c>
      <c r="B6144" s="9">
        <v>3</v>
      </c>
      <c r="C6144" s="257" t="s">
        <v>12923</v>
      </c>
      <c r="D6144" s="9">
        <v>0.32369381266979497</v>
      </c>
      <c r="E6144" s="9">
        <v>1724459.8235549927</v>
      </c>
      <c r="F6144" s="257" t="s">
        <v>17164</v>
      </c>
      <c r="G6144" s="9"/>
      <c r="H6144" s="257" t="s">
        <v>24148</v>
      </c>
      <c r="I6144" s="9">
        <v>4</v>
      </c>
    </row>
    <row r="6145" spans="1:9">
      <c r="A6145" s="257" t="s">
        <v>7243</v>
      </c>
      <c r="B6145" s="9">
        <v>3</v>
      </c>
      <c r="C6145" s="257" t="s">
        <v>12924</v>
      </c>
      <c r="D6145" s="9">
        <v>769.07703495050271</v>
      </c>
      <c r="E6145" s="9">
        <v>1724459.8235549927</v>
      </c>
      <c r="F6145" s="257" t="s">
        <v>17164</v>
      </c>
      <c r="G6145" s="9"/>
      <c r="H6145" s="257" t="s">
        <v>24149</v>
      </c>
      <c r="I6145" s="9">
        <v>4</v>
      </c>
    </row>
    <row r="6146" spans="1:9">
      <c r="A6146" s="257" t="s">
        <v>7244</v>
      </c>
      <c r="B6146" s="9">
        <v>3</v>
      </c>
      <c r="C6146" s="257" t="s">
        <v>12925</v>
      </c>
      <c r="D6146" s="9">
        <v>0</v>
      </c>
      <c r="E6146" s="9">
        <v>1724459.8235549927</v>
      </c>
      <c r="F6146" s="257" t="s">
        <v>17165</v>
      </c>
      <c r="G6146" s="9"/>
      <c r="H6146" s="257" t="s">
        <v>24150</v>
      </c>
      <c r="I6146" s="9">
        <v>4</v>
      </c>
    </row>
    <row r="6147" spans="1:9">
      <c r="A6147" s="257" t="s">
        <v>7245</v>
      </c>
      <c r="B6147" s="9">
        <v>3</v>
      </c>
      <c r="C6147" s="257" t="s">
        <v>12926</v>
      </c>
      <c r="D6147" s="9">
        <v>0</v>
      </c>
      <c r="E6147" s="9">
        <v>1724459.8235549927</v>
      </c>
      <c r="F6147" s="257" t="s">
        <v>17165</v>
      </c>
      <c r="G6147" s="9"/>
      <c r="H6147" s="257" t="s">
        <v>24151</v>
      </c>
      <c r="I6147" s="9">
        <v>4</v>
      </c>
    </row>
    <row r="6148" spans="1:9">
      <c r="A6148" s="257" t="s">
        <v>7246</v>
      </c>
      <c r="B6148" s="9">
        <v>3</v>
      </c>
      <c r="C6148" s="257" t="s">
        <v>12927</v>
      </c>
      <c r="D6148" s="9">
        <v>0</v>
      </c>
      <c r="E6148" s="9">
        <v>1724459.8235549927</v>
      </c>
      <c r="F6148" s="257" t="s">
        <v>17165</v>
      </c>
      <c r="G6148" s="9"/>
      <c r="H6148" s="257" t="s">
        <v>24152</v>
      </c>
      <c r="I6148" s="9">
        <v>4</v>
      </c>
    </row>
    <row r="6149" spans="1:9">
      <c r="A6149" s="257" t="s">
        <v>7247</v>
      </c>
      <c r="B6149" s="9">
        <v>3</v>
      </c>
      <c r="C6149" s="257" t="s">
        <v>12928</v>
      </c>
      <c r="D6149" s="9">
        <v>0</v>
      </c>
      <c r="E6149" s="9">
        <v>1724459.8235549927</v>
      </c>
      <c r="F6149" s="257" t="s">
        <v>17165</v>
      </c>
      <c r="G6149" s="9"/>
      <c r="H6149" s="257" t="s">
        <v>24153</v>
      </c>
      <c r="I6149" s="9">
        <v>4</v>
      </c>
    </row>
    <row r="6150" spans="1:9">
      <c r="A6150" s="257" t="s">
        <v>7248</v>
      </c>
      <c r="B6150" s="9">
        <v>3</v>
      </c>
      <c r="C6150" s="257" t="s">
        <v>12929</v>
      </c>
      <c r="D6150" s="9">
        <v>602013.88717651367</v>
      </c>
      <c r="E6150" s="9">
        <v>1724459.8235549927</v>
      </c>
      <c r="F6150" s="257" t="s">
        <v>17166</v>
      </c>
      <c r="G6150" s="9"/>
      <c r="H6150" s="257" t="s">
        <v>24154</v>
      </c>
      <c r="I6150" s="9">
        <v>4</v>
      </c>
    </row>
    <row r="6151" spans="1:9">
      <c r="A6151" s="257" t="s">
        <v>7249</v>
      </c>
      <c r="B6151" s="9">
        <v>3</v>
      </c>
      <c r="C6151" s="257" t="s">
        <v>12930</v>
      </c>
      <c r="D6151" s="9">
        <v>118776720.8725241</v>
      </c>
      <c r="E6151" s="9">
        <v>1724459.8235549927</v>
      </c>
      <c r="F6151" s="257" t="s">
        <v>17166</v>
      </c>
      <c r="G6151" s="9"/>
      <c r="H6151" s="257" t="s">
        <v>24155</v>
      </c>
      <c r="I6151" s="9">
        <v>4</v>
      </c>
    </row>
    <row r="6152" spans="1:9">
      <c r="A6152" s="257" t="s">
        <v>7250</v>
      </c>
      <c r="B6152" s="9">
        <v>3</v>
      </c>
      <c r="C6152" s="257" t="s">
        <v>12931</v>
      </c>
      <c r="D6152" s="9">
        <v>0.34910287787131827</v>
      </c>
      <c r="E6152" s="9">
        <v>1724459.8235549927</v>
      </c>
      <c r="F6152" s="257" t="s">
        <v>17166</v>
      </c>
      <c r="G6152" s="9"/>
      <c r="H6152" s="257" t="s">
        <v>24156</v>
      </c>
      <c r="I6152" s="9">
        <v>4</v>
      </c>
    </row>
    <row r="6153" spans="1:9">
      <c r="A6153" s="257" t="s">
        <v>7251</v>
      </c>
      <c r="B6153" s="9">
        <v>3</v>
      </c>
      <c r="C6153" s="257" t="s">
        <v>12932</v>
      </c>
      <c r="D6153" s="9">
        <v>68.877638811940884</v>
      </c>
      <c r="E6153" s="9">
        <v>1724459.8235549927</v>
      </c>
      <c r="F6153" s="257" t="s">
        <v>17166</v>
      </c>
      <c r="G6153" s="9"/>
      <c r="H6153" s="257" t="s">
        <v>24157</v>
      </c>
      <c r="I6153" s="9">
        <v>4</v>
      </c>
    </row>
    <row r="6154" spans="1:9">
      <c r="A6154" s="257" t="s">
        <v>7252</v>
      </c>
      <c r="B6154" s="9">
        <v>3</v>
      </c>
      <c r="C6154" s="257" t="s">
        <v>12933</v>
      </c>
      <c r="D6154" s="9">
        <v>213562.31173706055</v>
      </c>
      <c r="E6154" s="9">
        <v>1724459.8235549927</v>
      </c>
      <c r="F6154" s="257" t="s">
        <v>17167</v>
      </c>
      <c r="G6154" s="9"/>
      <c r="H6154" s="257" t="s">
        <v>24158</v>
      </c>
      <c r="I6154" s="9">
        <v>4</v>
      </c>
    </row>
    <row r="6155" spans="1:9">
      <c r="A6155" s="257" t="s">
        <v>7253</v>
      </c>
      <c r="B6155" s="9">
        <v>3</v>
      </c>
      <c r="C6155" s="257" t="s">
        <v>12934</v>
      </c>
      <c r="D6155" s="9">
        <v>28414603.943594012</v>
      </c>
      <c r="E6155" s="9">
        <v>1724459.8235549927</v>
      </c>
      <c r="F6155" s="257" t="s">
        <v>17167</v>
      </c>
      <c r="G6155" s="9"/>
      <c r="H6155" s="257" t="s">
        <v>24159</v>
      </c>
      <c r="I6155" s="9">
        <v>4</v>
      </c>
    </row>
    <row r="6156" spans="1:9">
      <c r="A6156" s="257" t="s">
        <v>7254</v>
      </c>
      <c r="B6156" s="9">
        <v>3</v>
      </c>
      <c r="C6156" s="257" t="s">
        <v>12935</v>
      </c>
      <c r="D6156" s="9">
        <v>0.1238430196052927</v>
      </c>
      <c r="E6156" s="9">
        <v>1724459.8235549927</v>
      </c>
      <c r="F6156" s="257" t="s">
        <v>17167</v>
      </c>
      <c r="G6156" s="9"/>
      <c r="H6156" s="257" t="s">
        <v>24160</v>
      </c>
      <c r="I6156" s="9">
        <v>4</v>
      </c>
    </row>
    <row r="6157" spans="1:9">
      <c r="A6157" s="257" t="s">
        <v>7255</v>
      </c>
      <c r="B6157" s="9">
        <v>3</v>
      </c>
      <c r="C6157" s="257" t="s">
        <v>12936</v>
      </c>
      <c r="D6157" s="9">
        <v>16.477393996351275</v>
      </c>
      <c r="E6157" s="9">
        <v>1724459.8235549927</v>
      </c>
      <c r="F6157" s="257" t="s">
        <v>17167</v>
      </c>
      <c r="G6157" s="9"/>
      <c r="H6157" s="257" t="s">
        <v>24161</v>
      </c>
      <c r="I6157" s="9">
        <v>4</v>
      </c>
    </row>
    <row r="6158" spans="1:9">
      <c r="A6158" s="257" t="s">
        <v>7256</v>
      </c>
      <c r="B6158" s="9">
        <v>3</v>
      </c>
      <c r="C6158" s="257" t="s">
        <v>12937</v>
      </c>
      <c r="D6158" s="9">
        <v>870116.52136993408</v>
      </c>
      <c r="E6158" s="9">
        <v>1724459.8235549927</v>
      </c>
      <c r="F6158" s="257" t="s">
        <v>17168</v>
      </c>
      <c r="G6158" s="9"/>
      <c r="H6158" s="257" t="s">
        <v>24162</v>
      </c>
      <c r="I6158" s="9">
        <v>4</v>
      </c>
    </row>
    <row r="6159" spans="1:9">
      <c r="A6159" s="257" t="s">
        <v>7257</v>
      </c>
      <c r="B6159" s="9">
        <v>3</v>
      </c>
      <c r="C6159" s="257" t="s">
        <v>12938</v>
      </c>
      <c r="D6159" s="9">
        <v>2553510826.2980251</v>
      </c>
      <c r="E6159" s="9">
        <v>1724459.8235549927</v>
      </c>
      <c r="F6159" s="257" t="s">
        <v>17168</v>
      </c>
      <c r="G6159" s="9"/>
      <c r="H6159" s="257" t="s">
        <v>24163</v>
      </c>
      <c r="I6159" s="9">
        <v>4</v>
      </c>
    </row>
    <row r="6160" spans="1:9">
      <c r="A6160" s="257" t="s">
        <v>7258</v>
      </c>
      <c r="B6160" s="9">
        <v>3</v>
      </c>
      <c r="C6160" s="257" t="s">
        <v>12939</v>
      </c>
      <c r="D6160" s="9">
        <v>0.50457337972431238</v>
      </c>
      <c r="E6160" s="9">
        <v>1724459.8235549927</v>
      </c>
      <c r="F6160" s="257" t="s">
        <v>17168</v>
      </c>
      <c r="G6160" s="9"/>
      <c r="H6160" s="257" t="s">
        <v>24164</v>
      </c>
      <c r="I6160" s="9">
        <v>4</v>
      </c>
    </row>
    <row r="6161" spans="1:9">
      <c r="A6161" s="257" t="s">
        <v>7259</v>
      </c>
      <c r="B6161" s="9">
        <v>3</v>
      </c>
      <c r="C6161" s="257" t="s">
        <v>12940</v>
      </c>
      <c r="D6161" s="9">
        <v>1480.7598248557249</v>
      </c>
      <c r="E6161" s="9">
        <v>1724459.8235549927</v>
      </c>
      <c r="F6161" s="257" t="s">
        <v>17168</v>
      </c>
      <c r="G6161" s="9"/>
      <c r="H6161" s="257" t="s">
        <v>24165</v>
      </c>
      <c r="I6161" s="9">
        <v>4</v>
      </c>
    </row>
    <row r="6162" spans="1:9">
      <c r="A6162" s="257" t="s">
        <v>7260</v>
      </c>
      <c r="B6162" s="9">
        <v>3</v>
      </c>
      <c r="C6162" s="257" t="s">
        <v>12941</v>
      </c>
      <c r="D6162" s="9">
        <v>151212.13145446777</v>
      </c>
      <c r="E6162" s="9">
        <v>1724459.8235549927</v>
      </c>
      <c r="F6162" s="257" t="s">
        <v>17169</v>
      </c>
      <c r="G6162" s="9"/>
      <c r="H6162" s="257" t="s">
        <v>24166</v>
      </c>
      <c r="I6162" s="9">
        <v>4</v>
      </c>
    </row>
    <row r="6163" spans="1:9">
      <c r="A6163" s="257" t="s">
        <v>7261</v>
      </c>
      <c r="B6163" s="9">
        <v>3</v>
      </c>
      <c r="C6163" s="257" t="s">
        <v>12942</v>
      </c>
      <c r="D6163" s="9">
        <v>1430076770.7694621</v>
      </c>
      <c r="E6163" s="9">
        <v>1724459.8235549927</v>
      </c>
      <c r="F6163" s="257" t="s">
        <v>17169</v>
      </c>
      <c r="G6163" s="9"/>
      <c r="H6163" s="257" t="s">
        <v>24167</v>
      </c>
      <c r="I6163" s="9">
        <v>4</v>
      </c>
    </row>
    <row r="6164" spans="1:9">
      <c r="A6164" s="257" t="s">
        <v>7262</v>
      </c>
      <c r="B6164" s="9">
        <v>3</v>
      </c>
      <c r="C6164" s="257" t="s">
        <v>12943</v>
      </c>
      <c r="D6164" s="9">
        <v>8.7686665348191362E-2</v>
      </c>
      <c r="E6164" s="9">
        <v>1724459.8235549927</v>
      </c>
      <c r="F6164" s="257" t="s">
        <v>17169</v>
      </c>
      <c r="G6164" s="9"/>
      <c r="H6164" s="257" t="s">
        <v>24168</v>
      </c>
      <c r="I6164" s="9">
        <v>4</v>
      </c>
    </row>
    <row r="6165" spans="1:9">
      <c r="A6165" s="257" t="s">
        <v>7263</v>
      </c>
      <c r="B6165" s="9">
        <v>3</v>
      </c>
      <c r="C6165" s="257" t="s">
        <v>12944</v>
      </c>
      <c r="D6165" s="9">
        <v>829.28970059815208</v>
      </c>
      <c r="E6165" s="9">
        <v>1724459.8235549927</v>
      </c>
      <c r="F6165" s="257" t="s">
        <v>17169</v>
      </c>
      <c r="G6165" s="9"/>
      <c r="H6165" s="257" t="s">
        <v>24169</v>
      </c>
      <c r="I6165" s="9">
        <v>4</v>
      </c>
    </row>
    <row r="6166" spans="1:9">
      <c r="A6166" s="257" t="s">
        <v>7264</v>
      </c>
      <c r="B6166" s="9">
        <v>3</v>
      </c>
      <c r="C6166" s="257" t="s">
        <v>12945</v>
      </c>
      <c r="D6166" s="9">
        <v>1308260.7786941528</v>
      </c>
      <c r="E6166" s="9">
        <v>1724459.8235549927</v>
      </c>
      <c r="F6166" s="257" t="s">
        <v>17170</v>
      </c>
      <c r="G6166" s="9"/>
      <c r="H6166" s="257" t="s">
        <v>24170</v>
      </c>
      <c r="I6166" s="9">
        <v>4</v>
      </c>
    </row>
    <row r="6167" spans="1:9">
      <c r="A6167" s="257" t="s">
        <v>7265</v>
      </c>
      <c r="B6167" s="9">
        <v>3</v>
      </c>
      <c r="C6167" s="257" t="s">
        <v>12946</v>
      </c>
      <c r="D6167" s="9">
        <v>4130778921.8836055</v>
      </c>
      <c r="E6167" s="9">
        <v>1724459.8235549927</v>
      </c>
      <c r="F6167" s="257" t="s">
        <v>17170</v>
      </c>
      <c r="G6167" s="9"/>
      <c r="H6167" s="257" t="s">
        <v>24171</v>
      </c>
      <c r="I6167" s="9">
        <v>4</v>
      </c>
    </row>
    <row r="6168" spans="1:9">
      <c r="A6168" s="257" t="s">
        <v>7266</v>
      </c>
      <c r="B6168" s="9">
        <v>3</v>
      </c>
      <c r="C6168" s="257" t="s">
        <v>12947</v>
      </c>
      <c r="D6168" s="9">
        <v>0.75864961353356386</v>
      </c>
      <c r="E6168" s="9">
        <v>1724459.8235549927</v>
      </c>
      <c r="F6168" s="257" t="s">
        <v>17170</v>
      </c>
      <c r="G6168" s="9"/>
      <c r="H6168" s="257" t="s">
        <v>24172</v>
      </c>
      <c r="I6168" s="9">
        <v>4</v>
      </c>
    </row>
    <row r="6169" spans="1:9">
      <c r="A6169" s="257" t="s">
        <v>7267</v>
      </c>
      <c r="B6169" s="9">
        <v>3</v>
      </c>
      <c r="C6169" s="257" t="s">
        <v>12948</v>
      </c>
      <c r="D6169" s="9">
        <v>2395.4045582621693</v>
      </c>
      <c r="E6169" s="9">
        <v>1724459.8235549927</v>
      </c>
      <c r="F6169" s="257" t="s">
        <v>17170</v>
      </c>
      <c r="G6169" s="9"/>
      <c r="H6169" s="257" t="s">
        <v>24173</v>
      </c>
      <c r="I6169" s="9">
        <v>4</v>
      </c>
    </row>
    <row r="6170" spans="1:9">
      <c r="A6170" s="257" t="s">
        <v>7268</v>
      </c>
      <c r="B6170" s="9">
        <v>3</v>
      </c>
      <c r="C6170" s="257" t="s">
        <v>12949</v>
      </c>
      <c r="D6170" s="9">
        <v>1005009.4745559692</v>
      </c>
      <c r="E6170" s="9">
        <v>1724459.8235549927</v>
      </c>
      <c r="F6170" s="257" t="s">
        <v>17171</v>
      </c>
      <c r="G6170" s="9"/>
      <c r="H6170" s="257" t="s">
        <v>24174</v>
      </c>
      <c r="I6170" s="9">
        <v>4</v>
      </c>
    </row>
    <row r="6171" spans="1:9">
      <c r="A6171" s="257" t="s">
        <v>7269</v>
      </c>
      <c r="B6171" s="9">
        <v>3</v>
      </c>
      <c r="C6171" s="257" t="s">
        <v>12950</v>
      </c>
      <c r="D6171" s="9">
        <v>4012002201.0110812</v>
      </c>
      <c r="E6171" s="9">
        <v>1724459.8235549927</v>
      </c>
      <c r="F6171" s="257" t="s">
        <v>17171</v>
      </c>
      <c r="G6171" s="9"/>
      <c r="H6171" s="257" t="s">
        <v>24175</v>
      </c>
      <c r="I6171" s="9">
        <v>4</v>
      </c>
    </row>
    <row r="6172" spans="1:9">
      <c r="A6172" s="257" t="s">
        <v>7270</v>
      </c>
      <c r="B6172" s="9">
        <v>3</v>
      </c>
      <c r="C6172" s="257" t="s">
        <v>12951</v>
      </c>
      <c r="D6172" s="9">
        <v>0.58279668846336541</v>
      </c>
      <c r="E6172" s="9">
        <v>1724459.8235549927</v>
      </c>
      <c r="F6172" s="257" t="s">
        <v>17171</v>
      </c>
      <c r="G6172" s="9"/>
      <c r="H6172" s="257" t="s">
        <v>24176</v>
      </c>
      <c r="I6172" s="9">
        <v>4</v>
      </c>
    </row>
    <row r="6173" spans="1:9">
      <c r="A6173" s="257" t="s">
        <v>7271</v>
      </c>
      <c r="B6173" s="9">
        <v>3</v>
      </c>
      <c r="C6173" s="257" t="s">
        <v>12952</v>
      </c>
      <c r="D6173" s="9">
        <v>2326.5269194502284</v>
      </c>
      <c r="E6173" s="9">
        <v>1724459.8235549927</v>
      </c>
      <c r="F6173" s="257" t="s">
        <v>17171</v>
      </c>
      <c r="G6173" s="9"/>
      <c r="H6173" s="257" t="s">
        <v>24177</v>
      </c>
      <c r="I6173" s="9">
        <v>4</v>
      </c>
    </row>
    <row r="6174" spans="1:9">
      <c r="A6174" s="257" t="s">
        <v>7272</v>
      </c>
      <c r="B6174" s="9">
        <v>3</v>
      </c>
      <c r="C6174" s="257" t="s">
        <v>12953</v>
      </c>
      <c r="D6174" s="9">
        <v>1724459.8235549927</v>
      </c>
      <c r="E6174" s="9">
        <v>1724459.8235549927</v>
      </c>
      <c r="F6174" s="257" t="s">
        <v>17172</v>
      </c>
      <c r="G6174" s="9"/>
      <c r="H6174" s="257" t="s">
        <v>24178</v>
      </c>
      <c r="I6174" s="9">
        <v>4</v>
      </c>
    </row>
    <row r="6175" spans="1:9">
      <c r="A6175" s="257" t="s">
        <v>7273</v>
      </c>
      <c r="B6175" s="9">
        <v>3</v>
      </c>
      <c r="C6175" s="257" t="s">
        <v>12954</v>
      </c>
      <c r="D6175" s="9">
        <v>7740504798.3135777</v>
      </c>
      <c r="E6175" s="9">
        <v>1724459.8235549927</v>
      </c>
      <c r="F6175" s="257" t="s">
        <v>17172</v>
      </c>
      <c r="G6175" s="9"/>
      <c r="H6175" s="257" t="s">
        <v>24179</v>
      </c>
      <c r="I6175" s="9">
        <v>4</v>
      </c>
    </row>
    <row r="6176" spans="1:9">
      <c r="A6176" s="257" t="s">
        <v>7274</v>
      </c>
      <c r="B6176" s="9">
        <v>3</v>
      </c>
      <c r="C6176" s="257" t="s">
        <v>12955</v>
      </c>
      <c r="D6176" s="9">
        <v>1</v>
      </c>
      <c r="E6176" s="9">
        <v>1724459.8235549927</v>
      </c>
      <c r="F6176" s="257" t="s">
        <v>17172</v>
      </c>
      <c r="G6176" s="9"/>
      <c r="H6176" s="257" t="s">
        <v>24180</v>
      </c>
      <c r="I6176" s="9">
        <v>4</v>
      </c>
    </row>
    <row r="6177" spans="1:9">
      <c r="A6177" s="257" t="s">
        <v>7275</v>
      </c>
      <c r="B6177" s="9">
        <v>3</v>
      </c>
      <c r="C6177" s="257" t="s">
        <v>12956</v>
      </c>
      <c r="D6177" s="9">
        <v>4488.654761672813</v>
      </c>
      <c r="E6177" s="9">
        <v>1724459.8235549927</v>
      </c>
      <c r="F6177" s="257" t="s">
        <v>17172</v>
      </c>
      <c r="G6177" s="9"/>
      <c r="H6177" s="257" t="s">
        <v>24181</v>
      </c>
      <c r="I6177" s="9">
        <v>4</v>
      </c>
    </row>
    <row r="6178" spans="1:9">
      <c r="A6178" s="257" t="s">
        <v>7276</v>
      </c>
      <c r="B6178" s="9">
        <v>3</v>
      </c>
      <c r="C6178" s="257" t="s">
        <v>12957</v>
      </c>
      <c r="D6178" s="9">
        <v>1724459.8235549927</v>
      </c>
      <c r="E6178" s="9">
        <v>1724459.8235549927</v>
      </c>
      <c r="F6178" s="257" t="s">
        <v>17173</v>
      </c>
      <c r="G6178" s="9"/>
      <c r="H6178" s="257" t="s">
        <v>24182</v>
      </c>
      <c r="I6178" s="9">
        <v>4</v>
      </c>
    </row>
    <row r="6179" spans="1:9">
      <c r="A6179" s="257" t="s">
        <v>7277</v>
      </c>
      <c r="B6179" s="9">
        <v>3</v>
      </c>
      <c r="C6179" s="257" t="s">
        <v>12958</v>
      </c>
      <c r="D6179" s="9">
        <v>3609725876.4299726</v>
      </c>
      <c r="E6179" s="9">
        <v>1724459.8235549927</v>
      </c>
      <c r="F6179" s="257" t="s">
        <v>17173</v>
      </c>
      <c r="G6179" s="9"/>
      <c r="H6179" s="257" t="s">
        <v>24183</v>
      </c>
      <c r="I6179" s="9">
        <v>4</v>
      </c>
    </row>
    <row r="6180" spans="1:9">
      <c r="A6180" s="257" t="s">
        <v>7278</v>
      </c>
      <c r="B6180" s="9">
        <v>3</v>
      </c>
      <c r="C6180" s="257" t="s">
        <v>12959</v>
      </c>
      <c r="D6180" s="9">
        <v>1</v>
      </c>
      <c r="E6180" s="9">
        <v>1724459.8235549927</v>
      </c>
      <c r="F6180" s="257" t="s">
        <v>17173</v>
      </c>
      <c r="G6180" s="9"/>
      <c r="H6180" s="257" t="s">
        <v>24184</v>
      </c>
      <c r="I6180" s="9">
        <v>4</v>
      </c>
    </row>
    <row r="6181" spans="1:9">
      <c r="A6181" s="257" t="s">
        <v>7279</v>
      </c>
      <c r="B6181" s="9">
        <v>3</v>
      </c>
      <c r="C6181" s="257" t="s">
        <v>12960</v>
      </c>
      <c r="D6181" s="9">
        <v>2093.2502034106446</v>
      </c>
      <c r="E6181" s="9">
        <v>1724459.8235549927</v>
      </c>
      <c r="F6181" s="257" t="s">
        <v>17173</v>
      </c>
      <c r="G6181" s="9"/>
      <c r="H6181" s="257" t="s">
        <v>24185</v>
      </c>
      <c r="I6181" s="9">
        <v>4</v>
      </c>
    </row>
    <row r="6182" spans="1:9">
      <c r="A6182" s="257" t="s">
        <v>7280</v>
      </c>
      <c r="B6182" s="9">
        <v>3</v>
      </c>
      <c r="C6182" s="257" t="s">
        <v>12961</v>
      </c>
      <c r="D6182" s="9">
        <v>1724459.8235549927</v>
      </c>
      <c r="E6182" s="9">
        <v>1724459.8235549927</v>
      </c>
      <c r="F6182" s="257" t="s">
        <v>17174</v>
      </c>
      <c r="G6182" s="9"/>
      <c r="H6182" s="257" t="s">
        <v>24186</v>
      </c>
      <c r="I6182" s="9">
        <v>4</v>
      </c>
    </row>
    <row r="6183" spans="1:9">
      <c r="A6183" s="257" t="s">
        <v>7281</v>
      </c>
      <c r="B6183" s="9">
        <v>3</v>
      </c>
      <c r="C6183" s="257" t="s">
        <v>12962</v>
      </c>
      <c r="D6183" s="9">
        <v>3728502597.3024969</v>
      </c>
      <c r="E6183" s="9">
        <v>1724459.8235549927</v>
      </c>
      <c r="F6183" s="257" t="s">
        <v>17174</v>
      </c>
      <c r="G6183" s="9"/>
      <c r="H6183" s="257" t="s">
        <v>24187</v>
      </c>
      <c r="I6183" s="9">
        <v>4</v>
      </c>
    </row>
    <row r="6184" spans="1:9">
      <c r="A6184" s="257" t="s">
        <v>7282</v>
      </c>
      <c r="B6184" s="9">
        <v>3</v>
      </c>
      <c r="C6184" s="257" t="s">
        <v>12963</v>
      </c>
      <c r="D6184" s="9">
        <v>1</v>
      </c>
      <c r="E6184" s="9">
        <v>1724459.8235549927</v>
      </c>
      <c r="F6184" s="257" t="s">
        <v>17174</v>
      </c>
      <c r="G6184" s="9"/>
      <c r="H6184" s="257" t="s">
        <v>24188</v>
      </c>
      <c r="I6184" s="9">
        <v>4</v>
      </c>
    </row>
    <row r="6185" spans="1:9">
      <c r="A6185" s="257" t="s">
        <v>7283</v>
      </c>
      <c r="B6185" s="9">
        <v>3</v>
      </c>
      <c r="C6185" s="257" t="s">
        <v>12964</v>
      </c>
      <c r="D6185" s="9">
        <v>2162.1278422225855</v>
      </c>
      <c r="E6185" s="9">
        <v>1724459.8235549927</v>
      </c>
      <c r="F6185" s="257" t="s">
        <v>17174</v>
      </c>
      <c r="G6185" s="9"/>
      <c r="H6185" s="257" t="s">
        <v>24189</v>
      </c>
      <c r="I6185" s="9">
        <v>4</v>
      </c>
    </row>
    <row r="6186" spans="1:9">
      <c r="A6186" s="257" t="s">
        <v>7284</v>
      </c>
      <c r="B6186" s="9">
        <v>3</v>
      </c>
      <c r="C6186" s="257" t="s">
        <v>12965</v>
      </c>
      <c r="D6186" s="9">
        <v>1724459.8235549927</v>
      </c>
      <c r="E6186" s="9">
        <v>1724459.8235549927</v>
      </c>
      <c r="F6186" s="257" t="s">
        <v>17175</v>
      </c>
      <c r="G6186" s="9"/>
      <c r="H6186" s="257" t="s">
        <v>24190</v>
      </c>
      <c r="I6186" s="9">
        <v>4</v>
      </c>
    </row>
    <row r="6187" spans="1:9">
      <c r="A6187" s="257" t="s">
        <v>7285</v>
      </c>
      <c r="B6187" s="9">
        <v>3</v>
      </c>
      <c r="C6187" s="257" t="s">
        <v>12966</v>
      </c>
      <c r="D6187" s="9">
        <v>1100570242.7206361</v>
      </c>
      <c r="E6187" s="9">
        <v>1724459.8235549927</v>
      </c>
      <c r="F6187" s="257" t="s">
        <v>17175</v>
      </c>
      <c r="G6187" s="9"/>
      <c r="H6187" s="257" t="s">
        <v>24191</v>
      </c>
      <c r="I6187" s="9">
        <v>4</v>
      </c>
    </row>
    <row r="6188" spans="1:9">
      <c r="A6188" s="257" t="s">
        <v>7286</v>
      </c>
      <c r="B6188" s="9">
        <v>3</v>
      </c>
      <c r="C6188" s="257" t="s">
        <v>12967</v>
      </c>
      <c r="D6188" s="9">
        <v>1</v>
      </c>
      <c r="E6188" s="9">
        <v>1724459.8235549927</v>
      </c>
      <c r="F6188" s="257" t="s">
        <v>17175</v>
      </c>
      <c r="G6188" s="9"/>
      <c r="H6188" s="257" t="s">
        <v>24192</v>
      </c>
      <c r="I6188" s="9">
        <v>4</v>
      </c>
    </row>
    <row r="6189" spans="1:9">
      <c r="A6189" s="257" t="s">
        <v>7287</v>
      </c>
      <c r="B6189" s="9">
        <v>3</v>
      </c>
      <c r="C6189" s="257" t="s">
        <v>12968</v>
      </c>
      <c r="D6189" s="9">
        <v>638.21158816666343</v>
      </c>
      <c r="E6189" s="9">
        <v>1724459.8235549927</v>
      </c>
      <c r="F6189" s="257" t="s">
        <v>17175</v>
      </c>
      <c r="G6189" s="9"/>
      <c r="H6189" s="257" t="s">
        <v>24193</v>
      </c>
      <c r="I6189" s="9">
        <v>4</v>
      </c>
    </row>
    <row r="6190" spans="1:9">
      <c r="A6190" s="257" t="s">
        <v>7288</v>
      </c>
      <c r="B6190" s="9">
        <v>3</v>
      </c>
      <c r="C6190" s="257" t="s">
        <v>12969</v>
      </c>
      <c r="D6190" s="9">
        <v>594773.77226257324</v>
      </c>
      <c r="E6190" s="9">
        <v>1724459.8235549927</v>
      </c>
      <c r="F6190" s="257" t="s">
        <v>17176</v>
      </c>
      <c r="G6190" s="9"/>
      <c r="H6190" s="257" t="s">
        <v>24194</v>
      </c>
      <c r="I6190" s="9">
        <v>4</v>
      </c>
    </row>
    <row r="6191" spans="1:9">
      <c r="A6191" s="257" t="s">
        <v>7289</v>
      </c>
      <c r="B6191" s="9">
        <v>3</v>
      </c>
      <c r="C6191" s="257" t="s">
        <v>12970</v>
      </c>
      <c r="D6191" s="9">
        <v>976303285.31556344</v>
      </c>
      <c r="E6191" s="9">
        <v>1724459.8235549927</v>
      </c>
      <c r="F6191" s="257" t="s">
        <v>17176</v>
      </c>
      <c r="G6191" s="9"/>
      <c r="H6191" s="257" t="s">
        <v>24195</v>
      </c>
      <c r="I6191" s="9">
        <v>4</v>
      </c>
    </row>
    <row r="6192" spans="1:9">
      <c r="A6192" s="257" t="s">
        <v>7290</v>
      </c>
      <c r="B6192" s="9">
        <v>3</v>
      </c>
      <c r="C6192" s="257" t="s">
        <v>12971</v>
      </c>
      <c r="D6192" s="9">
        <v>0.34490439506815568</v>
      </c>
      <c r="E6192" s="9">
        <v>1724459.8235549927</v>
      </c>
      <c r="F6192" s="257" t="s">
        <v>17176</v>
      </c>
      <c r="G6192" s="9"/>
      <c r="H6192" s="257" t="s">
        <v>24196</v>
      </c>
      <c r="I6192" s="9">
        <v>4</v>
      </c>
    </row>
    <row r="6193" spans="1:9">
      <c r="A6193" s="257" t="s">
        <v>7291</v>
      </c>
      <c r="B6193" s="9">
        <v>3</v>
      </c>
      <c r="C6193" s="257" t="s">
        <v>12972</v>
      </c>
      <c r="D6193" s="9">
        <v>566.15020656317961</v>
      </c>
      <c r="E6193" s="9">
        <v>1724459.8235549927</v>
      </c>
      <c r="F6193" s="257" t="s">
        <v>17176</v>
      </c>
      <c r="G6193" s="9"/>
      <c r="H6193" s="257" t="s">
        <v>24197</v>
      </c>
      <c r="I6193" s="9">
        <v>4</v>
      </c>
    </row>
    <row r="6194" spans="1:9">
      <c r="A6194" s="257" t="s">
        <v>7292</v>
      </c>
      <c r="B6194" s="9">
        <v>3</v>
      </c>
      <c r="C6194" s="257" t="s">
        <v>12973</v>
      </c>
      <c r="D6194" s="9">
        <v>1724459.8235549927</v>
      </c>
      <c r="E6194" s="9">
        <v>1724459.8235549927</v>
      </c>
      <c r="F6194" s="257" t="s">
        <v>17177</v>
      </c>
      <c r="G6194" s="9"/>
      <c r="H6194" s="257" t="s">
        <v>24198</v>
      </c>
      <c r="I6194" s="9">
        <v>4</v>
      </c>
    </row>
    <row r="6195" spans="1:9">
      <c r="A6195" s="257" t="s">
        <v>7293</v>
      </c>
      <c r="B6195" s="9">
        <v>3</v>
      </c>
      <c r="C6195" s="257" t="s">
        <v>12974</v>
      </c>
      <c r="D6195" s="9">
        <v>4586029161.7455359</v>
      </c>
      <c r="E6195" s="9">
        <v>1724459.8235549927</v>
      </c>
      <c r="F6195" s="257" t="s">
        <v>17177</v>
      </c>
      <c r="G6195" s="9"/>
      <c r="H6195" s="257" t="s">
        <v>24199</v>
      </c>
      <c r="I6195" s="9">
        <v>4</v>
      </c>
    </row>
    <row r="6196" spans="1:9">
      <c r="A6196" s="257" t="s">
        <v>7294</v>
      </c>
      <c r="B6196" s="9">
        <v>3</v>
      </c>
      <c r="C6196" s="257" t="s">
        <v>12975</v>
      </c>
      <c r="D6196" s="9">
        <v>1</v>
      </c>
      <c r="E6196" s="9">
        <v>1724459.8235549927</v>
      </c>
      <c r="F6196" s="257" t="s">
        <v>17177</v>
      </c>
      <c r="G6196" s="9"/>
      <c r="H6196" s="257" t="s">
        <v>24200</v>
      </c>
      <c r="I6196" s="9">
        <v>4</v>
      </c>
    </row>
    <row r="6197" spans="1:9">
      <c r="A6197" s="257" t="s">
        <v>7295</v>
      </c>
      <c r="B6197" s="9">
        <v>3</v>
      </c>
      <c r="C6197" s="257" t="s">
        <v>12976</v>
      </c>
      <c r="D6197" s="9">
        <v>2659.400409973824</v>
      </c>
      <c r="E6197" s="9">
        <v>1724459.8235549927</v>
      </c>
      <c r="F6197" s="257" t="s">
        <v>17177</v>
      </c>
      <c r="G6197" s="9"/>
      <c r="H6197" s="257" t="s">
        <v>24201</v>
      </c>
      <c r="I6197" s="9">
        <v>4</v>
      </c>
    </row>
    <row r="6198" spans="1:9">
      <c r="A6198" s="257" t="s">
        <v>7296</v>
      </c>
      <c r="B6198" s="9">
        <v>3</v>
      </c>
      <c r="C6198" s="257" t="s">
        <v>12977</v>
      </c>
      <c r="D6198" s="9">
        <v>1724459.8235549927</v>
      </c>
      <c r="E6198" s="9">
        <v>1724459.8235549927</v>
      </c>
      <c r="F6198" s="257" t="s">
        <v>17178</v>
      </c>
      <c r="G6198" s="9"/>
      <c r="H6198" s="257" t="s">
        <v>24202</v>
      </c>
      <c r="I6198" s="9">
        <v>4</v>
      </c>
    </row>
    <row r="6199" spans="1:9">
      <c r="A6199" s="257" t="s">
        <v>7297</v>
      </c>
      <c r="B6199" s="9">
        <v>3</v>
      </c>
      <c r="C6199" s="257" t="s">
        <v>12978</v>
      </c>
      <c r="D6199" s="9">
        <v>4704805882.6180601</v>
      </c>
      <c r="E6199" s="9">
        <v>1724459.8235549927</v>
      </c>
      <c r="F6199" s="257" t="s">
        <v>17178</v>
      </c>
      <c r="G6199" s="9"/>
      <c r="H6199" s="257" t="s">
        <v>24203</v>
      </c>
      <c r="I6199" s="9">
        <v>4</v>
      </c>
    </row>
    <row r="6200" spans="1:9">
      <c r="A6200" s="257" t="s">
        <v>7298</v>
      </c>
      <c r="B6200" s="9">
        <v>3</v>
      </c>
      <c r="C6200" s="257" t="s">
        <v>12979</v>
      </c>
      <c r="D6200" s="9">
        <v>1</v>
      </c>
      <c r="E6200" s="9">
        <v>1724459.8235549927</v>
      </c>
      <c r="F6200" s="257" t="s">
        <v>17178</v>
      </c>
      <c r="G6200" s="9"/>
      <c r="H6200" s="257" t="s">
        <v>24204</v>
      </c>
      <c r="I6200" s="9">
        <v>4</v>
      </c>
    </row>
    <row r="6201" spans="1:9">
      <c r="A6201" s="257" t="s">
        <v>7299</v>
      </c>
      <c r="B6201" s="9">
        <v>3</v>
      </c>
      <c r="C6201" s="257" t="s">
        <v>12980</v>
      </c>
      <c r="D6201" s="9">
        <v>2728.2780487857649</v>
      </c>
      <c r="E6201" s="9">
        <v>1724459.8235549927</v>
      </c>
      <c r="F6201" s="257" t="s">
        <v>17178</v>
      </c>
      <c r="G6201" s="9"/>
      <c r="H6201" s="257" t="s">
        <v>24205</v>
      </c>
      <c r="I6201" s="9">
        <v>4</v>
      </c>
    </row>
    <row r="6202" spans="1:9">
      <c r="A6202" s="257" t="s">
        <v>7300</v>
      </c>
      <c r="B6202" s="9">
        <v>3</v>
      </c>
      <c r="C6202" s="257" t="s">
        <v>12981</v>
      </c>
      <c r="D6202" s="9">
        <v>599356.54788208008</v>
      </c>
      <c r="E6202" s="9">
        <v>1724459.8235549927</v>
      </c>
      <c r="F6202" s="257" t="s">
        <v>17179</v>
      </c>
      <c r="G6202" s="9"/>
      <c r="H6202" s="257" t="s">
        <v>24206</v>
      </c>
      <c r="I6202" s="9">
        <v>4</v>
      </c>
    </row>
    <row r="6203" spans="1:9">
      <c r="A6203" s="257" t="s">
        <v>7301</v>
      </c>
      <c r="B6203" s="9">
        <v>3</v>
      </c>
      <c r="C6203" s="257" t="s">
        <v>12982</v>
      </c>
      <c r="D6203" s="9">
        <v>2044780587.7382343</v>
      </c>
      <c r="E6203" s="9">
        <v>1724459.8235549927</v>
      </c>
      <c r="F6203" s="257" t="s">
        <v>17179</v>
      </c>
      <c r="G6203" s="9"/>
      <c r="H6203" s="257" t="s">
        <v>24207</v>
      </c>
      <c r="I6203" s="9">
        <v>4</v>
      </c>
    </row>
    <row r="6204" spans="1:9">
      <c r="A6204" s="257" t="s">
        <v>7302</v>
      </c>
      <c r="B6204" s="9">
        <v>3</v>
      </c>
      <c r="C6204" s="257" t="s">
        <v>12983</v>
      </c>
      <c r="D6204" s="9">
        <v>0.34756190877587395</v>
      </c>
      <c r="E6204" s="9">
        <v>1724459.8235549927</v>
      </c>
      <c r="F6204" s="257" t="s">
        <v>17179</v>
      </c>
      <c r="G6204" s="9"/>
      <c r="H6204" s="257" t="s">
        <v>24208</v>
      </c>
      <c r="I6204" s="9">
        <v>4</v>
      </c>
    </row>
    <row r="6205" spans="1:9">
      <c r="A6205" s="257" t="s">
        <v>7303</v>
      </c>
      <c r="B6205" s="9">
        <v>3</v>
      </c>
      <c r="C6205" s="257" t="s">
        <v>12984</v>
      </c>
      <c r="D6205" s="9">
        <v>1185.7513638809496</v>
      </c>
      <c r="E6205" s="9">
        <v>1724459.8235549927</v>
      </c>
      <c r="F6205" s="257" t="s">
        <v>17179</v>
      </c>
      <c r="G6205" s="9"/>
      <c r="H6205" s="257" t="s">
        <v>24209</v>
      </c>
      <c r="I6205" s="9">
        <v>4</v>
      </c>
    </row>
    <row r="6206" spans="1:9">
      <c r="A6206" s="257" t="s">
        <v>7304</v>
      </c>
      <c r="B6206" s="9">
        <v>3</v>
      </c>
      <c r="C6206" s="257" t="s">
        <v>12985</v>
      </c>
      <c r="D6206" s="9">
        <v>599356.54788208008</v>
      </c>
      <c r="E6206" s="9">
        <v>1724459.8235549927</v>
      </c>
      <c r="F6206" s="257" t="s">
        <v>17180</v>
      </c>
      <c r="G6206" s="9"/>
      <c r="H6206" s="257" t="s">
        <v>24210</v>
      </c>
      <c r="I6206" s="9">
        <v>4</v>
      </c>
    </row>
    <row r="6207" spans="1:9">
      <c r="A6207" s="257" t="s">
        <v>7305</v>
      </c>
      <c r="B6207" s="9">
        <v>3</v>
      </c>
      <c r="C6207" s="257" t="s">
        <v>12986</v>
      </c>
      <c r="D6207" s="9">
        <v>2163557308.6107583</v>
      </c>
      <c r="E6207" s="9">
        <v>1724459.8235549927</v>
      </c>
      <c r="F6207" s="257" t="s">
        <v>17180</v>
      </c>
      <c r="G6207" s="9"/>
      <c r="H6207" s="257" t="s">
        <v>24211</v>
      </c>
      <c r="I6207" s="9">
        <v>4</v>
      </c>
    </row>
    <row r="6208" spans="1:9">
      <c r="A6208" s="257" t="s">
        <v>7306</v>
      </c>
      <c r="B6208" s="9">
        <v>3</v>
      </c>
      <c r="C6208" s="257" t="s">
        <v>12987</v>
      </c>
      <c r="D6208" s="9">
        <v>0.34756190877587395</v>
      </c>
      <c r="E6208" s="9">
        <v>1724459.8235549927</v>
      </c>
      <c r="F6208" s="257" t="s">
        <v>17180</v>
      </c>
      <c r="G6208" s="9"/>
      <c r="H6208" s="257" t="s">
        <v>24212</v>
      </c>
      <c r="I6208" s="9">
        <v>4</v>
      </c>
    </row>
    <row r="6209" spans="1:9">
      <c r="A6209" s="257" t="s">
        <v>7307</v>
      </c>
      <c r="B6209" s="9">
        <v>3</v>
      </c>
      <c r="C6209" s="257" t="s">
        <v>12988</v>
      </c>
      <c r="D6209" s="9">
        <v>1254.6290026928905</v>
      </c>
      <c r="E6209" s="9">
        <v>1724459.8235549927</v>
      </c>
      <c r="F6209" s="257" t="s">
        <v>17180</v>
      </c>
      <c r="G6209" s="9"/>
      <c r="H6209" s="257" t="s">
        <v>24213</v>
      </c>
      <c r="I6209" s="9">
        <v>4</v>
      </c>
    </row>
    <row r="6210" spans="1:9">
      <c r="A6210" s="257" t="s">
        <v>7308</v>
      </c>
      <c r="B6210" s="9">
        <v>3</v>
      </c>
      <c r="C6210" s="257" t="s">
        <v>12989</v>
      </c>
      <c r="D6210" s="9">
        <v>1724459.8235549927</v>
      </c>
      <c r="E6210" s="9">
        <v>1724459.8235549927</v>
      </c>
      <c r="F6210" s="257" t="s">
        <v>17181</v>
      </c>
      <c r="G6210" s="9"/>
      <c r="H6210" s="257" t="s">
        <v>24214</v>
      </c>
      <c r="I6210" s="9">
        <v>4</v>
      </c>
    </row>
    <row r="6211" spans="1:9">
      <c r="A6211" s="257" t="s">
        <v>7309</v>
      </c>
      <c r="B6211" s="9">
        <v>3</v>
      </c>
      <c r="C6211" s="257" t="s">
        <v>12990</v>
      </c>
      <c r="D6211" s="9">
        <v>1564945288.6917384</v>
      </c>
      <c r="E6211" s="9">
        <v>1724459.8235549927</v>
      </c>
      <c r="F6211" s="257" t="s">
        <v>17181</v>
      </c>
      <c r="G6211" s="9"/>
      <c r="H6211" s="257" t="s">
        <v>24215</v>
      </c>
      <c r="I6211" s="9">
        <v>4</v>
      </c>
    </row>
    <row r="6212" spans="1:9">
      <c r="A6212" s="257" t="s">
        <v>7310</v>
      </c>
      <c r="B6212" s="9">
        <v>3</v>
      </c>
      <c r="C6212" s="257" t="s">
        <v>12991</v>
      </c>
      <c r="D6212" s="9">
        <v>1</v>
      </c>
      <c r="E6212" s="9">
        <v>1724459.8235549927</v>
      </c>
      <c r="F6212" s="257" t="s">
        <v>17181</v>
      </c>
      <c r="G6212" s="9"/>
      <c r="H6212" s="257" t="s">
        <v>24216</v>
      </c>
      <c r="I6212" s="9">
        <v>4</v>
      </c>
    </row>
    <row r="6213" spans="1:9">
      <c r="A6213" s="257" t="s">
        <v>7311</v>
      </c>
      <c r="B6213" s="9">
        <v>3</v>
      </c>
      <c r="C6213" s="257" t="s">
        <v>12992</v>
      </c>
      <c r="D6213" s="9">
        <v>907.49883952969492</v>
      </c>
      <c r="E6213" s="9">
        <v>1724459.8235549927</v>
      </c>
      <c r="F6213" s="257" t="s">
        <v>17181</v>
      </c>
      <c r="G6213" s="9"/>
      <c r="H6213" s="257" t="s">
        <v>24217</v>
      </c>
      <c r="I6213" s="9">
        <v>4</v>
      </c>
    </row>
    <row r="6214" spans="1:9">
      <c r="A6214" s="257" t="s">
        <v>7312</v>
      </c>
      <c r="B6214" s="9">
        <v>3</v>
      </c>
      <c r="C6214" s="257" t="s">
        <v>12993</v>
      </c>
      <c r="D6214" s="9">
        <v>1724459.8235549927</v>
      </c>
      <c r="E6214" s="9">
        <v>1724459.8235549927</v>
      </c>
      <c r="F6214" s="257" t="s">
        <v>17182</v>
      </c>
      <c r="G6214" s="9"/>
      <c r="H6214" s="257" t="s">
        <v>24218</v>
      </c>
      <c r="I6214" s="9">
        <v>4</v>
      </c>
    </row>
    <row r="6215" spans="1:9">
      <c r="A6215" s="257" t="s">
        <v>7313</v>
      </c>
      <c r="B6215" s="9">
        <v>3</v>
      </c>
      <c r="C6215" s="257" t="s">
        <v>12994</v>
      </c>
      <c r="D6215" s="9">
        <v>2426812690.7115769</v>
      </c>
      <c r="E6215" s="9">
        <v>1724459.8235549927</v>
      </c>
      <c r="F6215" s="257" t="s">
        <v>17182</v>
      </c>
      <c r="G6215" s="9"/>
      <c r="H6215" s="257" t="s">
        <v>24219</v>
      </c>
      <c r="I6215" s="9">
        <v>4</v>
      </c>
    </row>
    <row r="6216" spans="1:9">
      <c r="A6216" s="257" t="s">
        <v>7314</v>
      </c>
      <c r="B6216" s="9">
        <v>3</v>
      </c>
      <c r="C6216" s="257" t="s">
        <v>12995</v>
      </c>
      <c r="D6216" s="9">
        <v>1</v>
      </c>
      <c r="E6216" s="9">
        <v>1724459.8235549927</v>
      </c>
      <c r="F6216" s="257" t="s">
        <v>17182</v>
      </c>
      <c r="G6216" s="9"/>
      <c r="H6216" s="257" t="s">
        <v>24220</v>
      </c>
      <c r="I6216" s="9">
        <v>4</v>
      </c>
    </row>
    <row r="6217" spans="1:9">
      <c r="A6217" s="257" t="s">
        <v>7315</v>
      </c>
      <c r="B6217" s="9">
        <v>3</v>
      </c>
      <c r="C6217" s="257" t="s">
        <v>12996</v>
      </c>
      <c r="D6217" s="9">
        <v>1407.2886231171663</v>
      </c>
      <c r="E6217" s="9">
        <v>1724459.8235549927</v>
      </c>
      <c r="F6217" s="257" t="s">
        <v>17182</v>
      </c>
      <c r="G6217" s="9"/>
      <c r="H6217" s="257" t="s">
        <v>24221</v>
      </c>
      <c r="I6217" s="9">
        <v>4</v>
      </c>
    </row>
    <row r="6218" spans="1:9">
      <c r="A6218" s="257" t="s">
        <v>7316</v>
      </c>
      <c r="B6218" s="9">
        <v>3</v>
      </c>
      <c r="C6218" s="257" t="s">
        <v>12997</v>
      </c>
      <c r="D6218" s="9">
        <v>606140.43930053711</v>
      </c>
      <c r="E6218" s="9">
        <v>1724459.8235549927</v>
      </c>
      <c r="F6218" s="257" t="s">
        <v>17183</v>
      </c>
      <c r="G6218" s="9"/>
      <c r="H6218" s="257" t="s">
        <v>24222</v>
      </c>
      <c r="I6218" s="9">
        <v>4</v>
      </c>
    </row>
    <row r="6219" spans="1:9">
      <c r="A6219" s="257" t="s">
        <v>7317</v>
      </c>
      <c r="B6219" s="9">
        <v>3</v>
      </c>
      <c r="C6219" s="257" t="s">
        <v>12998</v>
      </c>
      <c r="D6219" s="9">
        <v>2746599669.2663484</v>
      </c>
      <c r="E6219" s="9">
        <v>1724459.8235549927</v>
      </c>
      <c r="F6219" s="257" t="s">
        <v>17183</v>
      </c>
      <c r="G6219" s="9"/>
      <c r="H6219" s="257" t="s">
        <v>24223</v>
      </c>
      <c r="I6219" s="9">
        <v>4</v>
      </c>
    </row>
    <row r="6220" spans="1:9">
      <c r="A6220" s="257" t="s">
        <v>7318</v>
      </c>
      <c r="B6220" s="9">
        <v>3</v>
      </c>
      <c r="C6220" s="257" t="s">
        <v>12999</v>
      </c>
      <c r="D6220" s="9">
        <v>0.35149583134443341</v>
      </c>
      <c r="E6220" s="9">
        <v>1724459.8235549927</v>
      </c>
      <c r="F6220" s="257" t="s">
        <v>17183</v>
      </c>
      <c r="G6220" s="9"/>
      <c r="H6220" s="257" t="s">
        <v>24224</v>
      </c>
      <c r="I6220" s="9">
        <v>4</v>
      </c>
    </row>
    <row r="6221" spans="1:9">
      <c r="A6221" s="257" t="s">
        <v>7319</v>
      </c>
      <c r="B6221" s="9">
        <v>3</v>
      </c>
      <c r="C6221" s="257" t="s">
        <v>13000</v>
      </c>
      <c r="D6221" s="9">
        <v>1592.7304491236005</v>
      </c>
      <c r="E6221" s="9">
        <v>1724459.8235549927</v>
      </c>
      <c r="F6221" s="257" t="s">
        <v>17183</v>
      </c>
      <c r="G6221" s="9"/>
      <c r="H6221" s="257" t="s">
        <v>24225</v>
      </c>
      <c r="I6221" s="9">
        <v>4</v>
      </c>
    </row>
    <row r="6222" spans="1:9">
      <c r="A6222" s="257" t="s">
        <v>7320</v>
      </c>
      <c r="B6222" s="9">
        <v>3</v>
      </c>
      <c r="C6222" s="257" t="s">
        <v>13001</v>
      </c>
      <c r="D6222" s="9">
        <v>0</v>
      </c>
      <c r="E6222" s="9">
        <v>1724459.8235549927</v>
      </c>
      <c r="F6222" s="257" t="s">
        <v>17184</v>
      </c>
      <c r="G6222" s="9"/>
      <c r="H6222" s="257" t="s">
        <v>24226</v>
      </c>
      <c r="I6222" s="9">
        <v>4</v>
      </c>
    </row>
    <row r="6223" spans="1:9">
      <c r="A6223" s="257" t="s">
        <v>7321</v>
      </c>
      <c r="B6223" s="9">
        <v>3</v>
      </c>
      <c r="C6223" s="257" t="s">
        <v>13002</v>
      </c>
      <c r="D6223" s="9">
        <v>-468606477.35986483</v>
      </c>
      <c r="E6223" s="9">
        <v>1724459.8235549927</v>
      </c>
      <c r="F6223" s="257" t="s">
        <v>17184</v>
      </c>
      <c r="G6223" s="9"/>
      <c r="H6223" s="257" t="s">
        <v>24227</v>
      </c>
      <c r="I6223" s="9">
        <v>4</v>
      </c>
    </row>
    <row r="6224" spans="1:9">
      <c r="A6224" s="257" t="s">
        <v>7322</v>
      </c>
      <c r="B6224" s="9">
        <v>3</v>
      </c>
      <c r="C6224" s="257" t="s">
        <v>13003</v>
      </c>
      <c r="D6224" s="9">
        <v>0</v>
      </c>
      <c r="E6224" s="9">
        <v>1724459.8235549927</v>
      </c>
      <c r="F6224" s="257" t="s">
        <v>17184</v>
      </c>
      <c r="G6224" s="9"/>
      <c r="H6224" s="257" t="s">
        <v>24228</v>
      </c>
      <c r="I6224" s="9">
        <v>4</v>
      </c>
    </row>
    <row r="6225" spans="1:9">
      <c r="A6225" s="257" t="s">
        <v>7323</v>
      </c>
      <c r="B6225" s="9">
        <v>3</v>
      </c>
      <c r="C6225" s="257" t="s">
        <v>13004</v>
      </c>
      <c r="D6225" s="9">
        <v>-271.74102345500137</v>
      </c>
      <c r="E6225" s="9">
        <v>1724459.8235549927</v>
      </c>
      <c r="F6225" s="257" t="s">
        <v>17184</v>
      </c>
      <c r="G6225" s="9"/>
      <c r="H6225" s="257" t="s">
        <v>24229</v>
      </c>
      <c r="I6225" s="9">
        <v>4</v>
      </c>
    </row>
    <row r="6226" spans="1:9">
      <c r="A6226" s="257" t="s">
        <v>7324</v>
      </c>
      <c r="B6226" s="9">
        <v>3</v>
      </c>
      <c r="C6226" s="257" t="s">
        <v>13005</v>
      </c>
      <c r="D6226" s="9">
        <v>599356.54788208008</v>
      </c>
      <c r="E6226" s="9">
        <v>1724459.8235549927</v>
      </c>
      <c r="F6226" s="257" t="s">
        <v>17185</v>
      </c>
      <c r="G6226" s="9"/>
      <c r="H6226" s="257" t="s">
        <v>24230</v>
      </c>
      <c r="I6226" s="9">
        <v>4</v>
      </c>
    </row>
    <row r="6227" spans="1:9">
      <c r="A6227" s="257" t="s">
        <v>7325</v>
      </c>
      <c r="B6227" s="9">
        <v>3</v>
      </c>
      <c r="C6227" s="257" t="s">
        <v>13006</v>
      </c>
      <c r="D6227" s="9">
        <v>2277993191.9064832</v>
      </c>
      <c r="E6227" s="9">
        <v>1724459.8235549927</v>
      </c>
      <c r="F6227" s="257" t="s">
        <v>17185</v>
      </c>
      <c r="G6227" s="9"/>
      <c r="H6227" s="257" t="s">
        <v>24231</v>
      </c>
      <c r="I6227" s="9">
        <v>4</v>
      </c>
    </row>
    <row r="6228" spans="1:9">
      <c r="A6228" s="257" t="s">
        <v>7326</v>
      </c>
      <c r="B6228" s="9">
        <v>3</v>
      </c>
      <c r="C6228" s="257" t="s">
        <v>13007</v>
      </c>
      <c r="D6228" s="9">
        <v>0.34756190877587395</v>
      </c>
      <c r="E6228" s="9">
        <v>1724459.8235549927</v>
      </c>
      <c r="F6228" s="257" t="s">
        <v>17185</v>
      </c>
      <c r="G6228" s="9"/>
      <c r="H6228" s="257" t="s">
        <v>24232</v>
      </c>
      <c r="I6228" s="9">
        <v>4</v>
      </c>
    </row>
    <row r="6229" spans="1:9">
      <c r="A6229" s="257" t="s">
        <v>7327</v>
      </c>
      <c r="B6229" s="9">
        <v>3</v>
      </c>
      <c r="C6229" s="257" t="s">
        <v>13008</v>
      </c>
      <c r="D6229" s="9">
        <v>1320.9894256685989</v>
      </c>
      <c r="E6229" s="9">
        <v>1724459.8235549927</v>
      </c>
      <c r="F6229" s="257" t="s">
        <v>17185</v>
      </c>
      <c r="G6229" s="9"/>
      <c r="H6229" s="257" t="s">
        <v>24233</v>
      </c>
      <c r="I6229" s="9">
        <v>4</v>
      </c>
    </row>
    <row r="6230" spans="1:9">
      <c r="A6230" s="257" t="s">
        <v>7328</v>
      </c>
      <c r="B6230" s="9">
        <v>3</v>
      </c>
      <c r="C6230" s="257" t="s">
        <v>13009</v>
      </c>
      <c r="D6230" s="9">
        <v>78741.791076660156</v>
      </c>
      <c r="E6230" s="9">
        <v>1724459.8235549927</v>
      </c>
      <c r="F6230" s="257" t="s">
        <v>17186</v>
      </c>
      <c r="G6230" s="9"/>
      <c r="H6230" s="257" t="s">
        <v>24234</v>
      </c>
      <c r="I6230" s="9">
        <v>4</v>
      </c>
    </row>
    <row r="6231" spans="1:9">
      <c r="A6231" s="257" t="s">
        <v>7329</v>
      </c>
      <c r="B6231" s="9">
        <v>3</v>
      </c>
      <c r="C6231" s="257" t="s">
        <v>13010</v>
      </c>
      <c r="D6231" s="9">
        <v>114435883.295725</v>
      </c>
      <c r="E6231" s="9">
        <v>1724459.8235549927</v>
      </c>
      <c r="F6231" s="257" t="s">
        <v>17186</v>
      </c>
      <c r="G6231" s="9"/>
      <c r="H6231" s="257" t="s">
        <v>24235</v>
      </c>
      <c r="I6231" s="9">
        <v>4</v>
      </c>
    </row>
    <row r="6232" spans="1:9">
      <c r="A6232" s="257" t="s">
        <v>7330</v>
      </c>
      <c r="B6232" s="9">
        <v>3</v>
      </c>
      <c r="C6232" s="257" t="s">
        <v>13011</v>
      </c>
      <c r="D6232" s="9">
        <v>4.5661713889241617E-2</v>
      </c>
      <c r="E6232" s="9">
        <v>1724459.8235549927</v>
      </c>
      <c r="F6232" s="257" t="s">
        <v>17186</v>
      </c>
      <c r="G6232" s="9"/>
      <c r="H6232" s="257" t="s">
        <v>24236</v>
      </c>
      <c r="I6232" s="9">
        <v>4</v>
      </c>
    </row>
    <row r="6233" spans="1:9">
      <c r="A6233" s="257" t="s">
        <v>7331</v>
      </c>
      <c r="B6233" s="9">
        <v>3</v>
      </c>
      <c r="C6233" s="257" t="s">
        <v>13012</v>
      </c>
      <c r="D6233" s="9">
        <v>66.360422975708531</v>
      </c>
      <c r="E6233" s="9">
        <v>1724459.8235549927</v>
      </c>
      <c r="F6233" s="257" t="s">
        <v>17186</v>
      </c>
      <c r="G6233" s="9"/>
      <c r="H6233" s="257" t="s">
        <v>24237</v>
      </c>
      <c r="I6233" s="9">
        <v>4</v>
      </c>
    </row>
    <row r="6234" spans="1:9">
      <c r="A6234" s="257" t="s">
        <v>7332</v>
      </c>
      <c r="B6234" s="9">
        <v>3</v>
      </c>
      <c r="C6234" s="257" t="s">
        <v>13013</v>
      </c>
      <c r="D6234" s="9">
        <v>558196.97508239746</v>
      </c>
      <c r="E6234" s="9">
        <v>1724459.8235549927</v>
      </c>
      <c r="F6234" s="257" t="s">
        <v>17187</v>
      </c>
      <c r="G6234" s="9"/>
      <c r="H6234" s="257" t="s">
        <v>24238</v>
      </c>
      <c r="I6234" s="9">
        <v>4</v>
      </c>
    </row>
    <row r="6235" spans="1:9">
      <c r="A6235" s="257" t="s">
        <v>7333</v>
      </c>
      <c r="B6235" s="9">
        <v>3</v>
      </c>
      <c r="C6235" s="257" t="s">
        <v>13014</v>
      </c>
      <c r="D6235" s="9">
        <v>861867402.01983845</v>
      </c>
      <c r="E6235" s="9">
        <v>1724459.8235549927</v>
      </c>
      <c r="F6235" s="257" t="s">
        <v>17187</v>
      </c>
      <c r="G6235" s="9"/>
      <c r="H6235" s="257" t="s">
        <v>24239</v>
      </c>
      <c r="I6235" s="9">
        <v>4</v>
      </c>
    </row>
    <row r="6236" spans="1:9">
      <c r="A6236" s="257" t="s">
        <v>7334</v>
      </c>
      <c r="B6236" s="9">
        <v>3</v>
      </c>
      <c r="C6236" s="257" t="s">
        <v>13015</v>
      </c>
      <c r="D6236" s="9">
        <v>0.32369381266979497</v>
      </c>
      <c r="E6236" s="9">
        <v>1724459.8235549927</v>
      </c>
      <c r="F6236" s="257" t="s">
        <v>17187</v>
      </c>
      <c r="G6236" s="9"/>
      <c r="H6236" s="257" t="s">
        <v>24240</v>
      </c>
      <c r="I6236" s="9">
        <v>4</v>
      </c>
    </row>
    <row r="6237" spans="1:9">
      <c r="A6237" s="257" t="s">
        <v>7335</v>
      </c>
      <c r="B6237" s="9">
        <v>3</v>
      </c>
      <c r="C6237" s="257" t="s">
        <v>13016</v>
      </c>
      <c r="D6237" s="9">
        <v>499.78978358747116</v>
      </c>
      <c r="E6237" s="9">
        <v>1724459.8235549927</v>
      </c>
      <c r="F6237" s="257" t="s">
        <v>17187</v>
      </c>
      <c r="G6237" s="9"/>
      <c r="H6237" s="257" t="s">
        <v>24241</v>
      </c>
      <c r="I6237" s="9">
        <v>4</v>
      </c>
    </row>
    <row r="6238" spans="1:9">
      <c r="A6238" s="257" t="s">
        <v>7336</v>
      </c>
      <c r="B6238" s="9">
        <v>3</v>
      </c>
      <c r="C6238" s="257" t="s">
        <v>13017</v>
      </c>
      <c r="D6238" s="9">
        <v>870116.52136993408</v>
      </c>
      <c r="E6238" s="9">
        <v>1724459.8235549927</v>
      </c>
      <c r="F6238" s="257" t="s">
        <v>17188</v>
      </c>
      <c r="G6238" s="9"/>
      <c r="H6238" s="257" t="s">
        <v>24242</v>
      </c>
      <c r="I6238" s="9">
        <v>4</v>
      </c>
    </row>
    <row r="6239" spans="1:9">
      <c r="A6239" s="257" t="s">
        <v>7337</v>
      </c>
      <c r="B6239" s="9">
        <v>3</v>
      </c>
      <c r="C6239" s="257" t="s">
        <v>13018</v>
      </c>
      <c r="D6239" s="9">
        <v>3983587597.0674872</v>
      </c>
      <c r="E6239" s="9">
        <v>1724459.8235549927</v>
      </c>
      <c r="F6239" s="257" t="s">
        <v>17188</v>
      </c>
      <c r="G6239" s="9"/>
      <c r="H6239" s="257" t="s">
        <v>24243</v>
      </c>
      <c r="I6239" s="9">
        <v>4</v>
      </c>
    </row>
    <row r="6240" spans="1:9">
      <c r="A6240" s="257" t="s">
        <v>7338</v>
      </c>
      <c r="B6240" s="9">
        <v>3</v>
      </c>
      <c r="C6240" s="257" t="s">
        <v>13019</v>
      </c>
      <c r="D6240" s="9">
        <v>0.50457337972431238</v>
      </c>
      <c r="E6240" s="9">
        <v>1724459.8235549927</v>
      </c>
      <c r="F6240" s="257" t="s">
        <v>17188</v>
      </c>
      <c r="G6240" s="9"/>
      <c r="H6240" s="257" t="s">
        <v>24244</v>
      </c>
      <c r="I6240" s="9">
        <v>4</v>
      </c>
    </row>
    <row r="6241" spans="1:9">
      <c r="A6241" s="257" t="s">
        <v>7339</v>
      </c>
      <c r="B6241" s="9">
        <v>3</v>
      </c>
      <c r="C6241" s="257" t="s">
        <v>13020</v>
      </c>
      <c r="D6241" s="9">
        <v>2310.0495254538769</v>
      </c>
      <c r="E6241" s="9">
        <v>1724459.8235549927</v>
      </c>
      <c r="F6241" s="257" t="s">
        <v>17188</v>
      </c>
      <c r="G6241" s="9"/>
      <c r="H6241" s="257" t="s">
        <v>24245</v>
      </c>
      <c r="I6241" s="9">
        <v>4</v>
      </c>
    </row>
    <row r="6242" spans="1:9">
      <c r="A6242" s="257" t="s">
        <v>7340</v>
      </c>
      <c r="B6242" s="9">
        <v>4</v>
      </c>
      <c r="C6242" s="257" t="s">
        <v>13021</v>
      </c>
      <c r="D6242" s="9">
        <v>620191.47164916992</v>
      </c>
      <c r="E6242" s="9">
        <v>1728561.5107574463</v>
      </c>
      <c r="F6242" s="257" t="s">
        <v>17189</v>
      </c>
      <c r="G6242" s="9"/>
      <c r="H6242" s="257" t="s">
        <v>24246</v>
      </c>
      <c r="I6242" s="9">
        <v>4</v>
      </c>
    </row>
    <row r="6243" spans="1:9">
      <c r="A6243" s="257" t="s">
        <v>7341</v>
      </c>
      <c r="B6243" s="9">
        <v>4</v>
      </c>
      <c r="C6243" s="257" t="s">
        <v>13022</v>
      </c>
      <c r="D6243" s="9">
        <v>1816564010.6574709</v>
      </c>
      <c r="E6243" s="9">
        <v>1728561.5107574463</v>
      </c>
      <c r="F6243" s="257" t="s">
        <v>17189</v>
      </c>
      <c r="G6243" s="9"/>
      <c r="H6243" s="257" t="s">
        <v>24247</v>
      </c>
      <c r="I6243" s="9">
        <v>4</v>
      </c>
    </row>
    <row r="6244" spans="1:9">
      <c r="A6244" s="257" t="s">
        <v>7342</v>
      </c>
      <c r="B6244" s="9">
        <v>4</v>
      </c>
      <c r="C6244" s="257" t="s">
        <v>13023</v>
      </c>
      <c r="D6244" s="9">
        <v>0.35879051326174988</v>
      </c>
      <c r="E6244" s="9">
        <v>1728561.5107574463</v>
      </c>
      <c r="F6244" s="257" t="s">
        <v>17189</v>
      </c>
      <c r="G6244" s="9"/>
      <c r="H6244" s="257" t="s">
        <v>24248</v>
      </c>
      <c r="I6244" s="9">
        <v>4</v>
      </c>
    </row>
    <row r="6245" spans="1:9">
      <c r="A6245" s="257" t="s">
        <v>7343</v>
      </c>
      <c r="B6245" s="9">
        <v>4</v>
      </c>
      <c r="C6245" s="257" t="s">
        <v>13024</v>
      </c>
      <c r="D6245" s="9">
        <v>1050.9108292371166</v>
      </c>
      <c r="E6245" s="9">
        <v>1728561.5107574463</v>
      </c>
      <c r="F6245" s="257" t="s">
        <v>17189</v>
      </c>
      <c r="G6245" s="9"/>
      <c r="H6245" s="257" t="s">
        <v>24249</v>
      </c>
      <c r="I6245" s="9">
        <v>4</v>
      </c>
    </row>
    <row r="6246" spans="1:9">
      <c r="A6246" s="257" t="s">
        <v>7344</v>
      </c>
      <c r="B6246" s="9">
        <v>4</v>
      </c>
      <c r="C6246" s="257" t="s">
        <v>13025</v>
      </c>
      <c r="D6246" s="9">
        <v>0</v>
      </c>
      <c r="E6246" s="9">
        <v>1728561.5107574463</v>
      </c>
      <c r="F6246" s="257" t="s">
        <v>17190</v>
      </c>
      <c r="G6246" s="9"/>
      <c r="H6246" s="257" t="s">
        <v>24250</v>
      </c>
      <c r="I6246" s="9">
        <v>4</v>
      </c>
    </row>
    <row r="6247" spans="1:9">
      <c r="A6247" s="257" t="s">
        <v>7345</v>
      </c>
      <c r="B6247" s="9">
        <v>4</v>
      </c>
      <c r="C6247" s="257" t="s">
        <v>13026</v>
      </c>
      <c r="D6247" s="9">
        <v>0</v>
      </c>
      <c r="E6247" s="9">
        <v>1728561.5107574463</v>
      </c>
      <c r="F6247" s="257" t="s">
        <v>17190</v>
      </c>
      <c r="G6247" s="9"/>
      <c r="H6247" s="257" t="s">
        <v>24251</v>
      </c>
      <c r="I6247" s="9">
        <v>4</v>
      </c>
    </row>
    <row r="6248" spans="1:9">
      <c r="A6248" s="257" t="s">
        <v>7346</v>
      </c>
      <c r="B6248" s="9">
        <v>4</v>
      </c>
      <c r="C6248" s="257" t="s">
        <v>13027</v>
      </c>
      <c r="D6248" s="9">
        <v>0</v>
      </c>
      <c r="E6248" s="9">
        <v>1728561.5107574463</v>
      </c>
      <c r="F6248" s="257" t="s">
        <v>17190</v>
      </c>
      <c r="G6248" s="9"/>
      <c r="H6248" s="257" t="s">
        <v>24252</v>
      </c>
      <c r="I6248" s="9">
        <v>4</v>
      </c>
    </row>
    <row r="6249" spans="1:9">
      <c r="A6249" s="257" t="s">
        <v>7347</v>
      </c>
      <c r="B6249" s="9">
        <v>4</v>
      </c>
      <c r="C6249" s="257" t="s">
        <v>13028</v>
      </c>
      <c r="D6249" s="9">
        <v>0</v>
      </c>
      <c r="E6249" s="9">
        <v>1728561.5107574463</v>
      </c>
      <c r="F6249" s="257" t="s">
        <v>17190</v>
      </c>
      <c r="G6249" s="9"/>
      <c r="H6249" s="257" t="s">
        <v>24253</v>
      </c>
      <c r="I6249" s="9">
        <v>4</v>
      </c>
    </row>
    <row r="6250" spans="1:9">
      <c r="A6250" s="257" t="s">
        <v>7348</v>
      </c>
      <c r="B6250" s="9">
        <v>4</v>
      </c>
      <c r="C6250" s="257" t="s">
        <v>13029</v>
      </c>
      <c r="D6250" s="9">
        <v>827972.07026672363</v>
      </c>
      <c r="E6250" s="9">
        <v>1728561.5107574463</v>
      </c>
      <c r="F6250" s="257" t="s">
        <v>17191</v>
      </c>
      <c r="G6250" s="9"/>
      <c r="H6250" s="257" t="s">
        <v>24254</v>
      </c>
      <c r="I6250" s="9">
        <v>4</v>
      </c>
    </row>
    <row r="6251" spans="1:9">
      <c r="A6251" s="257" t="s">
        <v>7349</v>
      </c>
      <c r="B6251" s="9">
        <v>4</v>
      </c>
      <c r="C6251" s="257" t="s">
        <v>13030</v>
      </c>
      <c r="D6251" s="9">
        <v>184544019.93633687</v>
      </c>
      <c r="E6251" s="9">
        <v>1728561.5107574463</v>
      </c>
      <c r="F6251" s="257" t="s">
        <v>17191</v>
      </c>
      <c r="G6251" s="9"/>
      <c r="H6251" s="257" t="s">
        <v>24255</v>
      </c>
      <c r="I6251" s="9">
        <v>4</v>
      </c>
    </row>
    <row r="6252" spans="1:9">
      <c r="A6252" s="257" t="s">
        <v>7350</v>
      </c>
      <c r="B6252" s="9">
        <v>4</v>
      </c>
      <c r="C6252" s="257" t="s">
        <v>13031</v>
      </c>
      <c r="D6252" s="9">
        <v>0.4789948550363769</v>
      </c>
      <c r="E6252" s="9">
        <v>1728561.5107574463</v>
      </c>
      <c r="F6252" s="257" t="s">
        <v>17191</v>
      </c>
      <c r="G6252" s="9"/>
      <c r="H6252" s="257" t="s">
        <v>24256</v>
      </c>
      <c r="I6252" s="9">
        <v>4</v>
      </c>
    </row>
    <row r="6253" spans="1:9">
      <c r="A6253" s="257" t="s">
        <v>7351</v>
      </c>
      <c r="B6253" s="9">
        <v>4</v>
      </c>
      <c r="C6253" s="257" t="s">
        <v>13032</v>
      </c>
      <c r="D6253" s="9">
        <v>106.76161582208937</v>
      </c>
      <c r="E6253" s="9">
        <v>1728561.5107574463</v>
      </c>
      <c r="F6253" s="257" t="s">
        <v>17191</v>
      </c>
      <c r="G6253" s="9"/>
      <c r="H6253" s="257" t="s">
        <v>24257</v>
      </c>
      <c r="I6253" s="9">
        <v>4</v>
      </c>
    </row>
    <row r="6254" spans="1:9">
      <c r="A6254" s="257" t="s">
        <v>7352</v>
      </c>
      <c r="B6254" s="9">
        <v>4</v>
      </c>
      <c r="C6254" s="257" t="s">
        <v>13033</v>
      </c>
      <c r="D6254" s="9">
        <v>324515.42437744141</v>
      </c>
      <c r="E6254" s="9">
        <v>1728561.5107574463</v>
      </c>
      <c r="F6254" s="257" t="s">
        <v>17192</v>
      </c>
      <c r="G6254" s="9"/>
      <c r="H6254" s="257" t="s">
        <v>24258</v>
      </c>
      <c r="I6254" s="9">
        <v>4</v>
      </c>
    </row>
    <row r="6255" spans="1:9">
      <c r="A6255" s="257" t="s">
        <v>7353</v>
      </c>
      <c r="B6255" s="9">
        <v>4</v>
      </c>
      <c r="C6255" s="257" t="s">
        <v>13034</v>
      </c>
      <c r="D6255" s="9">
        <v>69022592.239488214</v>
      </c>
      <c r="E6255" s="9">
        <v>1728561.5107574463</v>
      </c>
      <c r="F6255" s="257" t="s">
        <v>17192</v>
      </c>
      <c r="G6255" s="9"/>
      <c r="H6255" s="257" t="s">
        <v>24259</v>
      </c>
      <c r="I6255" s="9">
        <v>4</v>
      </c>
    </row>
    <row r="6256" spans="1:9">
      <c r="A6256" s="257" t="s">
        <v>7354</v>
      </c>
      <c r="B6256" s="9">
        <v>4</v>
      </c>
      <c r="C6256" s="257" t="s">
        <v>13035</v>
      </c>
      <c r="D6256" s="9">
        <v>0.18773727307814492</v>
      </c>
      <c r="E6256" s="9">
        <v>1728561.5107574463</v>
      </c>
      <c r="F6256" s="257" t="s">
        <v>17192</v>
      </c>
      <c r="G6256" s="9"/>
      <c r="H6256" s="257" t="s">
        <v>24260</v>
      </c>
      <c r="I6256" s="9">
        <v>4</v>
      </c>
    </row>
    <row r="6257" spans="1:9">
      <c r="A6257" s="257" t="s">
        <v>7355</v>
      </c>
      <c r="B6257" s="9">
        <v>4</v>
      </c>
      <c r="C6257" s="257" t="s">
        <v>13036</v>
      </c>
      <c r="D6257" s="9">
        <v>39.930654367771318</v>
      </c>
      <c r="E6257" s="9">
        <v>1728561.5107574463</v>
      </c>
      <c r="F6257" s="257" t="s">
        <v>17192</v>
      </c>
      <c r="G6257" s="9"/>
      <c r="H6257" s="257" t="s">
        <v>24261</v>
      </c>
      <c r="I6257" s="9">
        <v>4</v>
      </c>
    </row>
    <row r="6258" spans="1:9">
      <c r="A6258" s="257" t="s">
        <v>7356</v>
      </c>
      <c r="B6258" s="9">
        <v>4</v>
      </c>
      <c r="C6258" s="257" t="s">
        <v>13037</v>
      </c>
      <c r="D6258" s="9">
        <v>609451.84519958496</v>
      </c>
      <c r="E6258" s="9">
        <v>1728561.5107574463</v>
      </c>
      <c r="F6258" s="257" t="s">
        <v>17193</v>
      </c>
      <c r="G6258" s="9"/>
      <c r="H6258" s="257" t="s">
        <v>24262</v>
      </c>
      <c r="I6258" s="9">
        <v>4</v>
      </c>
    </row>
    <row r="6259" spans="1:9">
      <c r="A6259" s="257" t="s">
        <v>7357</v>
      </c>
      <c r="B6259" s="9">
        <v>4</v>
      </c>
      <c r="C6259" s="257" t="s">
        <v>13038</v>
      </c>
      <c r="D6259" s="9">
        <v>1825585761.0227985</v>
      </c>
      <c r="E6259" s="9">
        <v>1728561.5107574463</v>
      </c>
      <c r="F6259" s="257" t="s">
        <v>17193</v>
      </c>
      <c r="G6259" s="9"/>
      <c r="H6259" s="257" t="s">
        <v>24263</v>
      </c>
      <c r="I6259" s="9">
        <v>4</v>
      </c>
    </row>
    <row r="6260" spans="1:9">
      <c r="A6260" s="257" t="s">
        <v>7358</v>
      </c>
      <c r="B6260" s="9">
        <v>4</v>
      </c>
      <c r="C6260" s="257" t="s">
        <v>13039</v>
      </c>
      <c r="D6260" s="9">
        <v>0.3525774705769808</v>
      </c>
      <c r="E6260" s="9">
        <v>1728561.5107574463</v>
      </c>
      <c r="F6260" s="257" t="s">
        <v>17193</v>
      </c>
      <c r="G6260" s="9"/>
      <c r="H6260" s="257" t="s">
        <v>24264</v>
      </c>
      <c r="I6260" s="9">
        <v>4</v>
      </c>
    </row>
    <row r="6261" spans="1:9">
      <c r="A6261" s="257" t="s">
        <v>7359</v>
      </c>
      <c r="B6261" s="9">
        <v>4</v>
      </c>
      <c r="C6261" s="257" t="s">
        <v>13040</v>
      </c>
      <c r="D6261" s="9">
        <v>1056.130053609048</v>
      </c>
      <c r="E6261" s="9">
        <v>1728561.5107574463</v>
      </c>
      <c r="F6261" s="257" t="s">
        <v>17193</v>
      </c>
      <c r="G6261" s="9"/>
      <c r="H6261" s="257" t="s">
        <v>24265</v>
      </c>
      <c r="I6261" s="9">
        <v>4</v>
      </c>
    </row>
    <row r="6262" spans="1:9">
      <c r="A6262" s="257" t="s">
        <v>7360</v>
      </c>
      <c r="B6262" s="9">
        <v>4</v>
      </c>
      <c r="C6262" s="257" t="s">
        <v>13041</v>
      </c>
      <c r="D6262" s="9">
        <v>152963.51057434082</v>
      </c>
      <c r="E6262" s="9">
        <v>1728561.5107574463</v>
      </c>
      <c r="F6262" s="257" t="s">
        <v>17194</v>
      </c>
      <c r="G6262" s="9"/>
      <c r="H6262" s="257" t="s">
        <v>24266</v>
      </c>
      <c r="I6262" s="9">
        <v>4</v>
      </c>
    </row>
    <row r="6263" spans="1:9">
      <c r="A6263" s="257" t="s">
        <v>7361</v>
      </c>
      <c r="B6263" s="9">
        <v>4</v>
      </c>
      <c r="C6263" s="257" t="s">
        <v>13042</v>
      </c>
      <c r="D6263" s="9">
        <v>1344994339.4908531</v>
      </c>
      <c r="E6263" s="9">
        <v>1728561.5107574463</v>
      </c>
      <c r="F6263" s="257" t="s">
        <v>17194</v>
      </c>
      <c r="G6263" s="9"/>
      <c r="H6263" s="257" t="s">
        <v>24267</v>
      </c>
      <c r="I6263" s="9">
        <v>4</v>
      </c>
    </row>
    <row r="6264" spans="1:9">
      <c r="A6264" s="257" t="s">
        <v>7362</v>
      </c>
      <c r="B6264" s="9">
        <v>4</v>
      </c>
      <c r="C6264" s="257" t="s">
        <v>13043</v>
      </c>
      <c r="D6264" s="9">
        <v>8.8491794837727844E-2</v>
      </c>
      <c r="E6264" s="9">
        <v>1728561.5107574463</v>
      </c>
      <c r="F6264" s="257" t="s">
        <v>17194</v>
      </c>
      <c r="G6264" s="9"/>
      <c r="H6264" s="257" t="s">
        <v>24268</v>
      </c>
      <c r="I6264" s="9">
        <v>4</v>
      </c>
    </row>
    <row r="6265" spans="1:9">
      <c r="A6265" s="257" t="s">
        <v>7363</v>
      </c>
      <c r="B6265" s="9">
        <v>4</v>
      </c>
      <c r="C6265" s="257" t="s">
        <v>13044</v>
      </c>
      <c r="D6265" s="9">
        <v>778.10036329079423</v>
      </c>
      <c r="E6265" s="9">
        <v>1728561.5107574463</v>
      </c>
      <c r="F6265" s="257" t="s">
        <v>17194</v>
      </c>
      <c r="G6265" s="9"/>
      <c r="H6265" s="257" t="s">
        <v>24269</v>
      </c>
      <c r="I6265" s="9">
        <v>4</v>
      </c>
    </row>
    <row r="6266" spans="1:9">
      <c r="A6266" s="257" t="s">
        <v>7364</v>
      </c>
      <c r="B6266" s="9">
        <v>4</v>
      </c>
      <c r="C6266" s="257" t="s">
        <v>13045</v>
      </c>
      <c r="D6266" s="9">
        <v>1249321.4650726318</v>
      </c>
      <c r="E6266" s="9">
        <v>1728561.5107574463</v>
      </c>
      <c r="F6266" s="257" t="s">
        <v>17195</v>
      </c>
      <c r="G6266" s="9"/>
      <c r="H6266" s="257" t="s">
        <v>24270</v>
      </c>
      <c r="I6266" s="9">
        <v>4</v>
      </c>
    </row>
    <row r="6267" spans="1:9">
      <c r="A6267" s="257" t="s">
        <v>7365</v>
      </c>
      <c r="B6267" s="9">
        <v>4</v>
      </c>
      <c r="C6267" s="257" t="s">
        <v>13046</v>
      </c>
      <c r="D6267" s="9">
        <v>3424146712.6894765</v>
      </c>
      <c r="E6267" s="9">
        <v>1728561.5107574463</v>
      </c>
      <c r="F6267" s="257" t="s">
        <v>17195</v>
      </c>
      <c r="G6267" s="9"/>
      <c r="H6267" s="257" t="s">
        <v>24271</v>
      </c>
      <c r="I6267" s="9">
        <v>4</v>
      </c>
    </row>
    <row r="6268" spans="1:9">
      <c r="A6268" s="257" t="s">
        <v>7366</v>
      </c>
      <c r="B6268" s="9">
        <v>4</v>
      </c>
      <c r="C6268" s="257" t="s">
        <v>13047</v>
      </c>
      <c r="D6268" s="9">
        <v>0.72275210184749861</v>
      </c>
      <c r="E6268" s="9">
        <v>1728561.5107574463</v>
      </c>
      <c r="F6268" s="257" t="s">
        <v>17195</v>
      </c>
      <c r="G6268" s="9"/>
      <c r="H6268" s="257" t="s">
        <v>24272</v>
      </c>
      <c r="I6268" s="9">
        <v>4</v>
      </c>
    </row>
    <row r="6269" spans="1:9">
      <c r="A6269" s="257" t="s">
        <v>7367</v>
      </c>
      <c r="B6269" s="9">
        <v>4</v>
      </c>
      <c r="C6269" s="257" t="s">
        <v>13048</v>
      </c>
      <c r="D6269" s="9">
        <v>1980.9226870897028</v>
      </c>
      <c r="E6269" s="9">
        <v>1728561.5107574463</v>
      </c>
      <c r="F6269" s="257" t="s">
        <v>17195</v>
      </c>
      <c r="G6269" s="9"/>
      <c r="H6269" s="257" t="s">
        <v>24273</v>
      </c>
      <c r="I6269" s="9">
        <v>4</v>
      </c>
    </row>
    <row r="6270" spans="1:9">
      <c r="A6270" s="257" t="s">
        <v>7368</v>
      </c>
      <c r="B6270" s="9">
        <v>4</v>
      </c>
      <c r="C6270" s="257" t="s">
        <v>13049</v>
      </c>
      <c r="D6270" s="9">
        <v>807045.25248718262</v>
      </c>
      <c r="E6270" s="9">
        <v>1728561.5107574463</v>
      </c>
      <c r="F6270" s="257" t="s">
        <v>17196</v>
      </c>
      <c r="G6270" s="9"/>
      <c r="H6270" s="257" t="s">
        <v>24274</v>
      </c>
      <c r="I6270" s="9">
        <v>4</v>
      </c>
    </row>
    <row r="6271" spans="1:9">
      <c r="A6271" s="257" t="s">
        <v>7369</v>
      </c>
      <c r="B6271" s="9">
        <v>4</v>
      </c>
      <c r="C6271" s="257" t="s">
        <v>13050</v>
      </c>
      <c r="D6271" s="9">
        <v>3239602692.7531395</v>
      </c>
      <c r="E6271" s="9">
        <v>1728561.5107574463</v>
      </c>
      <c r="F6271" s="257" t="s">
        <v>17196</v>
      </c>
      <c r="G6271" s="9"/>
      <c r="H6271" s="257" t="s">
        <v>24275</v>
      </c>
      <c r="I6271" s="9">
        <v>4</v>
      </c>
    </row>
    <row r="6272" spans="1:9">
      <c r="A6272" s="257" t="s">
        <v>7370</v>
      </c>
      <c r="B6272" s="9">
        <v>4</v>
      </c>
      <c r="C6272" s="257" t="s">
        <v>13051</v>
      </c>
      <c r="D6272" s="9">
        <v>0.46688836206559969</v>
      </c>
      <c r="E6272" s="9">
        <v>1728561.5107574463</v>
      </c>
      <c r="F6272" s="257" t="s">
        <v>17196</v>
      </c>
      <c r="G6272" s="9"/>
      <c r="H6272" s="257" t="s">
        <v>24276</v>
      </c>
      <c r="I6272" s="9">
        <v>4</v>
      </c>
    </row>
    <row r="6273" spans="1:9">
      <c r="A6273" s="257" t="s">
        <v>7371</v>
      </c>
      <c r="B6273" s="9">
        <v>4</v>
      </c>
      <c r="C6273" s="257" t="s">
        <v>13052</v>
      </c>
      <c r="D6273" s="9">
        <v>1874.1610712676131</v>
      </c>
      <c r="E6273" s="9">
        <v>1728561.5107574463</v>
      </c>
      <c r="F6273" s="257" t="s">
        <v>17196</v>
      </c>
      <c r="G6273" s="9"/>
      <c r="H6273" s="257" t="s">
        <v>24277</v>
      </c>
      <c r="I6273" s="9">
        <v>4</v>
      </c>
    </row>
    <row r="6274" spans="1:9">
      <c r="A6274" s="257" t="s">
        <v>7372</v>
      </c>
      <c r="B6274" s="9">
        <v>4</v>
      </c>
      <c r="C6274" s="257" t="s">
        <v>13053</v>
      </c>
      <c r="D6274" s="9">
        <v>1728561.5107574463</v>
      </c>
      <c r="E6274" s="9">
        <v>1728561.5107574463</v>
      </c>
      <c r="F6274" s="257" t="s">
        <v>17197</v>
      </c>
      <c r="G6274" s="9"/>
      <c r="H6274" s="257" t="s">
        <v>24278</v>
      </c>
      <c r="I6274" s="9">
        <v>4</v>
      </c>
    </row>
    <row r="6275" spans="1:9">
      <c r="A6275" s="257" t="s">
        <v>7373</v>
      </c>
      <c r="B6275" s="9">
        <v>4</v>
      </c>
      <c r="C6275" s="257" t="s">
        <v>13054</v>
      </c>
      <c r="D6275" s="9">
        <v>8850241898.1732693</v>
      </c>
      <c r="E6275" s="9">
        <v>1728561.5107574463</v>
      </c>
      <c r="F6275" s="257" t="s">
        <v>17197</v>
      </c>
      <c r="G6275" s="9"/>
      <c r="H6275" s="257" t="s">
        <v>24279</v>
      </c>
      <c r="I6275" s="9">
        <v>4</v>
      </c>
    </row>
    <row r="6276" spans="1:9">
      <c r="A6276" s="257" t="s">
        <v>7374</v>
      </c>
      <c r="B6276" s="9">
        <v>4</v>
      </c>
      <c r="C6276" s="257" t="s">
        <v>13055</v>
      </c>
      <c r="D6276" s="9">
        <v>1</v>
      </c>
      <c r="E6276" s="9">
        <v>1728561.5107574463</v>
      </c>
      <c r="F6276" s="257" t="s">
        <v>17197</v>
      </c>
      <c r="G6276" s="9"/>
      <c r="H6276" s="257" t="s">
        <v>24280</v>
      </c>
      <c r="I6276" s="9">
        <v>4</v>
      </c>
    </row>
    <row r="6277" spans="1:9">
      <c r="A6277" s="257" t="s">
        <v>7375</v>
      </c>
      <c r="B6277" s="9">
        <v>4</v>
      </c>
      <c r="C6277" s="257" t="s">
        <v>13056</v>
      </c>
      <c r="D6277" s="9">
        <v>5120.004028259973</v>
      </c>
      <c r="E6277" s="9">
        <v>1728561.5107574463</v>
      </c>
      <c r="F6277" s="257" t="s">
        <v>17197</v>
      </c>
      <c r="G6277" s="9"/>
      <c r="H6277" s="257" t="s">
        <v>24281</v>
      </c>
      <c r="I6277" s="9">
        <v>4</v>
      </c>
    </row>
    <row r="6278" spans="1:9">
      <c r="A6278" s="257" t="s">
        <v>7376</v>
      </c>
      <c r="B6278" s="9">
        <v>4</v>
      </c>
      <c r="C6278" s="257" t="s">
        <v>13057</v>
      </c>
      <c r="D6278" s="9">
        <v>1728561.5107574463</v>
      </c>
      <c r="E6278" s="9">
        <v>1728561.5107574463</v>
      </c>
      <c r="F6278" s="257" t="s">
        <v>17198</v>
      </c>
      <c r="G6278" s="9"/>
      <c r="H6278" s="257" t="s">
        <v>24282</v>
      </c>
      <c r="I6278" s="9">
        <v>4</v>
      </c>
    </row>
    <row r="6279" spans="1:9">
      <c r="A6279" s="257" t="s">
        <v>7377</v>
      </c>
      <c r="B6279" s="9">
        <v>4</v>
      </c>
      <c r="C6279" s="257" t="s">
        <v>13058</v>
      </c>
      <c r="D6279" s="9">
        <v>5426095185.4837923</v>
      </c>
      <c r="E6279" s="9">
        <v>1728561.5107574463</v>
      </c>
      <c r="F6279" s="257" t="s">
        <v>17198</v>
      </c>
      <c r="G6279" s="9"/>
      <c r="H6279" s="257" t="s">
        <v>24283</v>
      </c>
      <c r="I6279" s="9">
        <v>4</v>
      </c>
    </row>
    <row r="6280" spans="1:9">
      <c r="A6280" s="257" t="s">
        <v>7378</v>
      </c>
      <c r="B6280" s="9">
        <v>4</v>
      </c>
      <c r="C6280" s="257" t="s">
        <v>13059</v>
      </c>
      <c r="D6280" s="9">
        <v>1</v>
      </c>
      <c r="E6280" s="9">
        <v>1728561.5107574463</v>
      </c>
      <c r="F6280" s="257" t="s">
        <v>17198</v>
      </c>
      <c r="G6280" s="9"/>
      <c r="H6280" s="257" t="s">
        <v>24284</v>
      </c>
      <c r="I6280" s="9">
        <v>4</v>
      </c>
    </row>
    <row r="6281" spans="1:9">
      <c r="A6281" s="257" t="s">
        <v>7379</v>
      </c>
      <c r="B6281" s="9">
        <v>4</v>
      </c>
      <c r="C6281" s="257" t="s">
        <v>13060</v>
      </c>
      <c r="D6281" s="9">
        <v>3139.0813411702698</v>
      </c>
      <c r="E6281" s="9">
        <v>1728561.5107574463</v>
      </c>
      <c r="F6281" s="257" t="s">
        <v>17198</v>
      </c>
      <c r="G6281" s="9"/>
      <c r="H6281" s="257" t="s">
        <v>24285</v>
      </c>
      <c r="I6281" s="9">
        <v>4</v>
      </c>
    </row>
    <row r="6282" spans="1:9">
      <c r="A6282" s="257" t="s">
        <v>7380</v>
      </c>
      <c r="B6282" s="9">
        <v>4</v>
      </c>
      <c r="C6282" s="257" t="s">
        <v>13061</v>
      </c>
      <c r="D6282" s="9">
        <v>1728561.5107574463</v>
      </c>
      <c r="E6282" s="9">
        <v>1728561.5107574463</v>
      </c>
      <c r="F6282" s="257" t="s">
        <v>17199</v>
      </c>
      <c r="G6282" s="9"/>
      <c r="H6282" s="257" t="s">
        <v>24286</v>
      </c>
      <c r="I6282" s="9">
        <v>4</v>
      </c>
    </row>
    <row r="6283" spans="1:9">
      <c r="A6283" s="257" t="s">
        <v>7381</v>
      </c>
      <c r="B6283" s="9">
        <v>4</v>
      </c>
      <c r="C6283" s="257" t="s">
        <v>13062</v>
      </c>
      <c r="D6283" s="9">
        <v>5610639205.4201288</v>
      </c>
      <c r="E6283" s="9">
        <v>1728561.5107574463</v>
      </c>
      <c r="F6283" s="257" t="s">
        <v>17199</v>
      </c>
      <c r="G6283" s="9"/>
      <c r="H6283" s="257" t="s">
        <v>24287</v>
      </c>
      <c r="I6283" s="9">
        <v>4</v>
      </c>
    </row>
    <row r="6284" spans="1:9">
      <c r="A6284" s="257" t="s">
        <v>7382</v>
      </c>
      <c r="B6284" s="9">
        <v>4</v>
      </c>
      <c r="C6284" s="257" t="s">
        <v>13063</v>
      </c>
      <c r="D6284" s="9">
        <v>1</v>
      </c>
      <c r="E6284" s="9">
        <v>1728561.5107574463</v>
      </c>
      <c r="F6284" s="257" t="s">
        <v>17199</v>
      </c>
      <c r="G6284" s="9"/>
      <c r="H6284" s="257" t="s">
        <v>24288</v>
      </c>
      <c r="I6284" s="9">
        <v>4</v>
      </c>
    </row>
    <row r="6285" spans="1:9">
      <c r="A6285" s="257" t="s">
        <v>7383</v>
      </c>
      <c r="B6285" s="9">
        <v>4</v>
      </c>
      <c r="C6285" s="257" t="s">
        <v>13064</v>
      </c>
      <c r="D6285" s="9">
        <v>3245.8429569923592</v>
      </c>
      <c r="E6285" s="9">
        <v>1728561.5107574463</v>
      </c>
      <c r="F6285" s="257" t="s">
        <v>17199</v>
      </c>
      <c r="G6285" s="9"/>
      <c r="H6285" s="257" t="s">
        <v>24289</v>
      </c>
      <c r="I6285" s="9">
        <v>4</v>
      </c>
    </row>
    <row r="6286" spans="1:9">
      <c r="A6286" s="257" t="s">
        <v>7384</v>
      </c>
      <c r="B6286" s="9">
        <v>4</v>
      </c>
      <c r="C6286" s="257" t="s">
        <v>13065</v>
      </c>
      <c r="D6286" s="9">
        <v>1728561.5107574463</v>
      </c>
      <c r="E6286" s="9">
        <v>1728561.5107574463</v>
      </c>
      <c r="F6286" s="257" t="s">
        <v>17200</v>
      </c>
      <c r="G6286" s="9"/>
      <c r="H6286" s="257" t="s">
        <v>24290</v>
      </c>
      <c r="I6286" s="9">
        <v>4</v>
      </c>
    </row>
    <row r="6287" spans="1:9">
      <c r="A6287" s="257" t="s">
        <v>7385</v>
      </c>
      <c r="B6287" s="9">
        <v>4</v>
      </c>
      <c r="C6287" s="257" t="s">
        <v>13066</v>
      </c>
      <c r="D6287" s="9">
        <v>1384526490.3834622</v>
      </c>
      <c r="E6287" s="9">
        <v>1728561.5107574463</v>
      </c>
      <c r="F6287" s="257" t="s">
        <v>17200</v>
      </c>
      <c r="G6287" s="9"/>
      <c r="H6287" s="257" t="s">
        <v>24291</v>
      </c>
      <c r="I6287" s="9">
        <v>4</v>
      </c>
    </row>
    <row r="6288" spans="1:9">
      <c r="A6288" s="257" t="s">
        <v>7386</v>
      </c>
      <c r="B6288" s="9">
        <v>4</v>
      </c>
      <c r="C6288" s="257" t="s">
        <v>13067</v>
      </c>
      <c r="D6288" s="9">
        <v>1</v>
      </c>
      <c r="E6288" s="9">
        <v>1728561.5107574463</v>
      </c>
      <c r="F6288" s="257" t="s">
        <v>17200</v>
      </c>
      <c r="G6288" s="9"/>
      <c r="H6288" s="257" t="s">
        <v>24292</v>
      </c>
      <c r="I6288" s="9">
        <v>4</v>
      </c>
    </row>
    <row r="6289" spans="1:9">
      <c r="A6289" s="257" t="s">
        <v>7387</v>
      </c>
      <c r="B6289" s="9">
        <v>4</v>
      </c>
      <c r="C6289" s="257" t="s">
        <v>13068</v>
      </c>
      <c r="D6289" s="9">
        <v>800.97033386840258</v>
      </c>
      <c r="E6289" s="9">
        <v>1728561.5107574463</v>
      </c>
      <c r="F6289" s="257" t="s">
        <v>17200</v>
      </c>
      <c r="G6289" s="9"/>
      <c r="H6289" s="257" t="s">
        <v>24293</v>
      </c>
      <c r="I6289" s="9">
        <v>4</v>
      </c>
    </row>
    <row r="6290" spans="1:9">
      <c r="A6290" s="257" t="s">
        <v>7388</v>
      </c>
      <c r="B6290" s="9">
        <v>4</v>
      </c>
      <c r="C6290" s="257" t="s">
        <v>13069</v>
      </c>
      <c r="D6290" s="9">
        <v>663158.64059448242</v>
      </c>
      <c r="E6290" s="9">
        <v>1728561.5107574463</v>
      </c>
      <c r="F6290" s="257" t="s">
        <v>17201</v>
      </c>
      <c r="G6290" s="9"/>
      <c r="H6290" s="257" t="s">
        <v>24294</v>
      </c>
      <c r="I6290" s="9">
        <v>4</v>
      </c>
    </row>
    <row r="6291" spans="1:9">
      <c r="A6291" s="257" t="s">
        <v>7389</v>
      </c>
      <c r="B6291" s="9">
        <v>4</v>
      </c>
      <c r="C6291" s="257" t="s">
        <v>13070</v>
      </c>
      <c r="D6291" s="9">
        <v>1241488552.7958894</v>
      </c>
      <c r="E6291" s="9">
        <v>1728561.5107574463</v>
      </c>
      <c r="F6291" s="257" t="s">
        <v>17201</v>
      </c>
      <c r="G6291" s="9"/>
      <c r="H6291" s="257" t="s">
        <v>24295</v>
      </c>
      <c r="I6291" s="9">
        <v>4</v>
      </c>
    </row>
    <row r="6292" spans="1:9">
      <c r="A6292" s="257" t="s">
        <v>7390</v>
      </c>
      <c r="B6292" s="9">
        <v>4</v>
      </c>
      <c r="C6292" s="257" t="s">
        <v>13071</v>
      </c>
      <c r="D6292" s="9">
        <v>0.38364769576749969</v>
      </c>
      <c r="E6292" s="9">
        <v>1728561.5107574463</v>
      </c>
      <c r="F6292" s="257" t="s">
        <v>17201</v>
      </c>
      <c r="G6292" s="9"/>
      <c r="H6292" s="257" t="s">
        <v>24296</v>
      </c>
      <c r="I6292" s="9">
        <v>4</v>
      </c>
    </row>
    <row r="6293" spans="1:9">
      <c r="A6293" s="257" t="s">
        <v>7391</v>
      </c>
      <c r="B6293" s="9">
        <v>4</v>
      </c>
      <c r="C6293" s="257" t="s">
        <v>13072</v>
      </c>
      <c r="D6293" s="9">
        <v>718.22063899356169</v>
      </c>
      <c r="E6293" s="9">
        <v>1728561.5107574463</v>
      </c>
      <c r="F6293" s="257" t="s">
        <v>17201</v>
      </c>
      <c r="G6293" s="9"/>
      <c r="H6293" s="257" t="s">
        <v>24297</v>
      </c>
      <c r="I6293" s="9">
        <v>4</v>
      </c>
    </row>
    <row r="6294" spans="1:9">
      <c r="A6294" s="257" t="s">
        <v>7392</v>
      </c>
      <c r="B6294" s="9">
        <v>4</v>
      </c>
      <c r="C6294" s="257" t="s">
        <v>13073</v>
      </c>
      <c r="D6294" s="9">
        <v>1728561.5107574463</v>
      </c>
      <c r="E6294" s="9">
        <v>1728561.5107574463</v>
      </c>
      <c r="F6294" s="257" t="s">
        <v>17202</v>
      </c>
      <c r="G6294" s="9"/>
      <c r="H6294" s="257" t="s">
        <v>24298</v>
      </c>
      <c r="I6294" s="9">
        <v>4</v>
      </c>
    </row>
    <row r="6295" spans="1:9">
      <c r="A6295" s="257" t="s">
        <v>7393</v>
      </c>
      <c r="B6295" s="9">
        <v>4</v>
      </c>
      <c r="C6295" s="257" t="s">
        <v>13074</v>
      </c>
      <c r="D6295" s="9">
        <v>6667583738.2796812</v>
      </c>
      <c r="E6295" s="9">
        <v>1728561.5107574463</v>
      </c>
      <c r="F6295" s="257" t="s">
        <v>17202</v>
      </c>
      <c r="G6295" s="9"/>
      <c r="H6295" s="257" t="s">
        <v>24299</v>
      </c>
      <c r="I6295" s="9">
        <v>4</v>
      </c>
    </row>
    <row r="6296" spans="1:9">
      <c r="A6296" s="257" t="s">
        <v>7394</v>
      </c>
      <c r="B6296" s="9">
        <v>4</v>
      </c>
      <c r="C6296" s="257" t="s">
        <v>13075</v>
      </c>
      <c r="D6296" s="9">
        <v>1</v>
      </c>
      <c r="E6296" s="9">
        <v>1728561.5107574463</v>
      </c>
      <c r="F6296" s="257" t="s">
        <v>17202</v>
      </c>
      <c r="G6296" s="9"/>
      <c r="H6296" s="257" t="s">
        <v>24300</v>
      </c>
      <c r="I6296" s="9">
        <v>4</v>
      </c>
    </row>
    <row r="6297" spans="1:9">
      <c r="A6297" s="257" t="s">
        <v>7395</v>
      </c>
      <c r="B6297" s="9">
        <v>4</v>
      </c>
      <c r="C6297" s="257" t="s">
        <v>13076</v>
      </c>
      <c r="D6297" s="9">
        <v>3857.3019801638311</v>
      </c>
      <c r="E6297" s="9">
        <v>1728561.5107574463</v>
      </c>
      <c r="F6297" s="257" t="s">
        <v>17202</v>
      </c>
      <c r="G6297" s="9"/>
      <c r="H6297" s="257" t="s">
        <v>24301</v>
      </c>
      <c r="I6297" s="9">
        <v>4</v>
      </c>
    </row>
    <row r="6298" spans="1:9">
      <c r="A6298" s="257" t="s">
        <v>7396</v>
      </c>
      <c r="B6298" s="9">
        <v>4</v>
      </c>
      <c r="C6298" s="257" t="s">
        <v>13077</v>
      </c>
      <c r="D6298" s="9">
        <v>1728561.5107574463</v>
      </c>
      <c r="E6298" s="9">
        <v>1728561.5107574463</v>
      </c>
      <c r="F6298" s="257" t="s">
        <v>17203</v>
      </c>
      <c r="G6298" s="9"/>
      <c r="H6298" s="257" t="s">
        <v>24302</v>
      </c>
      <c r="I6298" s="9">
        <v>4</v>
      </c>
    </row>
    <row r="6299" spans="1:9">
      <c r="A6299" s="257" t="s">
        <v>7397</v>
      </c>
      <c r="B6299" s="9">
        <v>4</v>
      </c>
      <c r="C6299" s="257" t="s">
        <v>13078</v>
      </c>
      <c r="D6299" s="9">
        <v>6852127758.2160187</v>
      </c>
      <c r="E6299" s="9">
        <v>1728561.5107574463</v>
      </c>
      <c r="F6299" s="257" t="s">
        <v>17203</v>
      </c>
      <c r="G6299" s="9"/>
      <c r="H6299" s="257" t="s">
        <v>24303</v>
      </c>
      <c r="I6299" s="9">
        <v>4</v>
      </c>
    </row>
    <row r="6300" spans="1:9">
      <c r="A6300" s="257" t="s">
        <v>7398</v>
      </c>
      <c r="B6300" s="9">
        <v>4</v>
      </c>
      <c r="C6300" s="257" t="s">
        <v>13079</v>
      </c>
      <c r="D6300" s="9">
        <v>1</v>
      </c>
      <c r="E6300" s="9">
        <v>1728561.5107574463</v>
      </c>
      <c r="F6300" s="257" t="s">
        <v>17203</v>
      </c>
      <c r="G6300" s="9"/>
      <c r="H6300" s="257" t="s">
        <v>24304</v>
      </c>
      <c r="I6300" s="9">
        <v>4</v>
      </c>
    </row>
    <row r="6301" spans="1:9">
      <c r="A6301" s="257" t="s">
        <v>7399</v>
      </c>
      <c r="B6301" s="9">
        <v>4</v>
      </c>
      <c r="C6301" s="257" t="s">
        <v>13080</v>
      </c>
      <c r="D6301" s="9">
        <v>3964.063595985921</v>
      </c>
      <c r="E6301" s="9">
        <v>1728561.5107574463</v>
      </c>
      <c r="F6301" s="257" t="s">
        <v>17203</v>
      </c>
      <c r="G6301" s="9"/>
      <c r="H6301" s="257" t="s">
        <v>24305</v>
      </c>
      <c r="I6301" s="9">
        <v>4</v>
      </c>
    </row>
    <row r="6302" spans="1:9">
      <c r="A6302" s="257" t="s">
        <v>7400</v>
      </c>
      <c r="B6302" s="9">
        <v>4</v>
      </c>
      <c r="C6302" s="257" t="s">
        <v>13081</v>
      </c>
      <c r="D6302" s="9">
        <v>829027.22212219238</v>
      </c>
      <c r="E6302" s="9">
        <v>1728561.5107574463</v>
      </c>
      <c r="F6302" s="257" t="s">
        <v>17204</v>
      </c>
      <c r="G6302" s="9"/>
      <c r="H6302" s="257" t="s">
        <v>24306</v>
      </c>
      <c r="I6302" s="9">
        <v>4</v>
      </c>
    </row>
    <row r="6303" spans="1:9">
      <c r="A6303" s="257" t="s">
        <v>7401</v>
      </c>
      <c r="B6303" s="9">
        <v>4</v>
      </c>
      <c r="C6303" s="257" t="s">
        <v>13082</v>
      </c>
      <c r="D6303" s="9">
        <v>3374777789.3431945</v>
      </c>
      <c r="E6303" s="9">
        <v>1728561.5107574463</v>
      </c>
      <c r="F6303" s="257" t="s">
        <v>17204</v>
      </c>
      <c r="G6303" s="9"/>
      <c r="H6303" s="257" t="s">
        <v>24307</v>
      </c>
      <c r="I6303" s="9">
        <v>4</v>
      </c>
    </row>
    <row r="6304" spans="1:9">
      <c r="A6304" s="257" t="s">
        <v>7402</v>
      </c>
      <c r="B6304" s="9">
        <v>4</v>
      </c>
      <c r="C6304" s="257" t="s">
        <v>13083</v>
      </c>
      <c r="D6304" s="9">
        <v>0.4796052769675041</v>
      </c>
      <c r="E6304" s="9">
        <v>1728561.5107574463</v>
      </c>
      <c r="F6304" s="257" t="s">
        <v>17204</v>
      </c>
      <c r="G6304" s="9"/>
      <c r="H6304" s="257" t="s">
        <v>24308</v>
      </c>
      <c r="I6304" s="9">
        <v>4</v>
      </c>
    </row>
    <row r="6305" spans="1:9">
      <c r="A6305" s="257" t="s">
        <v>7403</v>
      </c>
      <c r="B6305" s="9">
        <v>4</v>
      </c>
      <c r="C6305" s="257" t="s">
        <v>13084</v>
      </c>
      <c r="D6305" s="9">
        <v>1952.3619890531897</v>
      </c>
      <c r="E6305" s="9">
        <v>1728561.5107574463</v>
      </c>
      <c r="F6305" s="257" t="s">
        <v>17204</v>
      </c>
      <c r="G6305" s="9"/>
      <c r="H6305" s="257" t="s">
        <v>24309</v>
      </c>
      <c r="I6305" s="9">
        <v>4</v>
      </c>
    </row>
    <row r="6306" spans="1:9">
      <c r="A6306" s="257" t="s">
        <v>7404</v>
      </c>
      <c r="B6306" s="9">
        <v>4</v>
      </c>
      <c r="C6306" s="257" t="s">
        <v>13085</v>
      </c>
      <c r="D6306" s="9">
        <v>829027.22212219238</v>
      </c>
      <c r="E6306" s="9">
        <v>1728561.5107574463</v>
      </c>
      <c r="F6306" s="257" t="s">
        <v>17205</v>
      </c>
      <c r="G6306" s="9"/>
      <c r="H6306" s="257" t="s">
        <v>24310</v>
      </c>
      <c r="I6306" s="9">
        <v>4</v>
      </c>
    </row>
    <row r="6307" spans="1:9">
      <c r="A6307" s="257" t="s">
        <v>7405</v>
      </c>
      <c r="B6307" s="9">
        <v>4</v>
      </c>
      <c r="C6307" s="257" t="s">
        <v>13086</v>
      </c>
      <c r="D6307" s="9">
        <v>3559321809.279531</v>
      </c>
      <c r="E6307" s="9">
        <v>1728561.5107574463</v>
      </c>
      <c r="F6307" s="257" t="s">
        <v>17205</v>
      </c>
      <c r="G6307" s="9"/>
      <c r="H6307" s="257" t="s">
        <v>24311</v>
      </c>
      <c r="I6307" s="9">
        <v>4</v>
      </c>
    </row>
    <row r="6308" spans="1:9">
      <c r="A6308" s="257" t="s">
        <v>7406</v>
      </c>
      <c r="B6308" s="9">
        <v>4</v>
      </c>
      <c r="C6308" s="257" t="s">
        <v>13087</v>
      </c>
      <c r="D6308" s="9">
        <v>0.4796052769675041</v>
      </c>
      <c r="E6308" s="9">
        <v>1728561.5107574463</v>
      </c>
      <c r="F6308" s="257" t="s">
        <v>17205</v>
      </c>
      <c r="G6308" s="9"/>
      <c r="H6308" s="257" t="s">
        <v>24312</v>
      </c>
      <c r="I6308" s="9">
        <v>4</v>
      </c>
    </row>
    <row r="6309" spans="1:9">
      <c r="A6309" s="257" t="s">
        <v>7407</v>
      </c>
      <c r="B6309" s="9">
        <v>4</v>
      </c>
      <c r="C6309" s="257" t="s">
        <v>13088</v>
      </c>
      <c r="D6309" s="9">
        <v>2059.1236048752789</v>
      </c>
      <c r="E6309" s="9">
        <v>1728561.5107574463</v>
      </c>
      <c r="F6309" s="257" t="s">
        <v>17205</v>
      </c>
      <c r="G6309" s="9"/>
      <c r="H6309" s="257" t="s">
        <v>24313</v>
      </c>
      <c r="I6309" s="9">
        <v>4</v>
      </c>
    </row>
    <row r="6310" spans="1:9">
      <c r="A6310" s="257" t="s">
        <v>7408</v>
      </c>
      <c r="B6310" s="9">
        <v>4</v>
      </c>
      <c r="C6310" s="257" t="s">
        <v>13089</v>
      </c>
      <c r="D6310" s="9">
        <v>1728561.5107574463</v>
      </c>
      <c r="E6310" s="9">
        <v>1728561.5107574463</v>
      </c>
      <c r="F6310" s="257" t="s">
        <v>17206</v>
      </c>
      <c r="G6310" s="9"/>
      <c r="H6310" s="257" t="s">
        <v>24314</v>
      </c>
      <c r="I6310" s="9">
        <v>4</v>
      </c>
    </row>
    <row r="6311" spans="1:9">
      <c r="A6311" s="257" t="s">
        <v>7409</v>
      </c>
      <c r="B6311" s="9">
        <v>4</v>
      </c>
      <c r="C6311" s="257" t="s">
        <v>13090</v>
      </c>
      <c r="D6311" s="9">
        <v>2051317396.1405978</v>
      </c>
      <c r="E6311" s="9">
        <v>1728561.5107574463</v>
      </c>
      <c r="F6311" s="257" t="s">
        <v>17206</v>
      </c>
      <c r="G6311" s="9"/>
      <c r="H6311" s="257" t="s">
        <v>24315</v>
      </c>
      <c r="I6311" s="9">
        <v>4</v>
      </c>
    </row>
    <row r="6312" spans="1:9">
      <c r="A6312" s="257" t="s">
        <v>7410</v>
      </c>
      <c r="B6312" s="9">
        <v>4</v>
      </c>
      <c r="C6312" s="257" t="s">
        <v>13091</v>
      </c>
      <c r="D6312" s="9">
        <v>1</v>
      </c>
      <c r="E6312" s="9">
        <v>1728561.5107574463</v>
      </c>
      <c r="F6312" s="257" t="s">
        <v>17206</v>
      </c>
      <c r="G6312" s="9"/>
      <c r="H6312" s="257" t="s">
        <v>24316</v>
      </c>
      <c r="I6312" s="9">
        <v>4</v>
      </c>
    </row>
    <row r="6313" spans="1:9">
      <c r="A6313" s="257" t="s">
        <v>7411</v>
      </c>
      <c r="B6313" s="9">
        <v>4</v>
      </c>
      <c r="C6313" s="257" t="s">
        <v>13092</v>
      </c>
      <c r="D6313" s="9">
        <v>1186.71935211708</v>
      </c>
      <c r="E6313" s="9">
        <v>1728561.5107574463</v>
      </c>
      <c r="F6313" s="257" t="s">
        <v>17206</v>
      </c>
      <c r="G6313" s="9"/>
      <c r="H6313" s="257" t="s">
        <v>24317</v>
      </c>
      <c r="I6313" s="9">
        <v>4</v>
      </c>
    </row>
    <row r="6314" spans="1:9">
      <c r="A6314" s="257" t="s">
        <v>7412</v>
      </c>
      <c r="B6314" s="9">
        <v>4</v>
      </c>
      <c r="C6314" s="257" t="s">
        <v>13093</v>
      </c>
      <c r="D6314" s="9">
        <v>1728561.5107574463</v>
      </c>
      <c r="E6314" s="9">
        <v>1728561.5107574463</v>
      </c>
      <c r="F6314" s="257" t="s">
        <v>17207</v>
      </c>
      <c r="G6314" s="9"/>
      <c r="H6314" s="257" t="s">
        <v>24318</v>
      </c>
      <c r="I6314" s="9">
        <v>4</v>
      </c>
    </row>
    <row r="6315" spans="1:9">
      <c r="A6315" s="257" t="s">
        <v>7413</v>
      </c>
      <c r="B6315" s="9">
        <v>4</v>
      </c>
      <c r="C6315" s="257" t="s">
        <v>13094</v>
      </c>
      <c r="D6315" s="9">
        <v>3201090501.0409331</v>
      </c>
      <c r="E6315" s="9">
        <v>1728561.5107574463</v>
      </c>
      <c r="F6315" s="257" t="s">
        <v>17207</v>
      </c>
      <c r="G6315" s="9"/>
      <c r="H6315" s="257" t="s">
        <v>24319</v>
      </c>
      <c r="I6315" s="9">
        <v>4</v>
      </c>
    </row>
    <row r="6316" spans="1:9">
      <c r="A6316" s="257" t="s">
        <v>7414</v>
      </c>
      <c r="B6316" s="9">
        <v>4</v>
      </c>
      <c r="C6316" s="257" t="s">
        <v>13095</v>
      </c>
      <c r="D6316" s="9">
        <v>1</v>
      </c>
      <c r="E6316" s="9">
        <v>1728561.5107574463</v>
      </c>
      <c r="F6316" s="257" t="s">
        <v>17207</v>
      </c>
      <c r="G6316" s="9"/>
      <c r="H6316" s="257" t="s">
        <v>24320</v>
      </c>
      <c r="I6316" s="9">
        <v>4</v>
      </c>
    </row>
    <row r="6317" spans="1:9">
      <c r="A6317" s="257" t="s">
        <v>7415</v>
      </c>
      <c r="B6317" s="9">
        <v>4</v>
      </c>
      <c r="C6317" s="257" t="s">
        <v>13096</v>
      </c>
      <c r="D6317" s="9">
        <v>1851.8811631055191</v>
      </c>
      <c r="E6317" s="9">
        <v>1728561.5107574463</v>
      </c>
      <c r="F6317" s="257" t="s">
        <v>17207</v>
      </c>
      <c r="G6317" s="9"/>
      <c r="H6317" s="257" t="s">
        <v>24321</v>
      </c>
      <c r="I6317" s="9">
        <v>4</v>
      </c>
    </row>
    <row r="6318" spans="1:9">
      <c r="A6318" s="257" t="s">
        <v>7416</v>
      </c>
      <c r="B6318" s="9">
        <v>4</v>
      </c>
      <c r="C6318" s="257" t="s">
        <v>13097</v>
      </c>
      <c r="D6318" s="9">
        <v>829027.22212219238</v>
      </c>
      <c r="E6318" s="9">
        <v>1728561.5107574463</v>
      </c>
      <c r="F6318" s="257" t="s">
        <v>17208</v>
      </c>
      <c r="G6318" s="9"/>
      <c r="H6318" s="257" t="s">
        <v>24322</v>
      </c>
      <c r="I6318" s="9">
        <v>4</v>
      </c>
    </row>
    <row r="6319" spans="1:9">
      <c r="A6319" s="257" t="s">
        <v>7417</v>
      </c>
      <c r="B6319" s="9">
        <v>4</v>
      </c>
      <c r="C6319" s="257" t="s">
        <v>13098</v>
      </c>
      <c r="D6319" s="9">
        <v>4221264567.0922284</v>
      </c>
      <c r="E6319" s="9">
        <v>1728561.5107574463</v>
      </c>
      <c r="F6319" s="257" t="s">
        <v>17208</v>
      </c>
      <c r="G6319" s="9"/>
      <c r="H6319" s="257" t="s">
        <v>24323</v>
      </c>
      <c r="I6319" s="9">
        <v>4</v>
      </c>
    </row>
    <row r="6320" spans="1:9">
      <c r="A6320" s="257" t="s">
        <v>7418</v>
      </c>
      <c r="B6320" s="9">
        <v>4</v>
      </c>
      <c r="C6320" s="257" t="s">
        <v>13099</v>
      </c>
      <c r="D6320" s="9">
        <v>0.4796052769675041</v>
      </c>
      <c r="E6320" s="9">
        <v>1728561.5107574463</v>
      </c>
      <c r="F6320" s="257" t="s">
        <v>17208</v>
      </c>
      <c r="G6320" s="9"/>
      <c r="H6320" s="257" t="s">
        <v>24324</v>
      </c>
      <c r="I6320" s="9">
        <v>4</v>
      </c>
    </row>
    <row r="6321" spans="1:9">
      <c r="A6321" s="257" t="s">
        <v>7419</v>
      </c>
      <c r="B6321" s="9">
        <v>4</v>
      </c>
      <c r="C6321" s="257" t="s">
        <v>13100</v>
      </c>
      <c r="D6321" s="9">
        <v>2442.0678933447343</v>
      </c>
      <c r="E6321" s="9">
        <v>1728561.5107574463</v>
      </c>
      <c r="F6321" s="257" t="s">
        <v>17208</v>
      </c>
      <c r="G6321" s="9"/>
      <c r="H6321" s="257" t="s">
        <v>24325</v>
      </c>
      <c r="I6321" s="9">
        <v>4</v>
      </c>
    </row>
    <row r="6322" spans="1:9">
      <c r="A6322" s="257" t="s">
        <v>7420</v>
      </c>
      <c r="B6322" s="9">
        <v>4</v>
      </c>
      <c r="C6322" s="257" t="s">
        <v>13101</v>
      </c>
      <c r="D6322" s="9">
        <v>0</v>
      </c>
      <c r="E6322" s="9">
        <v>1728561.5107574463</v>
      </c>
      <c r="F6322" s="257" t="s">
        <v>17209</v>
      </c>
      <c r="G6322" s="9"/>
      <c r="H6322" s="257" t="s">
        <v>24326</v>
      </c>
      <c r="I6322" s="9">
        <v>4</v>
      </c>
    </row>
    <row r="6323" spans="1:9">
      <c r="A6323" s="257" t="s">
        <v>7421</v>
      </c>
      <c r="B6323" s="9">
        <v>4</v>
      </c>
      <c r="C6323" s="257" t="s">
        <v>13102</v>
      </c>
      <c r="D6323" s="9">
        <v>-570227309.91714287</v>
      </c>
      <c r="E6323" s="9">
        <v>1728561.5107574463</v>
      </c>
      <c r="F6323" s="257" t="s">
        <v>17209</v>
      </c>
      <c r="G6323" s="9"/>
      <c r="H6323" s="257" t="s">
        <v>24327</v>
      </c>
      <c r="I6323" s="9">
        <v>4</v>
      </c>
    </row>
    <row r="6324" spans="1:9">
      <c r="A6324" s="257" t="s">
        <v>7422</v>
      </c>
      <c r="B6324" s="9">
        <v>4</v>
      </c>
      <c r="C6324" s="257" t="s">
        <v>13103</v>
      </c>
      <c r="D6324" s="9">
        <v>0</v>
      </c>
      <c r="E6324" s="9">
        <v>1728561.5107574463</v>
      </c>
      <c r="F6324" s="257" t="s">
        <v>17209</v>
      </c>
      <c r="G6324" s="9"/>
      <c r="H6324" s="257" t="s">
        <v>24328</v>
      </c>
      <c r="I6324" s="9">
        <v>4</v>
      </c>
    </row>
    <row r="6325" spans="1:9">
      <c r="A6325" s="257" t="s">
        <v>7423</v>
      </c>
      <c r="B6325" s="9">
        <v>4</v>
      </c>
      <c r="C6325" s="257" t="s">
        <v>13104</v>
      </c>
      <c r="D6325" s="9">
        <v>-329.88546046433277</v>
      </c>
      <c r="E6325" s="9">
        <v>1728561.5107574463</v>
      </c>
      <c r="F6325" s="257" t="s">
        <v>17209</v>
      </c>
      <c r="G6325" s="9"/>
      <c r="H6325" s="257" t="s">
        <v>24329</v>
      </c>
      <c r="I6325" s="9">
        <v>4</v>
      </c>
    </row>
    <row r="6326" spans="1:9">
      <c r="A6326" s="257" t="s">
        <v>7424</v>
      </c>
      <c r="B6326" s="9">
        <v>4</v>
      </c>
      <c r="C6326" s="257" t="s">
        <v>13105</v>
      </c>
      <c r="D6326" s="9">
        <v>829027.22212219238</v>
      </c>
      <c r="E6326" s="9">
        <v>1728561.5107574463</v>
      </c>
      <c r="F6326" s="257" t="s">
        <v>17210</v>
      </c>
      <c r="G6326" s="9"/>
      <c r="H6326" s="257" t="s">
        <v>24330</v>
      </c>
      <c r="I6326" s="9">
        <v>4</v>
      </c>
    </row>
    <row r="6327" spans="1:9">
      <c r="A6327" s="257" t="s">
        <v>7425</v>
      </c>
      <c r="B6327" s="9">
        <v>4</v>
      </c>
      <c r="C6327" s="257" t="s">
        <v>13106</v>
      </c>
      <c r="D6327" s="9">
        <v>3651037257.1750855</v>
      </c>
      <c r="E6327" s="9">
        <v>1728561.5107574463</v>
      </c>
      <c r="F6327" s="257" t="s">
        <v>17210</v>
      </c>
      <c r="G6327" s="9"/>
      <c r="H6327" s="257" t="s">
        <v>24331</v>
      </c>
      <c r="I6327" s="9">
        <v>4</v>
      </c>
    </row>
    <row r="6328" spans="1:9">
      <c r="A6328" s="257" t="s">
        <v>7426</v>
      </c>
      <c r="B6328" s="9">
        <v>4</v>
      </c>
      <c r="C6328" s="257" t="s">
        <v>13107</v>
      </c>
      <c r="D6328" s="9">
        <v>0.4796052769675041</v>
      </c>
      <c r="E6328" s="9">
        <v>1728561.5107574463</v>
      </c>
      <c r="F6328" s="257" t="s">
        <v>17210</v>
      </c>
      <c r="G6328" s="9"/>
      <c r="H6328" s="257" t="s">
        <v>24332</v>
      </c>
      <c r="I6328" s="9">
        <v>4</v>
      </c>
    </row>
    <row r="6329" spans="1:9">
      <c r="A6329" s="257" t="s">
        <v>7427</v>
      </c>
      <c r="B6329" s="9">
        <v>4</v>
      </c>
      <c r="C6329" s="257" t="s">
        <v>13108</v>
      </c>
      <c r="D6329" s="9">
        <v>2112.1824328804018</v>
      </c>
      <c r="E6329" s="9">
        <v>1728561.5107574463</v>
      </c>
      <c r="F6329" s="257" t="s">
        <v>17210</v>
      </c>
      <c r="G6329" s="9"/>
      <c r="H6329" s="257" t="s">
        <v>24333</v>
      </c>
      <c r="I6329" s="9">
        <v>4</v>
      </c>
    </row>
    <row r="6330" spans="1:9">
      <c r="A6330" s="257" t="s">
        <v>7428</v>
      </c>
      <c r="B6330" s="9">
        <v>4</v>
      </c>
      <c r="C6330" s="257" t="s">
        <v>13109</v>
      </c>
      <c r="D6330" s="9">
        <v>127410.67199707031</v>
      </c>
      <c r="E6330" s="9">
        <v>1728561.5107574463</v>
      </c>
      <c r="F6330" s="257" t="s">
        <v>17211</v>
      </c>
      <c r="G6330" s="9"/>
      <c r="H6330" s="257" t="s">
        <v>24334</v>
      </c>
      <c r="I6330" s="9">
        <v>4</v>
      </c>
    </row>
    <row r="6331" spans="1:9">
      <c r="A6331" s="257" t="s">
        <v>7429</v>
      </c>
      <c r="B6331" s="9">
        <v>4</v>
      </c>
      <c r="C6331" s="257" t="s">
        <v>13110</v>
      </c>
      <c r="D6331" s="9">
        <v>91715447.895554394</v>
      </c>
      <c r="E6331" s="9">
        <v>1728561.5107574463</v>
      </c>
      <c r="F6331" s="257" t="s">
        <v>17211</v>
      </c>
      <c r="G6331" s="9"/>
      <c r="H6331" s="257" t="s">
        <v>24335</v>
      </c>
      <c r="I6331" s="9">
        <v>4</v>
      </c>
    </row>
    <row r="6332" spans="1:9">
      <c r="A6332" s="257" t="s">
        <v>7430</v>
      </c>
      <c r="B6332" s="9">
        <v>4</v>
      </c>
      <c r="C6332" s="257" t="s">
        <v>13111</v>
      </c>
      <c r="D6332" s="9">
        <v>7.3709076133044088E-2</v>
      </c>
      <c r="E6332" s="9">
        <v>1728561.5107574463</v>
      </c>
      <c r="F6332" s="257" t="s">
        <v>17211</v>
      </c>
      <c r="G6332" s="9"/>
      <c r="H6332" s="257" t="s">
        <v>24336</v>
      </c>
      <c r="I6332" s="9">
        <v>4</v>
      </c>
    </row>
    <row r="6333" spans="1:9">
      <c r="A6333" s="257" t="s">
        <v>7431</v>
      </c>
      <c r="B6333" s="9">
        <v>4</v>
      </c>
      <c r="C6333" s="257" t="s">
        <v>13112</v>
      </c>
      <c r="D6333" s="9">
        <v>53.058828005122699</v>
      </c>
      <c r="E6333" s="9">
        <v>1728561.5107574463</v>
      </c>
      <c r="F6333" s="257" t="s">
        <v>17211</v>
      </c>
      <c r="G6333" s="9"/>
      <c r="H6333" s="257" t="s">
        <v>24337</v>
      </c>
      <c r="I6333" s="9">
        <v>4</v>
      </c>
    </row>
    <row r="6334" spans="1:9">
      <c r="A6334" s="257" t="s">
        <v>7432</v>
      </c>
      <c r="B6334" s="9">
        <v>4</v>
      </c>
      <c r="C6334" s="257" t="s">
        <v>13113</v>
      </c>
      <c r="D6334" s="9">
        <v>620191.47164916992</v>
      </c>
      <c r="E6334" s="9">
        <v>1728561.5107574463</v>
      </c>
      <c r="F6334" s="257" t="s">
        <v>17212</v>
      </c>
      <c r="G6334" s="9"/>
      <c r="H6334" s="257" t="s">
        <v>24338</v>
      </c>
      <c r="I6334" s="9">
        <v>4</v>
      </c>
    </row>
    <row r="6335" spans="1:9">
      <c r="A6335" s="257" t="s">
        <v>7433</v>
      </c>
      <c r="B6335" s="9">
        <v>4</v>
      </c>
      <c r="C6335" s="257" t="s">
        <v>13114</v>
      </c>
      <c r="D6335" s="9">
        <v>1149773104.9003351</v>
      </c>
      <c r="E6335" s="9">
        <v>1728561.5107574463</v>
      </c>
      <c r="F6335" s="257" t="s">
        <v>17212</v>
      </c>
      <c r="G6335" s="9"/>
      <c r="H6335" s="257" t="s">
        <v>24339</v>
      </c>
      <c r="I6335" s="9">
        <v>4</v>
      </c>
    </row>
    <row r="6336" spans="1:9">
      <c r="A6336" s="257" t="s">
        <v>7434</v>
      </c>
      <c r="B6336" s="9">
        <v>4</v>
      </c>
      <c r="C6336" s="257" t="s">
        <v>13115</v>
      </c>
      <c r="D6336" s="9">
        <v>0.35879051326174988</v>
      </c>
      <c r="E6336" s="9">
        <v>1728561.5107574463</v>
      </c>
      <c r="F6336" s="257" t="s">
        <v>17212</v>
      </c>
      <c r="G6336" s="9"/>
      <c r="H6336" s="257" t="s">
        <v>24340</v>
      </c>
      <c r="I6336" s="9">
        <v>4</v>
      </c>
    </row>
    <row r="6337" spans="1:9">
      <c r="A6337" s="257" t="s">
        <v>7435</v>
      </c>
      <c r="B6337" s="9">
        <v>4</v>
      </c>
      <c r="C6337" s="257" t="s">
        <v>13116</v>
      </c>
      <c r="D6337" s="9">
        <v>665.16181098843902</v>
      </c>
      <c r="E6337" s="9">
        <v>1728561.5107574463</v>
      </c>
      <c r="F6337" s="257" t="s">
        <v>17212</v>
      </c>
      <c r="G6337" s="9"/>
      <c r="H6337" s="257" t="s">
        <v>24341</v>
      </c>
      <c r="I6337" s="9">
        <v>4</v>
      </c>
    </row>
    <row r="6338" spans="1:9">
      <c r="A6338" s="257" t="s">
        <v>7436</v>
      </c>
      <c r="B6338" s="9">
        <v>4</v>
      </c>
      <c r="C6338" s="257" t="s">
        <v>13117</v>
      </c>
      <c r="D6338" s="9">
        <v>609451.84519958496</v>
      </c>
      <c r="E6338" s="9">
        <v>1728561.5107574463</v>
      </c>
      <c r="F6338" s="257" t="s">
        <v>17213</v>
      </c>
      <c r="G6338" s="9"/>
      <c r="H6338" s="257" t="s">
        <v>24342</v>
      </c>
      <c r="I6338" s="9">
        <v>4</v>
      </c>
    </row>
    <row r="6339" spans="1:9">
      <c r="A6339" s="257" t="s">
        <v>7437</v>
      </c>
      <c r="B6339" s="9">
        <v>4</v>
      </c>
      <c r="C6339" s="257" t="s">
        <v>13118</v>
      </c>
      <c r="D6339" s="9">
        <v>3170580100.5136514</v>
      </c>
      <c r="E6339" s="9">
        <v>1728561.5107574463</v>
      </c>
      <c r="F6339" s="257" t="s">
        <v>17213</v>
      </c>
      <c r="G6339" s="9"/>
      <c r="H6339" s="257" t="s">
        <v>24343</v>
      </c>
      <c r="I6339" s="9">
        <v>4</v>
      </c>
    </row>
    <row r="6340" spans="1:9">
      <c r="A6340" s="257" t="s">
        <v>7438</v>
      </c>
      <c r="B6340" s="9">
        <v>4</v>
      </c>
      <c r="C6340" s="257" t="s">
        <v>13119</v>
      </c>
      <c r="D6340" s="9">
        <v>0.3525774705769808</v>
      </c>
      <c r="E6340" s="9">
        <v>1728561.5107574463</v>
      </c>
      <c r="F6340" s="257" t="s">
        <v>17213</v>
      </c>
      <c r="G6340" s="9"/>
      <c r="H6340" s="257" t="s">
        <v>24344</v>
      </c>
      <c r="I6340" s="9">
        <v>4</v>
      </c>
    </row>
    <row r="6341" spans="1:9">
      <c r="A6341" s="257" t="s">
        <v>7439</v>
      </c>
      <c r="B6341" s="9">
        <v>4</v>
      </c>
      <c r="C6341" s="257" t="s">
        <v>13120</v>
      </c>
      <c r="D6341" s="9">
        <v>1834.2304168998419</v>
      </c>
      <c r="E6341" s="9">
        <v>1728561.5107574463</v>
      </c>
      <c r="F6341" s="257" t="s">
        <v>17213</v>
      </c>
      <c r="G6341" s="9"/>
      <c r="H6341" s="257" t="s">
        <v>24345</v>
      </c>
      <c r="I6341" s="9">
        <v>4</v>
      </c>
    </row>
    <row r="6342" spans="1:9">
      <c r="A6342" s="257" t="s">
        <v>7440</v>
      </c>
      <c r="B6342" s="9">
        <v>5</v>
      </c>
      <c r="C6342" s="257" t="s">
        <v>13121</v>
      </c>
      <c r="D6342" s="9">
        <v>860979.083984375</v>
      </c>
      <c r="E6342" s="9">
        <v>1724465.2324523926</v>
      </c>
      <c r="F6342" s="257" t="s">
        <v>17214</v>
      </c>
      <c r="G6342" s="9"/>
      <c r="H6342" s="257" t="s">
        <v>24346</v>
      </c>
      <c r="I6342" s="9">
        <v>4</v>
      </c>
    </row>
    <row r="6343" spans="1:9">
      <c r="A6343" s="257" t="s">
        <v>7441</v>
      </c>
      <c r="B6343" s="9">
        <v>5</v>
      </c>
      <c r="C6343" s="257" t="s">
        <v>13122</v>
      </c>
      <c r="D6343" s="9">
        <v>2637713088.4167142</v>
      </c>
      <c r="E6343" s="9">
        <v>1724465.2324523926</v>
      </c>
      <c r="F6343" s="257" t="s">
        <v>17214</v>
      </c>
      <c r="G6343" s="9"/>
      <c r="H6343" s="257" t="s">
        <v>24347</v>
      </c>
      <c r="I6343" s="9">
        <v>4</v>
      </c>
    </row>
    <row r="6344" spans="1:9">
      <c r="A6344" s="257" t="s">
        <v>7442</v>
      </c>
      <c r="B6344" s="9">
        <v>5</v>
      </c>
      <c r="C6344" s="257" t="s">
        <v>13123</v>
      </c>
      <c r="D6344" s="9">
        <v>0.49927308929270864</v>
      </c>
      <c r="E6344" s="9">
        <v>1724465.2324523926</v>
      </c>
      <c r="F6344" s="257" t="s">
        <v>17214</v>
      </c>
      <c r="G6344" s="9"/>
      <c r="H6344" s="257" t="s">
        <v>24348</v>
      </c>
      <c r="I6344" s="9">
        <v>4</v>
      </c>
    </row>
    <row r="6345" spans="1:9">
      <c r="A6345" s="257" t="s">
        <v>7443</v>
      </c>
      <c r="B6345" s="9">
        <v>5</v>
      </c>
      <c r="C6345" s="257" t="s">
        <v>13124</v>
      </c>
      <c r="D6345" s="9">
        <v>1529.5832231222057</v>
      </c>
      <c r="E6345" s="9">
        <v>1724465.2324523926</v>
      </c>
      <c r="F6345" s="257" t="s">
        <v>17214</v>
      </c>
      <c r="G6345" s="9"/>
      <c r="H6345" s="257" t="s">
        <v>24349</v>
      </c>
      <c r="I6345" s="9">
        <v>4</v>
      </c>
    </row>
    <row r="6346" spans="1:9">
      <c r="A6346" s="257" t="s">
        <v>7444</v>
      </c>
      <c r="B6346" s="9">
        <v>5</v>
      </c>
      <c r="C6346" s="257" t="s">
        <v>13125</v>
      </c>
      <c r="D6346" s="9">
        <v>0</v>
      </c>
      <c r="E6346" s="9">
        <v>1724465.2324523926</v>
      </c>
      <c r="F6346" s="257" t="s">
        <v>17215</v>
      </c>
      <c r="G6346" s="9"/>
      <c r="H6346" s="257" t="s">
        <v>24350</v>
      </c>
      <c r="I6346" s="9">
        <v>4</v>
      </c>
    </row>
    <row r="6347" spans="1:9">
      <c r="A6347" s="257" t="s">
        <v>7445</v>
      </c>
      <c r="B6347" s="9">
        <v>5</v>
      </c>
      <c r="C6347" s="257" t="s">
        <v>13126</v>
      </c>
      <c r="D6347" s="9">
        <v>0</v>
      </c>
      <c r="E6347" s="9">
        <v>1724465.2324523926</v>
      </c>
      <c r="F6347" s="257" t="s">
        <v>17215</v>
      </c>
      <c r="G6347" s="9"/>
      <c r="H6347" s="257" t="s">
        <v>24351</v>
      </c>
      <c r="I6347" s="9">
        <v>4</v>
      </c>
    </row>
    <row r="6348" spans="1:9">
      <c r="A6348" s="257" t="s">
        <v>7446</v>
      </c>
      <c r="B6348" s="9">
        <v>5</v>
      </c>
      <c r="C6348" s="257" t="s">
        <v>13127</v>
      </c>
      <c r="D6348" s="9">
        <v>0</v>
      </c>
      <c r="E6348" s="9">
        <v>1724465.2324523926</v>
      </c>
      <c r="F6348" s="257" t="s">
        <v>17215</v>
      </c>
      <c r="G6348" s="9"/>
      <c r="H6348" s="257" t="s">
        <v>24352</v>
      </c>
      <c r="I6348" s="9">
        <v>4</v>
      </c>
    </row>
    <row r="6349" spans="1:9">
      <c r="A6349" s="257" t="s">
        <v>7447</v>
      </c>
      <c r="B6349" s="9">
        <v>5</v>
      </c>
      <c r="C6349" s="257" t="s">
        <v>13128</v>
      </c>
      <c r="D6349" s="9">
        <v>0</v>
      </c>
      <c r="E6349" s="9">
        <v>1724465.2324523926</v>
      </c>
      <c r="F6349" s="257" t="s">
        <v>17215</v>
      </c>
      <c r="G6349" s="9"/>
      <c r="H6349" s="257" t="s">
        <v>24353</v>
      </c>
      <c r="I6349" s="9">
        <v>4</v>
      </c>
    </row>
    <row r="6350" spans="1:9">
      <c r="A6350" s="257" t="s">
        <v>7448</v>
      </c>
      <c r="B6350" s="9">
        <v>5</v>
      </c>
      <c r="C6350" s="257" t="s">
        <v>13129</v>
      </c>
      <c r="D6350" s="9">
        <v>940800.89094543457</v>
      </c>
      <c r="E6350" s="9">
        <v>1724465.2324523926</v>
      </c>
      <c r="F6350" s="257" t="s">
        <v>17216</v>
      </c>
      <c r="G6350" s="9"/>
      <c r="H6350" s="257" t="s">
        <v>24354</v>
      </c>
      <c r="I6350" s="9">
        <v>4</v>
      </c>
    </row>
    <row r="6351" spans="1:9">
      <c r="A6351" s="257" t="s">
        <v>7449</v>
      </c>
      <c r="B6351" s="9">
        <v>5</v>
      </c>
      <c r="C6351" s="257" t="s">
        <v>13130</v>
      </c>
      <c r="D6351" s="9">
        <v>234485000.3683303</v>
      </c>
      <c r="E6351" s="9">
        <v>1724465.2324523926</v>
      </c>
      <c r="F6351" s="257" t="s">
        <v>17216</v>
      </c>
      <c r="G6351" s="9"/>
      <c r="H6351" s="257" t="s">
        <v>24355</v>
      </c>
      <c r="I6351" s="9">
        <v>4</v>
      </c>
    </row>
    <row r="6352" spans="1:9">
      <c r="A6352" s="257" t="s">
        <v>7450</v>
      </c>
      <c r="B6352" s="9">
        <v>5</v>
      </c>
      <c r="C6352" s="257" t="s">
        <v>13131</v>
      </c>
      <c r="D6352" s="9">
        <v>0.5455609502822536</v>
      </c>
      <c r="E6352" s="9">
        <v>1724465.2324523926</v>
      </c>
      <c r="F6352" s="257" t="s">
        <v>17216</v>
      </c>
      <c r="G6352" s="9"/>
      <c r="H6352" s="257" t="s">
        <v>24356</v>
      </c>
      <c r="I6352" s="9">
        <v>4</v>
      </c>
    </row>
    <row r="6353" spans="1:9">
      <c r="A6353" s="257" t="s">
        <v>7451</v>
      </c>
      <c r="B6353" s="9">
        <v>5</v>
      </c>
      <c r="C6353" s="257" t="s">
        <v>13132</v>
      </c>
      <c r="D6353" s="9">
        <v>135.97548733114499</v>
      </c>
      <c r="E6353" s="9">
        <v>1724465.2324523926</v>
      </c>
      <c r="F6353" s="257" t="s">
        <v>17216</v>
      </c>
      <c r="G6353" s="9"/>
      <c r="H6353" s="257" t="s">
        <v>24357</v>
      </c>
      <c r="I6353" s="9">
        <v>4</v>
      </c>
    </row>
    <row r="6354" spans="1:9">
      <c r="A6354" s="257" t="s">
        <v>7452</v>
      </c>
      <c r="B6354" s="9">
        <v>5</v>
      </c>
      <c r="C6354" s="257" t="s">
        <v>13133</v>
      </c>
      <c r="D6354" s="9">
        <v>370200.47555541992</v>
      </c>
      <c r="E6354" s="9">
        <v>1724465.2324523926</v>
      </c>
      <c r="F6354" s="257" t="s">
        <v>17217</v>
      </c>
      <c r="G6354" s="9"/>
      <c r="H6354" s="257" t="s">
        <v>24358</v>
      </c>
      <c r="I6354" s="9">
        <v>4</v>
      </c>
    </row>
    <row r="6355" spans="1:9">
      <c r="A6355" s="257" t="s">
        <v>7453</v>
      </c>
      <c r="B6355" s="9">
        <v>5</v>
      </c>
      <c r="C6355" s="257" t="s">
        <v>13134</v>
      </c>
      <c r="D6355" s="9">
        <v>72217607.844518766</v>
      </c>
      <c r="E6355" s="9">
        <v>1724465.2324523926</v>
      </c>
      <c r="F6355" s="257" t="s">
        <v>17217</v>
      </c>
      <c r="G6355" s="9"/>
      <c r="H6355" s="257" t="s">
        <v>24359</v>
      </c>
      <c r="I6355" s="9">
        <v>4</v>
      </c>
    </row>
    <row r="6356" spans="1:9">
      <c r="A6356" s="257" t="s">
        <v>7454</v>
      </c>
      <c r="B6356" s="9">
        <v>5</v>
      </c>
      <c r="C6356" s="257" t="s">
        <v>13135</v>
      </c>
      <c r="D6356" s="9">
        <v>0.21467552293237671</v>
      </c>
      <c r="E6356" s="9">
        <v>1724465.2324523926</v>
      </c>
      <c r="F6356" s="257" t="s">
        <v>17217</v>
      </c>
      <c r="G6356" s="9"/>
      <c r="H6356" s="257" t="s">
        <v>24360</v>
      </c>
      <c r="I6356" s="9">
        <v>4</v>
      </c>
    </row>
    <row r="6357" spans="1:9">
      <c r="A6357" s="257" t="s">
        <v>7455</v>
      </c>
      <c r="B6357" s="9">
        <v>5</v>
      </c>
      <c r="C6357" s="257" t="s">
        <v>13136</v>
      </c>
      <c r="D6357" s="9">
        <v>41.878262597278827</v>
      </c>
      <c r="E6357" s="9">
        <v>1724465.2324523926</v>
      </c>
      <c r="F6357" s="257" t="s">
        <v>17217</v>
      </c>
      <c r="G6357" s="9"/>
      <c r="H6357" s="257" t="s">
        <v>24361</v>
      </c>
      <c r="I6357" s="9">
        <v>4</v>
      </c>
    </row>
    <row r="6358" spans="1:9">
      <c r="A6358" s="257" t="s">
        <v>7456</v>
      </c>
      <c r="B6358" s="9">
        <v>5</v>
      </c>
      <c r="C6358" s="257" t="s">
        <v>13137</v>
      </c>
      <c r="D6358" s="9">
        <v>459289.45880126953</v>
      </c>
      <c r="E6358" s="9">
        <v>1724465.2324523926</v>
      </c>
      <c r="F6358" s="257" t="s">
        <v>17218</v>
      </c>
      <c r="G6358" s="9"/>
      <c r="H6358" s="257" t="s">
        <v>24362</v>
      </c>
      <c r="I6358" s="9">
        <v>4</v>
      </c>
    </row>
    <row r="6359" spans="1:9">
      <c r="A6359" s="257" t="s">
        <v>7457</v>
      </c>
      <c r="B6359" s="9">
        <v>5</v>
      </c>
      <c r="C6359" s="257" t="s">
        <v>13138</v>
      </c>
      <c r="D6359" s="9">
        <v>1481320830.2453687</v>
      </c>
      <c r="E6359" s="9">
        <v>1724465.2324523926</v>
      </c>
      <c r="F6359" s="257" t="s">
        <v>17218</v>
      </c>
      <c r="G6359" s="9"/>
      <c r="H6359" s="257" t="s">
        <v>24363</v>
      </c>
      <c r="I6359" s="9">
        <v>4</v>
      </c>
    </row>
    <row r="6360" spans="1:9">
      <c r="A6360" s="257" t="s">
        <v>7458</v>
      </c>
      <c r="B6360" s="9">
        <v>5</v>
      </c>
      <c r="C6360" s="257" t="s">
        <v>13139</v>
      </c>
      <c r="D6360" s="9">
        <v>0.26633732600575882</v>
      </c>
      <c r="E6360" s="9">
        <v>1724465.2324523926</v>
      </c>
      <c r="F6360" s="257" t="s">
        <v>17218</v>
      </c>
      <c r="G6360" s="9"/>
      <c r="H6360" s="257" t="s">
        <v>24364</v>
      </c>
      <c r="I6360" s="9">
        <v>4</v>
      </c>
    </row>
    <row r="6361" spans="1:9">
      <c r="A6361" s="257" t="s">
        <v>7459</v>
      </c>
      <c r="B6361" s="9">
        <v>5</v>
      </c>
      <c r="C6361" s="257" t="s">
        <v>13140</v>
      </c>
      <c r="D6361" s="9">
        <v>859.00301285793751</v>
      </c>
      <c r="E6361" s="9">
        <v>1724465.2324523926</v>
      </c>
      <c r="F6361" s="257" t="s">
        <v>17218</v>
      </c>
      <c r="G6361" s="9"/>
      <c r="H6361" s="257" t="s">
        <v>24365</v>
      </c>
      <c r="I6361" s="9">
        <v>4</v>
      </c>
    </row>
    <row r="6362" spans="1:9">
      <c r="A6362" s="257" t="s">
        <v>7460</v>
      </c>
      <c r="B6362" s="9">
        <v>5</v>
      </c>
      <c r="C6362" s="257" t="s">
        <v>13141</v>
      </c>
      <c r="D6362" s="9">
        <v>124660.35847473145</v>
      </c>
      <c r="E6362" s="9">
        <v>1724465.2324523926</v>
      </c>
      <c r="F6362" s="257" t="s">
        <v>17219</v>
      </c>
      <c r="G6362" s="9"/>
      <c r="H6362" s="257" t="s">
        <v>24366</v>
      </c>
      <c r="I6362" s="9">
        <v>4</v>
      </c>
    </row>
    <row r="6363" spans="1:9">
      <c r="A6363" s="257" t="s">
        <v>7461</v>
      </c>
      <c r="B6363" s="9">
        <v>5</v>
      </c>
      <c r="C6363" s="257" t="s">
        <v>13142</v>
      </c>
      <c r="D6363" s="9">
        <v>1149531768.8263624</v>
      </c>
      <c r="E6363" s="9">
        <v>1724465.2324523926</v>
      </c>
      <c r="F6363" s="257" t="s">
        <v>17219</v>
      </c>
      <c r="G6363" s="9"/>
      <c r="H6363" s="257" t="s">
        <v>24367</v>
      </c>
      <c r="I6363" s="9">
        <v>4</v>
      </c>
    </row>
    <row r="6364" spans="1:9">
      <c r="A6364" s="257" t="s">
        <v>7462</v>
      </c>
      <c r="B6364" s="9">
        <v>5</v>
      </c>
      <c r="C6364" s="257" t="s">
        <v>13143</v>
      </c>
      <c r="D6364" s="9">
        <v>7.2289284891786279E-2</v>
      </c>
      <c r="E6364" s="9">
        <v>1724465.2324523926</v>
      </c>
      <c r="F6364" s="257" t="s">
        <v>17219</v>
      </c>
      <c r="G6364" s="9"/>
      <c r="H6364" s="257" t="s">
        <v>24368</v>
      </c>
      <c r="I6364" s="9">
        <v>4</v>
      </c>
    </row>
    <row r="6365" spans="1:9">
      <c r="A6365" s="257" t="s">
        <v>7463</v>
      </c>
      <c r="B6365" s="9">
        <v>5</v>
      </c>
      <c r="C6365" s="257" t="s">
        <v>13144</v>
      </c>
      <c r="D6365" s="9">
        <v>666.60188166948012</v>
      </c>
      <c r="E6365" s="9">
        <v>1724465.2324523926</v>
      </c>
      <c r="F6365" s="257" t="s">
        <v>17219</v>
      </c>
      <c r="G6365" s="9"/>
      <c r="H6365" s="257" t="s">
        <v>24369</v>
      </c>
      <c r="I6365" s="9">
        <v>4</v>
      </c>
    </row>
    <row r="6366" spans="1:9">
      <c r="A6366" s="257" t="s">
        <v>7464</v>
      </c>
      <c r="B6366" s="9">
        <v>5</v>
      </c>
      <c r="C6366" s="257" t="s">
        <v>13145</v>
      </c>
      <c r="D6366" s="9">
        <v>1256931.318939209</v>
      </c>
      <c r="E6366" s="9">
        <v>1724465.2324523926</v>
      </c>
      <c r="F6366" s="257" t="s">
        <v>17220</v>
      </c>
      <c r="G6366" s="9"/>
      <c r="H6366" s="257" t="s">
        <v>24370</v>
      </c>
      <c r="I6366" s="9">
        <v>4</v>
      </c>
    </row>
    <row r="6367" spans="1:9">
      <c r="A6367" s="257" t="s">
        <v>7465</v>
      </c>
      <c r="B6367" s="9">
        <v>5</v>
      </c>
      <c r="C6367" s="257" t="s">
        <v>13146</v>
      </c>
      <c r="D6367" s="9">
        <v>2937555207.2845802</v>
      </c>
      <c r="E6367" s="9">
        <v>1724465.2324523926</v>
      </c>
      <c r="F6367" s="257" t="s">
        <v>17220</v>
      </c>
      <c r="G6367" s="9"/>
      <c r="H6367" s="257" t="s">
        <v>24371</v>
      </c>
      <c r="I6367" s="9">
        <v>4</v>
      </c>
    </row>
    <row r="6368" spans="1:9">
      <c r="A6368" s="257" t="s">
        <v>7466</v>
      </c>
      <c r="B6368" s="9">
        <v>5</v>
      </c>
      <c r="C6368" s="257" t="s">
        <v>13147</v>
      </c>
      <c r="D6368" s="9">
        <v>0.72888179783810703</v>
      </c>
      <c r="E6368" s="9">
        <v>1724465.2324523926</v>
      </c>
      <c r="F6368" s="257" t="s">
        <v>17220</v>
      </c>
      <c r="G6368" s="9"/>
      <c r="H6368" s="257" t="s">
        <v>24372</v>
      </c>
      <c r="I6368" s="9">
        <v>4</v>
      </c>
    </row>
    <row r="6369" spans="1:9">
      <c r="A6369" s="257" t="s">
        <v>7467</v>
      </c>
      <c r="B6369" s="9">
        <v>5</v>
      </c>
      <c r="C6369" s="257" t="s">
        <v>13148</v>
      </c>
      <c r="D6369" s="9">
        <v>1703.4586444558415</v>
      </c>
      <c r="E6369" s="9">
        <v>1724465.2324523926</v>
      </c>
      <c r="F6369" s="257" t="s">
        <v>17220</v>
      </c>
      <c r="G6369" s="9"/>
      <c r="H6369" s="257" t="s">
        <v>24373</v>
      </c>
      <c r="I6369" s="9">
        <v>4</v>
      </c>
    </row>
    <row r="6370" spans="1:9">
      <c r="A6370" s="257" t="s">
        <v>7468</v>
      </c>
      <c r="B6370" s="9">
        <v>5</v>
      </c>
      <c r="C6370" s="257" t="s">
        <v>13149</v>
      </c>
      <c r="D6370" s="9">
        <v>716722.73727416992</v>
      </c>
      <c r="E6370" s="9">
        <v>1724465.2324523926</v>
      </c>
      <c r="F6370" s="257" t="s">
        <v>17221</v>
      </c>
      <c r="G6370" s="9"/>
      <c r="H6370" s="257" t="s">
        <v>24374</v>
      </c>
      <c r="I6370" s="9">
        <v>4</v>
      </c>
    </row>
    <row r="6371" spans="1:9">
      <c r="A6371" s="257" t="s">
        <v>7469</v>
      </c>
      <c r="B6371" s="9">
        <v>5</v>
      </c>
      <c r="C6371" s="257" t="s">
        <v>13150</v>
      </c>
      <c r="D6371" s="9">
        <v>2703070206.9162498</v>
      </c>
      <c r="E6371" s="9">
        <v>1724465.2324523926</v>
      </c>
      <c r="F6371" s="257" t="s">
        <v>17221</v>
      </c>
      <c r="G6371" s="9"/>
      <c r="H6371" s="257" t="s">
        <v>24375</v>
      </c>
      <c r="I6371" s="9">
        <v>4</v>
      </c>
    </row>
    <row r="6372" spans="1:9">
      <c r="A6372" s="257" t="s">
        <v>7470</v>
      </c>
      <c r="B6372" s="9">
        <v>5</v>
      </c>
      <c r="C6372" s="257" t="s">
        <v>13151</v>
      </c>
      <c r="D6372" s="9">
        <v>0.41562028841538651</v>
      </c>
      <c r="E6372" s="9">
        <v>1724465.2324523926</v>
      </c>
      <c r="F6372" s="257" t="s">
        <v>17221</v>
      </c>
      <c r="G6372" s="9"/>
      <c r="H6372" s="257" t="s">
        <v>24376</v>
      </c>
      <c r="I6372" s="9">
        <v>4</v>
      </c>
    </row>
    <row r="6373" spans="1:9">
      <c r="A6373" s="257" t="s">
        <v>7471</v>
      </c>
      <c r="B6373" s="9">
        <v>5</v>
      </c>
      <c r="C6373" s="257" t="s">
        <v>13152</v>
      </c>
      <c r="D6373" s="9">
        <v>1567.4831571246964</v>
      </c>
      <c r="E6373" s="9">
        <v>1724465.2324523926</v>
      </c>
      <c r="F6373" s="257" t="s">
        <v>17221</v>
      </c>
      <c r="G6373" s="9"/>
      <c r="H6373" s="257" t="s">
        <v>24377</v>
      </c>
      <c r="I6373" s="9">
        <v>4</v>
      </c>
    </row>
    <row r="6374" spans="1:9">
      <c r="A6374" s="257" t="s">
        <v>7472</v>
      </c>
      <c r="B6374" s="9">
        <v>5</v>
      </c>
      <c r="C6374" s="257" t="s">
        <v>13153</v>
      </c>
      <c r="D6374" s="9">
        <v>1724465.2324523926</v>
      </c>
      <c r="E6374" s="9">
        <v>1724465.2324523926</v>
      </c>
      <c r="F6374" s="257" t="s">
        <v>17222</v>
      </c>
      <c r="G6374" s="9"/>
      <c r="H6374" s="257" t="s">
        <v>24378</v>
      </c>
      <c r="I6374" s="9">
        <v>4</v>
      </c>
    </row>
    <row r="6375" spans="1:9">
      <c r="A6375" s="257" t="s">
        <v>7473</v>
      </c>
      <c r="B6375" s="9">
        <v>5</v>
      </c>
      <c r="C6375" s="257" t="s">
        <v>13154</v>
      </c>
      <c r="D6375" s="9">
        <v>9848564643.5579109</v>
      </c>
      <c r="E6375" s="9">
        <v>1724465.2324523926</v>
      </c>
      <c r="F6375" s="257" t="s">
        <v>17222</v>
      </c>
      <c r="G6375" s="9"/>
      <c r="H6375" s="257" t="s">
        <v>24379</v>
      </c>
      <c r="I6375" s="9">
        <v>4</v>
      </c>
    </row>
    <row r="6376" spans="1:9">
      <c r="A6376" s="257" t="s">
        <v>7474</v>
      </c>
      <c r="B6376" s="9">
        <v>5</v>
      </c>
      <c r="C6376" s="257" t="s">
        <v>13155</v>
      </c>
      <c r="D6376" s="9">
        <v>1</v>
      </c>
      <c r="E6376" s="9">
        <v>1724465.2324523926</v>
      </c>
      <c r="F6376" s="257" t="s">
        <v>17222</v>
      </c>
      <c r="G6376" s="9"/>
      <c r="H6376" s="257" t="s">
        <v>24380</v>
      </c>
      <c r="I6376" s="9">
        <v>4</v>
      </c>
    </row>
    <row r="6377" spans="1:9">
      <c r="A6377" s="257" t="s">
        <v>7475</v>
      </c>
      <c r="B6377" s="9">
        <v>5</v>
      </c>
      <c r="C6377" s="257" t="s">
        <v>13156</v>
      </c>
      <c r="D6377" s="9">
        <v>5711.0833307738494</v>
      </c>
      <c r="E6377" s="9">
        <v>1724465.2324523926</v>
      </c>
      <c r="F6377" s="257" t="s">
        <v>17222</v>
      </c>
      <c r="G6377" s="9"/>
      <c r="H6377" s="257" t="s">
        <v>24381</v>
      </c>
      <c r="I6377" s="9">
        <v>4</v>
      </c>
    </row>
    <row r="6378" spans="1:9">
      <c r="A6378" s="257" t="s">
        <v>7476</v>
      </c>
      <c r="B6378" s="9">
        <v>5</v>
      </c>
      <c r="C6378" s="257" t="s">
        <v>13157</v>
      </c>
      <c r="D6378" s="9">
        <v>1724465.2324523926</v>
      </c>
      <c r="E6378" s="9">
        <v>1724465.2324523926</v>
      </c>
      <c r="F6378" s="257" t="s">
        <v>17223</v>
      </c>
      <c r="G6378" s="9"/>
      <c r="H6378" s="257" t="s">
        <v>24382</v>
      </c>
      <c r="I6378" s="9">
        <v>4</v>
      </c>
    </row>
    <row r="6379" spans="1:9">
      <c r="A6379" s="257" t="s">
        <v>7477</v>
      </c>
      <c r="B6379" s="9">
        <v>5</v>
      </c>
      <c r="C6379" s="257" t="s">
        <v>13158</v>
      </c>
      <c r="D6379" s="9">
        <v>6911009436.2733307</v>
      </c>
      <c r="E6379" s="9">
        <v>1724465.2324523926</v>
      </c>
      <c r="F6379" s="257" t="s">
        <v>17223</v>
      </c>
      <c r="G6379" s="9"/>
      <c r="H6379" s="257" t="s">
        <v>24383</v>
      </c>
      <c r="I6379" s="9">
        <v>4</v>
      </c>
    </row>
    <row r="6380" spans="1:9">
      <c r="A6380" s="257" t="s">
        <v>7478</v>
      </c>
      <c r="B6380" s="9">
        <v>5</v>
      </c>
      <c r="C6380" s="257" t="s">
        <v>13159</v>
      </c>
      <c r="D6380" s="9">
        <v>1</v>
      </c>
      <c r="E6380" s="9">
        <v>1724465.2324523926</v>
      </c>
      <c r="F6380" s="257" t="s">
        <v>17223</v>
      </c>
      <c r="G6380" s="9"/>
      <c r="H6380" s="257" t="s">
        <v>24384</v>
      </c>
      <c r="I6380" s="9">
        <v>4</v>
      </c>
    </row>
    <row r="6381" spans="1:9">
      <c r="A6381" s="257" t="s">
        <v>7479</v>
      </c>
      <c r="B6381" s="9">
        <v>5</v>
      </c>
      <c r="C6381" s="257" t="s">
        <v>13160</v>
      </c>
      <c r="D6381" s="9">
        <v>4007.6246863180081</v>
      </c>
      <c r="E6381" s="9">
        <v>1724465.2324523926</v>
      </c>
      <c r="F6381" s="257" t="s">
        <v>17223</v>
      </c>
      <c r="G6381" s="9"/>
      <c r="H6381" s="257" t="s">
        <v>24385</v>
      </c>
      <c r="I6381" s="9">
        <v>4</v>
      </c>
    </row>
    <row r="6382" spans="1:9">
      <c r="A6382" s="257" t="s">
        <v>7480</v>
      </c>
      <c r="B6382" s="9">
        <v>5</v>
      </c>
      <c r="C6382" s="257" t="s">
        <v>13161</v>
      </c>
      <c r="D6382" s="9">
        <v>1724465.2324523926</v>
      </c>
      <c r="E6382" s="9">
        <v>1724465.2324523926</v>
      </c>
      <c r="F6382" s="257" t="s">
        <v>17224</v>
      </c>
      <c r="G6382" s="9"/>
      <c r="H6382" s="257" t="s">
        <v>24386</v>
      </c>
      <c r="I6382" s="9">
        <v>4</v>
      </c>
    </row>
    <row r="6383" spans="1:9">
      <c r="A6383" s="257" t="s">
        <v>7481</v>
      </c>
      <c r="B6383" s="9">
        <v>5</v>
      </c>
      <c r="C6383" s="257" t="s">
        <v>13162</v>
      </c>
      <c r="D6383" s="9">
        <v>7145494436.6416607</v>
      </c>
      <c r="E6383" s="9">
        <v>1724465.2324523926</v>
      </c>
      <c r="F6383" s="257" t="s">
        <v>17224</v>
      </c>
      <c r="G6383" s="9"/>
      <c r="H6383" s="257" t="s">
        <v>24387</v>
      </c>
      <c r="I6383" s="9">
        <v>4</v>
      </c>
    </row>
    <row r="6384" spans="1:9">
      <c r="A6384" s="257" t="s">
        <v>7482</v>
      </c>
      <c r="B6384" s="9">
        <v>5</v>
      </c>
      <c r="C6384" s="257" t="s">
        <v>13163</v>
      </c>
      <c r="D6384" s="9">
        <v>1</v>
      </c>
      <c r="E6384" s="9">
        <v>1724465.2324523926</v>
      </c>
      <c r="F6384" s="257" t="s">
        <v>17224</v>
      </c>
      <c r="G6384" s="9"/>
      <c r="H6384" s="257" t="s">
        <v>24388</v>
      </c>
      <c r="I6384" s="9">
        <v>4</v>
      </c>
    </row>
    <row r="6385" spans="1:9">
      <c r="A6385" s="257" t="s">
        <v>7483</v>
      </c>
      <c r="B6385" s="9">
        <v>5</v>
      </c>
      <c r="C6385" s="257" t="s">
        <v>13164</v>
      </c>
      <c r="D6385" s="9">
        <v>4143.6001736491526</v>
      </c>
      <c r="E6385" s="9">
        <v>1724465.2324523926</v>
      </c>
      <c r="F6385" s="257" t="s">
        <v>17224</v>
      </c>
      <c r="G6385" s="9"/>
      <c r="H6385" s="257" t="s">
        <v>24389</v>
      </c>
      <c r="I6385" s="9">
        <v>4</v>
      </c>
    </row>
    <row r="6386" spans="1:9">
      <c r="A6386" s="257" t="s">
        <v>7484</v>
      </c>
      <c r="B6386" s="9">
        <v>5</v>
      </c>
      <c r="C6386" s="257" t="s">
        <v>13165</v>
      </c>
      <c r="D6386" s="9">
        <v>1724465.2324523926</v>
      </c>
      <c r="E6386" s="9">
        <v>1724465.2324523926</v>
      </c>
      <c r="F6386" s="257" t="s">
        <v>17225</v>
      </c>
      <c r="G6386" s="9"/>
      <c r="H6386" s="257" t="s">
        <v>24390</v>
      </c>
      <c r="I6386" s="9">
        <v>4</v>
      </c>
    </row>
    <row r="6387" spans="1:9">
      <c r="A6387" s="257" t="s">
        <v>7485</v>
      </c>
      <c r="B6387" s="9">
        <v>5</v>
      </c>
      <c r="C6387" s="257" t="s">
        <v>13166</v>
      </c>
      <c r="D6387" s="9">
        <v>1643337268.2246625</v>
      </c>
      <c r="E6387" s="9">
        <v>1724465.2324523926</v>
      </c>
      <c r="F6387" s="257" t="s">
        <v>17225</v>
      </c>
      <c r="G6387" s="9"/>
      <c r="H6387" s="257" t="s">
        <v>24391</v>
      </c>
      <c r="I6387" s="9">
        <v>4</v>
      </c>
    </row>
    <row r="6388" spans="1:9">
      <c r="A6388" s="257" t="s">
        <v>7486</v>
      </c>
      <c r="B6388" s="9">
        <v>5</v>
      </c>
      <c r="C6388" s="257" t="s">
        <v>13167</v>
      </c>
      <c r="D6388" s="9">
        <v>1</v>
      </c>
      <c r="E6388" s="9">
        <v>1724465.2324523926</v>
      </c>
      <c r="F6388" s="257" t="s">
        <v>17225</v>
      </c>
      <c r="G6388" s="9"/>
      <c r="H6388" s="257" t="s">
        <v>24392</v>
      </c>
      <c r="I6388" s="9">
        <v>4</v>
      </c>
    </row>
    <row r="6389" spans="1:9">
      <c r="A6389" s="257" t="s">
        <v>7487</v>
      </c>
      <c r="B6389" s="9">
        <v>5</v>
      </c>
      <c r="C6389" s="257" t="s">
        <v>13168</v>
      </c>
      <c r="D6389" s="9">
        <v>952.95471158188764</v>
      </c>
      <c r="E6389" s="9">
        <v>1724465.2324523926</v>
      </c>
      <c r="F6389" s="257" t="s">
        <v>17225</v>
      </c>
      <c r="G6389" s="9"/>
      <c r="H6389" s="257" t="s">
        <v>24393</v>
      </c>
      <c r="I6389" s="9">
        <v>4</v>
      </c>
    </row>
    <row r="6390" spans="1:9">
      <c r="A6390" s="257" t="s">
        <v>7488</v>
      </c>
      <c r="B6390" s="9">
        <v>5</v>
      </c>
      <c r="C6390" s="257" t="s">
        <v>13169</v>
      </c>
      <c r="D6390" s="9">
        <v>901129.99133300781</v>
      </c>
      <c r="E6390" s="9">
        <v>1724465.2324523926</v>
      </c>
      <c r="F6390" s="257" t="s">
        <v>17226</v>
      </c>
      <c r="G6390" s="9"/>
      <c r="H6390" s="257" t="s">
        <v>24394</v>
      </c>
      <c r="I6390" s="9">
        <v>4</v>
      </c>
    </row>
    <row r="6391" spans="1:9">
      <c r="A6391" s="257" t="s">
        <v>7489</v>
      </c>
      <c r="B6391" s="9">
        <v>5</v>
      </c>
      <c r="C6391" s="257" t="s">
        <v>13170</v>
      </c>
      <c r="D6391" s="9">
        <v>1733862407.9105406</v>
      </c>
      <c r="E6391" s="9">
        <v>1724465.2324523926</v>
      </c>
      <c r="F6391" s="257" t="s">
        <v>17226</v>
      </c>
      <c r="G6391" s="9"/>
      <c r="H6391" s="257" t="s">
        <v>24395</v>
      </c>
      <c r="I6391" s="9">
        <v>4</v>
      </c>
    </row>
    <row r="6392" spans="1:9">
      <c r="A6392" s="257" t="s">
        <v>7490</v>
      </c>
      <c r="B6392" s="9">
        <v>5</v>
      </c>
      <c r="C6392" s="257" t="s">
        <v>13171</v>
      </c>
      <c r="D6392" s="9">
        <v>0.52255619561056321</v>
      </c>
      <c r="E6392" s="9">
        <v>1724465.2324523926</v>
      </c>
      <c r="F6392" s="257" t="s">
        <v>17226</v>
      </c>
      <c r="G6392" s="9"/>
      <c r="H6392" s="257" t="s">
        <v>24396</v>
      </c>
      <c r="I6392" s="9">
        <v>4</v>
      </c>
    </row>
    <row r="6393" spans="1:9">
      <c r="A6393" s="257" t="s">
        <v>7491</v>
      </c>
      <c r="B6393" s="9">
        <v>5</v>
      </c>
      <c r="C6393" s="257" t="s">
        <v>13172</v>
      </c>
      <c r="D6393" s="9">
        <v>1005.4493272936469</v>
      </c>
      <c r="E6393" s="9">
        <v>1724465.2324523926</v>
      </c>
      <c r="F6393" s="257" t="s">
        <v>17226</v>
      </c>
      <c r="G6393" s="9"/>
      <c r="H6393" s="257" t="s">
        <v>24397</v>
      </c>
      <c r="I6393" s="9">
        <v>4</v>
      </c>
    </row>
    <row r="6394" spans="1:9">
      <c r="A6394" s="257" t="s">
        <v>7492</v>
      </c>
      <c r="B6394" s="9">
        <v>5</v>
      </c>
      <c r="C6394" s="257" t="s">
        <v>13173</v>
      </c>
      <c r="D6394" s="9">
        <v>1724465.2324523926</v>
      </c>
      <c r="E6394" s="9">
        <v>1724465.2324523926</v>
      </c>
      <c r="F6394" s="257" t="s">
        <v>17227</v>
      </c>
      <c r="G6394" s="9"/>
      <c r="H6394" s="257" t="s">
        <v>24398</v>
      </c>
      <c r="I6394" s="9">
        <v>4</v>
      </c>
    </row>
    <row r="6395" spans="1:9">
      <c r="A6395" s="257" t="s">
        <v>7493</v>
      </c>
      <c r="B6395" s="9">
        <v>5</v>
      </c>
      <c r="C6395" s="257" t="s">
        <v>13174</v>
      </c>
      <c r="D6395" s="9">
        <v>8644871844.1838703</v>
      </c>
      <c r="E6395" s="9">
        <v>1724465.2324523926</v>
      </c>
      <c r="F6395" s="257" t="s">
        <v>17227</v>
      </c>
      <c r="G6395" s="9"/>
      <c r="H6395" s="257" t="s">
        <v>24399</v>
      </c>
      <c r="I6395" s="9">
        <v>4</v>
      </c>
    </row>
    <row r="6396" spans="1:9">
      <c r="A6396" s="257" t="s">
        <v>7494</v>
      </c>
      <c r="B6396" s="9">
        <v>5</v>
      </c>
      <c r="C6396" s="257" t="s">
        <v>13175</v>
      </c>
      <c r="D6396" s="9">
        <v>1</v>
      </c>
      <c r="E6396" s="9">
        <v>1724465.2324523926</v>
      </c>
      <c r="F6396" s="257" t="s">
        <v>17227</v>
      </c>
      <c r="G6396" s="9"/>
      <c r="H6396" s="257" t="s">
        <v>24400</v>
      </c>
      <c r="I6396" s="9">
        <v>4</v>
      </c>
    </row>
    <row r="6397" spans="1:9">
      <c r="A6397" s="257" t="s">
        <v>7495</v>
      </c>
      <c r="B6397" s="9">
        <v>5</v>
      </c>
      <c r="C6397" s="257" t="s">
        <v>13176</v>
      </c>
      <c r="D6397" s="9">
        <v>5013.0740136116547</v>
      </c>
      <c r="E6397" s="9">
        <v>1724465.2324523926</v>
      </c>
      <c r="F6397" s="257" t="s">
        <v>17227</v>
      </c>
      <c r="G6397" s="9"/>
      <c r="H6397" s="257" t="s">
        <v>24401</v>
      </c>
      <c r="I6397" s="9">
        <v>4</v>
      </c>
    </row>
    <row r="6398" spans="1:9">
      <c r="A6398" s="257" t="s">
        <v>7496</v>
      </c>
      <c r="B6398" s="9">
        <v>5</v>
      </c>
      <c r="C6398" s="257" t="s">
        <v>13177</v>
      </c>
      <c r="D6398" s="9">
        <v>1724465.2324523926</v>
      </c>
      <c r="E6398" s="9">
        <v>1724465.2324523926</v>
      </c>
      <c r="F6398" s="257" t="s">
        <v>17228</v>
      </c>
      <c r="G6398" s="9"/>
      <c r="H6398" s="257" t="s">
        <v>24402</v>
      </c>
      <c r="I6398" s="9">
        <v>4</v>
      </c>
    </row>
    <row r="6399" spans="1:9">
      <c r="A6399" s="257" t="s">
        <v>7497</v>
      </c>
      <c r="B6399" s="9">
        <v>5</v>
      </c>
      <c r="C6399" s="257" t="s">
        <v>13178</v>
      </c>
      <c r="D6399" s="9">
        <v>8879356844.5522022</v>
      </c>
      <c r="E6399" s="9">
        <v>1724465.2324523926</v>
      </c>
      <c r="F6399" s="257" t="s">
        <v>17228</v>
      </c>
      <c r="G6399" s="9"/>
      <c r="H6399" s="257" t="s">
        <v>24403</v>
      </c>
      <c r="I6399" s="9">
        <v>4</v>
      </c>
    </row>
    <row r="6400" spans="1:9">
      <c r="A6400" s="257" t="s">
        <v>7498</v>
      </c>
      <c r="B6400" s="9">
        <v>5</v>
      </c>
      <c r="C6400" s="257" t="s">
        <v>13179</v>
      </c>
      <c r="D6400" s="9">
        <v>1</v>
      </c>
      <c r="E6400" s="9">
        <v>1724465.2324523926</v>
      </c>
      <c r="F6400" s="257" t="s">
        <v>17228</v>
      </c>
      <c r="G6400" s="9"/>
      <c r="H6400" s="257" t="s">
        <v>24404</v>
      </c>
      <c r="I6400" s="9">
        <v>4</v>
      </c>
    </row>
    <row r="6401" spans="1:9">
      <c r="A6401" s="257" t="s">
        <v>7499</v>
      </c>
      <c r="B6401" s="9">
        <v>5</v>
      </c>
      <c r="C6401" s="257" t="s">
        <v>13180</v>
      </c>
      <c r="D6401" s="9">
        <v>5149.0495009428005</v>
      </c>
      <c r="E6401" s="9">
        <v>1724465.2324523926</v>
      </c>
      <c r="F6401" s="257" t="s">
        <v>17228</v>
      </c>
      <c r="G6401" s="9"/>
      <c r="H6401" s="257" t="s">
        <v>24405</v>
      </c>
      <c r="I6401" s="9">
        <v>4</v>
      </c>
    </row>
    <row r="6402" spans="1:9">
      <c r="A6402" s="257" t="s">
        <v>7500</v>
      </c>
      <c r="B6402" s="9">
        <v>5</v>
      </c>
      <c r="C6402" s="257" t="s">
        <v>13181</v>
      </c>
      <c r="D6402" s="9">
        <v>941296.03388977051</v>
      </c>
      <c r="E6402" s="9">
        <v>1724465.2324523926</v>
      </c>
      <c r="F6402" s="257" t="s">
        <v>17229</v>
      </c>
      <c r="G6402" s="9"/>
      <c r="H6402" s="257" t="s">
        <v>24406</v>
      </c>
      <c r="I6402" s="9">
        <v>4</v>
      </c>
    </row>
    <row r="6403" spans="1:9">
      <c r="A6403" s="257" t="s">
        <v>7501</v>
      </c>
      <c r="B6403" s="9">
        <v>5</v>
      </c>
      <c r="C6403" s="257" t="s">
        <v>13182</v>
      </c>
      <c r="D6403" s="9">
        <v>4286768252.2130075</v>
      </c>
      <c r="E6403" s="9">
        <v>1724465.2324523926</v>
      </c>
      <c r="F6403" s="257" t="s">
        <v>17229</v>
      </c>
      <c r="G6403" s="9"/>
      <c r="H6403" s="257" t="s">
        <v>24407</v>
      </c>
      <c r="I6403" s="9">
        <v>4</v>
      </c>
    </row>
    <row r="6404" spans="1:9">
      <c r="A6404" s="257" t="s">
        <v>7502</v>
      </c>
      <c r="B6404" s="9">
        <v>5</v>
      </c>
      <c r="C6404" s="257" t="s">
        <v>13183</v>
      </c>
      <c r="D6404" s="9">
        <v>0.54584807868299945</v>
      </c>
      <c r="E6404" s="9">
        <v>1724465.2324523926</v>
      </c>
      <c r="F6404" s="257" t="s">
        <v>17229</v>
      </c>
      <c r="G6404" s="9"/>
      <c r="H6404" s="257" t="s">
        <v>24408</v>
      </c>
      <c r="I6404" s="9">
        <v>4</v>
      </c>
    </row>
    <row r="6405" spans="1:9">
      <c r="A6405" s="257" t="s">
        <v>7503</v>
      </c>
      <c r="B6405" s="9">
        <v>5</v>
      </c>
      <c r="C6405" s="257" t="s">
        <v>13184</v>
      </c>
      <c r="D6405" s="9">
        <v>2485.8536846908291</v>
      </c>
      <c r="E6405" s="9">
        <v>1724465.2324523926</v>
      </c>
      <c r="F6405" s="257" t="s">
        <v>17229</v>
      </c>
      <c r="G6405" s="9"/>
      <c r="H6405" s="257" t="s">
        <v>24409</v>
      </c>
      <c r="I6405" s="9">
        <v>4</v>
      </c>
    </row>
    <row r="6406" spans="1:9">
      <c r="A6406" s="257" t="s">
        <v>7504</v>
      </c>
      <c r="B6406" s="9">
        <v>5</v>
      </c>
      <c r="C6406" s="257" t="s">
        <v>13185</v>
      </c>
      <c r="D6406" s="9">
        <v>941296.03388977051</v>
      </c>
      <c r="E6406" s="9">
        <v>1724465.2324523926</v>
      </c>
      <c r="F6406" s="257" t="s">
        <v>17230</v>
      </c>
      <c r="G6406" s="9"/>
      <c r="H6406" s="257" t="s">
        <v>24410</v>
      </c>
      <c r="I6406" s="9">
        <v>4</v>
      </c>
    </row>
    <row r="6407" spans="1:9">
      <c r="A6407" s="257" t="s">
        <v>7505</v>
      </c>
      <c r="B6407" s="9">
        <v>5</v>
      </c>
      <c r="C6407" s="257" t="s">
        <v>13186</v>
      </c>
      <c r="D6407" s="9">
        <v>4521253252.5813379</v>
      </c>
      <c r="E6407" s="9">
        <v>1724465.2324523926</v>
      </c>
      <c r="F6407" s="257" t="s">
        <v>17230</v>
      </c>
      <c r="G6407" s="9"/>
      <c r="H6407" s="257" t="s">
        <v>24411</v>
      </c>
      <c r="I6407" s="9">
        <v>4</v>
      </c>
    </row>
    <row r="6408" spans="1:9">
      <c r="A6408" s="257" t="s">
        <v>7506</v>
      </c>
      <c r="B6408" s="9">
        <v>5</v>
      </c>
      <c r="C6408" s="257" t="s">
        <v>13187</v>
      </c>
      <c r="D6408" s="9">
        <v>0.54584807868299945</v>
      </c>
      <c r="E6408" s="9">
        <v>1724465.2324523926</v>
      </c>
      <c r="F6408" s="257" t="s">
        <v>17230</v>
      </c>
      <c r="G6408" s="9"/>
      <c r="H6408" s="257" t="s">
        <v>24412</v>
      </c>
      <c r="I6408" s="9">
        <v>4</v>
      </c>
    </row>
    <row r="6409" spans="1:9">
      <c r="A6409" s="257" t="s">
        <v>7507</v>
      </c>
      <c r="B6409" s="9">
        <v>5</v>
      </c>
      <c r="C6409" s="257" t="s">
        <v>13188</v>
      </c>
      <c r="D6409" s="9">
        <v>2621.8291720219745</v>
      </c>
      <c r="E6409" s="9">
        <v>1724465.2324523926</v>
      </c>
      <c r="F6409" s="257" t="s">
        <v>17230</v>
      </c>
      <c r="G6409" s="9"/>
      <c r="H6409" s="257" t="s">
        <v>24413</v>
      </c>
      <c r="I6409" s="9">
        <v>4</v>
      </c>
    </row>
    <row r="6410" spans="1:9">
      <c r="A6410" s="257" t="s">
        <v>7508</v>
      </c>
      <c r="B6410" s="9">
        <v>5</v>
      </c>
      <c r="C6410" s="257" t="s">
        <v>13189</v>
      </c>
      <c r="D6410" s="9">
        <v>1724465.2324523926</v>
      </c>
      <c r="E6410" s="9">
        <v>1724465.2324523926</v>
      </c>
      <c r="F6410" s="257" t="s">
        <v>17231</v>
      </c>
      <c r="G6410" s="9"/>
      <c r="H6410" s="257" t="s">
        <v>24414</v>
      </c>
      <c r="I6410" s="9">
        <v>4</v>
      </c>
    </row>
    <row r="6411" spans="1:9">
      <c r="A6411" s="257" t="s">
        <v>7509</v>
      </c>
      <c r="B6411" s="9">
        <v>5</v>
      </c>
      <c r="C6411" s="257" t="s">
        <v>13190</v>
      </c>
      <c r="D6411" s="9">
        <v>2624241184.0603232</v>
      </c>
      <c r="E6411" s="9">
        <v>1724465.2324523926</v>
      </c>
      <c r="F6411" s="257" t="s">
        <v>17231</v>
      </c>
      <c r="G6411" s="9"/>
      <c r="H6411" s="257" t="s">
        <v>24415</v>
      </c>
      <c r="I6411" s="9">
        <v>4</v>
      </c>
    </row>
    <row r="6412" spans="1:9">
      <c r="A6412" s="257" t="s">
        <v>7510</v>
      </c>
      <c r="B6412" s="9">
        <v>5</v>
      </c>
      <c r="C6412" s="257" t="s">
        <v>13191</v>
      </c>
      <c r="D6412" s="9">
        <v>1</v>
      </c>
      <c r="E6412" s="9">
        <v>1724465.2324523926</v>
      </c>
      <c r="F6412" s="257" t="s">
        <v>17231</v>
      </c>
      <c r="G6412" s="9"/>
      <c r="H6412" s="257" t="s">
        <v>24416</v>
      </c>
      <c r="I6412" s="9">
        <v>4</v>
      </c>
    </row>
    <row r="6413" spans="1:9">
      <c r="A6413" s="257" t="s">
        <v>7511</v>
      </c>
      <c r="B6413" s="9">
        <v>5</v>
      </c>
      <c r="C6413" s="257" t="s">
        <v>13192</v>
      </c>
      <c r="D6413" s="9">
        <v>1521.7710016271787</v>
      </c>
      <c r="E6413" s="9">
        <v>1724465.2324523926</v>
      </c>
      <c r="F6413" s="257" t="s">
        <v>17231</v>
      </c>
      <c r="G6413" s="9"/>
      <c r="H6413" s="257" t="s">
        <v>24417</v>
      </c>
      <c r="I6413" s="9">
        <v>4</v>
      </c>
    </row>
    <row r="6414" spans="1:9">
      <c r="A6414" s="257" t="s">
        <v>7512</v>
      </c>
      <c r="B6414" s="9">
        <v>5</v>
      </c>
      <c r="C6414" s="257" t="s">
        <v>13193</v>
      </c>
      <c r="D6414" s="9">
        <v>1724465.2324523926</v>
      </c>
      <c r="E6414" s="9">
        <v>1724465.2324523926</v>
      </c>
      <c r="F6414" s="257" t="s">
        <v>17232</v>
      </c>
      <c r="G6414" s="9"/>
      <c r="H6414" s="257" t="s">
        <v>24418</v>
      </c>
      <c r="I6414" s="9">
        <v>4</v>
      </c>
    </row>
    <row r="6415" spans="1:9">
      <c r="A6415" s="257" t="s">
        <v>7513</v>
      </c>
      <c r="B6415" s="9">
        <v>5</v>
      </c>
      <c r="C6415" s="257" t="s">
        <v>13194</v>
      </c>
      <c r="D6415" s="9">
        <v>4281050356.6413765</v>
      </c>
      <c r="E6415" s="9">
        <v>1724465.2324523926</v>
      </c>
      <c r="F6415" s="257" t="s">
        <v>17232</v>
      </c>
      <c r="G6415" s="9"/>
      <c r="H6415" s="257" t="s">
        <v>24419</v>
      </c>
      <c r="I6415" s="9">
        <v>4</v>
      </c>
    </row>
    <row r="6416" spans="1:9">
      <c r="A6416" s="257" t="s">
        <v>7514</v>
      </c>
      <c r="B6416" s="9">
        <v>5</v>
      </c>
      <c r="C6416" s="257" t="s">
        <v>13195</v>
      </c>
      <c r="D6416" s="9">
        <v>1</v>
      </c>
      <c r="E6416" s="9">
        <v>1724465.2324523926</v>
      </c>
      <c r="F6416" s="257" t="s">
        <v>17232</v>
      </c>
      <c r="G6416" s="9"/>
      <c r="H6416" s="257" t="s">
        <v>24420</v>
      </c>
      <c r="I6416" s="9">
        <v>4</v>
      </c>
    </row>
    <row r="6417" spans="1:9">
      <c r="A6417" s="257" t="s">
        <v>7515</v>
      </c>
      <c r="B6417" s="9">
        <v>5</v>
      </c>
      <c r="C6417" s="257" t="s">
        <v>13196</v>
      </c>
      <c r="D6417" s="9">
        <v>2482.537934704093</v>
      </c>
      <c r="E6417" s="9">
        <v>1724465.2324523926</v>
      </c>
      <c r="F6417" s="257" t="s">
        <v>17232</v>
      </c>
      <c r="G6417" s="9"/>
      <c r="H6417" s="257" t="s">
        <v>24421</v>
      </c>
      <c r="I6417" s="9">
        <v>4</v>
      </c>
    </row>
    <row r="6418" spans="1:9">
      <c r="A6418" s="257" t="s">
        <v>7516</v>
      </c>
      <c r="B6418" s="9">
        <v>5</v>
      </c>
      <c r="C6418" s="257" t="s">
        <v>13197</v>
      </c>
      <c r="D6418" s="9">
        <v>943306.87666320801</v>
      </c>
      <c r="E6418" s="9">
        <v>1724465.2324523926</v>
      </c>
      <c r="F6418" s="257" t="s">
        <v>17233</v>
      </c>
      <c r="G6418" s="9"/>
      <c r="H6418" s="257" t="s">
        <v>24422</v>
      </c>
      <c r="I6418" s="9">
        <v>4</v>
      </c>
    </row>
    <row r="6419" spans="1:9">
      <c r="A6419" s="257" t="s">
        <v>7517</v>
      </c>
      <c r="B6419" s="9">
        <v>5</v>
      </c>
      <c r="C6419" s="257" t="s">
        <v>13198</v>
      </c>
      <c r="D6419" s="9">
        <v>5294211817.3570862</v>
      </c>
      <c r="E6419" s="9">
        <v>1724465.2324523926</v>
      </c>
      <c r="F6419" s="257" t="s">
        <v>17233</v>
      </c>
      <c r="G6419" s="9"/>
      <c r="H6419" s="257" t="s">
        <v>24423</v>
      </c>
      <c r="I6419" s="9">
        <v>4</v>
      </c>
    </row>
    <row r="6420" spans="1:9">
      <c r="A6420" s="257" t="s">
        <v>7518</v>
      </c>
      <c r="B6420" s="9">
        <v>5</v>
      </c>
      <c r="C6420" s="257" t="s">
        <v>13199</v>
      </c>
      <c r="D6420" s="9">
        <v>0.54701414613138621</v>
      </c>
      <c r="E6420" s="9">
        <v>1724465.2324523926</v>
      </c>
      <c r="F6420" s="257" t="s">
        <v>17233</v>
      </c>
      <c r="G6420" s="9"/>
      <c r="H6420" s="257" t="s">
        <v>24424</v>
      </c>
      <c r="I6420" s="9">
        <v>4</v>
      </c>
    </row>
    <row r="6421" spans="1:9">
      <c r="A6421" s="257" t="s">
        <v>7519</v>
      </c>
      <c r="B6421" s="9">
        <v>5</v>
      </c>
      <c r="C6421" s="257" t="s">
        <v>13200</v>
      </c>
      <c r="D6421" s="9">
        <v>3070.0600497628438</v>
      </c>
      <c r="E6421" s="9">
        <v>1724465.2324523926</v>
      </c>
      <c r="F6421" s="257" t="s">
        <v>17233</v>
      </c>
      <c r="G6421" s="9"/>
      <c r="H6421" s="257" t="s">
        <v>24425</v>
      </c>
      <c r="I6421" s="9">
        <v>4</v>
      </c>
    </row>
    <row r="6422" spans="1:9">
      <c r="A6422" s="257" t="s">
        <v>7520</v>
      </c>
      <c r="B6422" s="9">
        <v>5</v>
      </c>
      <c r="C6422" s="257" t="s">
        <v>13201</v>
      </c>
      <c r="D6422" s="9">
        <v>0</v>
      </c>
      <c r="E6422" s="9">
        <v>1724465.2324523926</v>
      </c>
      <c r="F6422" s="257" t="s">
        <v>17234</v>
      </c>
      <c r="G6422" s="9"/>
      <c r="H6422" s="257" t="s">
        <v>24426</v>
      </c>
      <c r="I6422" s="9">
        <v>4</v>
      </c>
    </row>
    <row r="6423" spans="1:9">
      <c r="A6423" s="257" t="s">
        <v>7521</v>
      </c>
      <c r="B6423" s="9">
        <v>5</v>
      </c>
      <c r="C6423" s="257" t="s">
        <v>13202</v>
      </c>
      <c r="D6423" s="9">
        <v>-695905329.44626164</v>
      </c>
      <c r="E6423" s="9">
        <v>1724465.2324523926</v>
      </c>
      <c r="F6423" s="257" t="s">
        <v>17234</v>
      </c>
      <c r="G6423" s="9"/>
      <c r="H6423" s="257" t="s">
        <v>24427</v>
      </c>
      <c r="I6423" s="9">
        <v>4</v>
      </c>
    </row>
    <row r="6424" spans="1:9">
      <c r="A6424" s="257" t="s">
        <v>7522</v>
      </c>
      <c r="B6424" s="9">
        <v>5</v>
      </c>
      <c r="C6424" s="257" t="s">
        <v>13203</v>
      </c>
      <c r="D6424" s="9">
        <v>0</v>
      </c>
      <c r="E6424" s="9">
        <v>1724465.2324523926</v>
      </c>
      <c r="F6424" s="257" t="s">
        <v>17234</v>
      </c>
      <c r="G6424" s="9"/>
      <c r="H6424" s="257" t="s">
        <v>24428</v>
      </c>
      <c r="I6424" s="9">
        <v>4</v>
      </c>
    </row>
    <row r="6425" spans="1:9">
      <c r="A6425" s="257" t="s">
        <v>7523</v>
      </c>
      <c r="B6425" s="9">
        <v>5</v>
      </c>
      <c r="C6425" s="257" t="s">
        <v>13204</v>
      </c>
      <c r="D6425" s="9">
        <v>-403.54848352413711</v>
      </c>
      <c r="E6425" s="9">
        <v>1724465.2324523926</v>
      </c>
      <c r="F6425" s="257" t="s">
        <v>17234</v>
      </c>
      <c r="G6425" s="9"/>
      <c r="H6425" s="257" t="s">
        <v>24429</v>
      </c>
      <c r="I6425" s="9">
        <v>4</v>
      </c>
    </row>
    <row r="6426" spans="1:9">
      <c r="A6426" s="257" t="s">
        <v>7524</v>
      </c>
      <c r="B6426" s="9">
        <v>5</v>
      </c>
      <c r="C6426" s="257" t="s">
        <v>13205</v>
      </c>
      <c r="D6426" s="9">
        <v>941296.03388977051</v>
      </c>
      <c r="E6426" s="9">
        <v>1724465.2324523926</v>
      </c>
      <c r="F6426" s="257" t="s">
        <v>17235</v>
      </c>
      <c r="G6426" s="9"/>
      <c r="H6426" s="257" t="s">
        <v>24430</v>
      </c>
      <c r="I6426" s="9">
        <v>4</v>
      </c>
    </row>
    <row r="6427" spans="1:9">
      <c r="A6427" s="257" t="s">
        <v>7525</v>
      </c>
      <c r="B6427" s="9">
        <v>5</v>
      </c>
      <c r="C6427" s="257" t="s">
        <v>13206</v>
      </c>
      <c r="D6427" s="9">
        <v>4598306487.9108248</v>
      </c>
      <c r="E6427" s="9">
        <v>1724465.2324523926</v>
      </c>
      <c r="F6427" s="257" t="s">
        <v>17235</v>
      </c>
      <c r="G6427" s="9"/>
      <c r="H6427" s="257" t="s">
        <v>24431</v>
      </c>
      <c r="I6427" s="9">
        <v>4</v>
      </c>
    </row>
    <row r="6428" spans="1:9">
      <c r="A6428" s="257" t="s">
        <v>7526</v>
      </c>
      <c r="B6428" s="9">
        <v>5</v>
      </c>
      <c r="C6428" s="257" t="s">
        <v>13207</v>
      </c>
      <c r="D6428" s="9">
        <v>0.54584807868299945</v>
      </c>
      <c r="E6428" s="9">
        <v>1724465.2324523926</v>
      </c>
      <c r="F6428" s="257" t="s">
        <v>17235</v>
      </c>
      <c r="G6428" s="9"/>
      <c r="H6428" s="257" t="s">
        <v>24432</v>
      </c>
      <c r="I6428" s="9">
        <v>4</v>
      </c>
    </row>
    <row r="6429" spans="1:9">
      <c r="A6429" s="257" t="s">
        <v>7527</v>
      </c>
      <c r="B6429" s="9">
        <v>5</v>
      </c>
      <c r="C6429" s="257" t="s">
        <v>13208</v>
      </c>
      <c r="D6429" s="9">
        <v>2666.5115662387066</v>
      </c>
      <c r="E6429" s="9">
        <v>1724465.2324523926</v>
      </c>
      <c r="F6429" s="257" t="s">
        <v>17235</v>
      </c>
      <c r="G6429" s="9"/>
      <c r="H6429" s="257" t="s">
        <v>24433</v>
      </c>
      <c r="I6429" s="9">
        <v>4</v>
      </c>
    </row>
    <row r="6430" spans="1:9">
      <c r="A6430" s="257" t="s">
        <v>7528</v>
      </c>
      <c r="B6430" s="9">
        <v>5</v>
      </c>
      <c r="C6430" s="257" t="s">
        <v>13209</v>
      </c>
      <c r="D6430" s="9">
        <v>103478.39990234375</v>
      </c>
      <c r="E6430" s="9">
        <v>1724465.2324523926</v>
      </c>
      <c r="F6430" s="257" t="s">
        <v>17236</v>
      </c>
      <c r="G6430" s="9"/>
      <c r="H6430" s="257" t="s">
        <v>24434</v>
      </c>
      <c r="I6430" s="9">
        <v>4</v>
      </c>
    </row>
    <row r="6431" spans="1:9">
      <c r="A6431" s="257" t="s">
        <v>7529</v>
      </c>
      <c r="B6431" s="9">
        <v>5</v>
      </c>
      <c r="C6431" s="257" t="s">
        <v>13210</v>
      </c>
      <c r="D6431" s="9">
        <v>77053235.32948719</v>
      </c>
      <c r="E6431" s="9">
        <v>1724465.2324523926</v>
      </c>
      <c r="F6431" s="257" t="s">
        <v>17236</v>
      </c>
      <c r="G6431" s="9"/>
      <c r="H6431" s="257" t="s">
        <v>24435</v>
      </c>
      <c r="I6431" s="9">
        <v>4</v>
      </c>
    </row>
    <row r="6432" spans="1:9">
      <c r="A6432" s="257" t="s">
        <v>7530</v>
      </c>
      <c r="B6432" s="9">
        <v>5</v>
      </c>
      <c r="C6432" s="257" t="s">
        <v>13211</v>
      </c>
      <c r="D6432" s="9">
        <v>6.0006080699687568E-2</v>
      </c>
      <c r="E6432" s="9">
        <v>1724465.2324523926</v>
      </c>
      <c r="F6432" s="257" t="s">
        <v>17236</v>
      </c>
      <c r="G6432" s="9"/>
      <c r="H6432" s="257" t="s">
        <v>24436</v>
      </c>
      <c r="I6432" s="9">
        <v>4</v>
      </c>
    </row>
    <row r="6433" spans="1:9">
      <c r="A6433" s="257" t="s">
        <v>7531</v>
      </c>
      <c r="B6433" s="9">
        <v>5</v>
      </c>
      <c r="C6433" s="257" t="s">
        <v>13212</v>
      </c>
      <c r="D6433" s="9">
        <v>44.682394216732582</v>
      </c>
      <c r="E6433" s="9">
        <v>1724465.2324523926</v>
      </c>
      <c r="F6433" s="257" t="s">
        <v>17236</v>
      </c>
      <c r="G6433" s="9"/>
      <c r="H6433" s="257" t="s">
        <v>24437</v>
      </c>
      <c r="I6433" s="9">
        <v>4</v>
      </c>
    </row>
    <row r="6434" spans="1:9">
      <c r="A6434" s="257" t="s">
        <v>7532</v>
      </c>
      <c r="B6434" s="9">
        <v>5</v>
      </c>
      <c r="C6434" s="257" t="s">
        <v>13213</v>
      </c>
      <c r="D6434" s="9">
        <v>860979.083984375</v>
      </c>
      <c r="E6434" s="9">
        <v>1724465.2324523926</v>
      </c>
      <c r="F6434" s="257" t="s">
        <v>17237</v>
      </c>
      <c r="G6434" s="9"/>
      <c r="H6434" s="257" t="s">
        <v>24438</v>
      </c>
      <c r="I6434" s="9">
        <v>4</v>
      </c>
    </row>
    <row r="6435" spans="1:9">
      <c r="A6435" s="257" t="s">
        <v>7533</v>
      </c>
      <c r="B6435" s="9">
        <v>5</v>
      </c>
      <c r="C6435" s="257" t="s">
        <v>13214</v>
      </c>
      <c r="D6435" s="9">
        <v>1656809172.5810533</v>
      </c>
      <c r="E6435" s="9">
        <v>1724465.2324523926</v>
      </c>
      <c r="F6435" s="257" t="s">
        <v>17237</v>
      </c>
      <c r="G6435" s="9"/>
      <c r="H6435" s="257" t="s">
        <v>24439</v>
      </c>
      <c r="I6435" s="9">
        <v>4</v>
      </c>
    </row>
    <row r="6436" spans="1:9">
      <c r="A6436" s="257" t="s">
        <v>7534</v>
      </c>
      <c r="B6436" s="9">
        <v>5</v>
      </c>
      <c r="C6436" s="257" t="s">
        <v>13215</v>
      </c>
      <c r="D6436" s="9">
        <v>0.49927308929270864</v>
      </c>
      <c r="E6436" s="9">
        <v>1724465.2324523926</v>
      </c>
      <c r="F6436" s="257" t="s">
        <v>17237</v>
      </c>
      <c r="G6436" s="9"/>
      <c r="H6436" s="257" t="s">
        <v>24440</v>
      </c>
      <c r="I6436" s="9">
        <v>4</v>
      </c>
    </row>
    <row r="6437" spans="1:9">
      <c r="A6437" s="257" t="s">
        <v>7535</v>
      </c>
      <c r="B6437" s="9">
        <v>5</v>
      </c>
      <c r="C6437" s="257" t="s">
        <v>13216</v>
      </c>
      <c r="D6437" s="9">
        <v>960.76693307691426</v>
      </c>
      <c r="E6437" s="9">
        <v>1724465.2324523926</v>
      </c>
      <c r="F6437" s="257" t="s">
        <v>17237</v>
      </c>
      <c r="G6437" s="9"/>
      <c r="H6437" s="257" t="s">
        <v>24441</v>
      </c>
      <c r="I6437" s="9">
        <v>4</v>
      </c>
    </row>
    <row r="6438" spans="1:9">
      <c r="A6438" s="257" t="s">
        <v>7536</v>
      </c>
      <c r="B6438" s="9">
        <v>5</v>
      </c>
      <c r="C6438" s="257" t="s">
        <v>13217</v>
      </c>
      <c r="D6438" s="9">
        <v>459289.45880126953</v>
      </c>
      <c r="E6438" s="9">
        <v>1724465.2324523926</v>
      </c>
      <c r="F6438" s="257" t="s">
        <v>17238</v>
      </c>
      <c r="G6438" s="9"/>
      <c r="H6438" s="257" t="s">
        <v>24442</v>
      </c>
      <c r="I6438" s="9">
        <v>4</v>
      </c>
    </row>
    <row r="6439" spans="1:9">
      <c r="A6439" s="257" t="s">
        <v>7537</v>
      </c>
      <c r="B6439" s="9">
        <v>5</v>
      </c>
      <c r="C6439" s="257" t="s">
        <v>13218</v>
      </c>
      <c r="D6439" s="9">
        <v>2630852599.0717311</v>
      </c>
      <c r="E6439" s="9">
        <v>1724465.2324523926</v>
      </c>
      <c r="F6439" s="257" t="s">
        <v>17238</v>
      </c>
      <c r="G6439" s="9"/>
      <c r="H6439" s="257" t="s">
        <v>24443</v>
      </c>
      <c r="I6439" s="9">
        <v>4</v>
      </c>
    </row>
    <row r="6440" spans="1:9">
      <c r="A6440" s="257" t="s">
        <v>7538</v>
      </c>
      <c r="B6440" s="9">
        <v>5</v>
      </c>
      <c r="C6440" s="257" t="s">
        <v>13219</v>
      </c>
      <c r="D6440" s="9">
        <v>0.26633732600575882</v>
      </c>
      <c r="E6440" s="9">
        <v>1724465.2324523926</v>
      </c>
      <c r="F6440" s="257" t="s">
        <v>17238</v>
      </c>
      <c r="G6440" s="9"/>
      <c r="H6440" s="257" t="s">
        <v>24444</v>
      </c>
      <c r="I6440" s="9">
        <v>4</v>
      </c>
    </row>
    <row r="6441" spans="1:9">
      <c r="A6441" s="257" t="s">
        <v>7539</v>
      </c>
      <c r="B6441" s="9">
        <v>5</v>
      </c>
      <c r="C6441" s="257" t="s">
        <v>13220</v>
      </c>
      <c r="D6441" s="9">
        <v>1525.6048945274176</v>
      </c>
      <c r="E6441" s="9">
        <v>1724465.2324523926</v>
      </c>
      <c r="F6441" s="257" t="s">
        <v>17238</v>
      </c>
      <c r="G6441" s="9"/>
      <c r="H6441" s="257" t="s">
        <v>24445</v>
      </c>
      <c r="I6441" s="9">
        <v>4</v>
      </c>
    </row>
    <row r="6442" spans="1:9">
      <c r="A6442" s="257" t="s">
        <v>7540</v>
      </c>
      <c r="B6442" s="9">
        <v>6</v>
      </c>
      <c r="C6442" s="257" t="s">
        <v>13221</v>
      </c>
      <c r="D6442" s="9">
        <v>1075620.3254089355</v>
      </c>
      <c r="E6442" s="9">
        <v>1727309.5965805054</v>
      </c>
      <c r="F6442" s="257" t="s">
        <v>17239</v>
      </c>
      <c r="G6442" s="9"/>
      <c r="H6442" s="257" t="s">
        <v>24446</v>
      </c>
      <c r="I6442" s="9">
        <v>4</v>
      </c>
    </row>
    <row r="6443" spans="1:9">
      <c r="A6443" s="257" t="s">
        <v>7541</v>
      </c>
      <c r="B6443" s="9">
        <v>6</v>
      </c>
      <c r="C6443" s="257" t="s">
        <v>13222</v>
      </c>
      <c r="D6443" s="9">
        <v>3656699744.6330066</v>
      </c>
      <c r="E6443" s="9">
        <v>1727309.5965805054</v>
      </c>
      <c r="F6443" s="257" t="s">
        <v>17239</v>
      </c>
      <c r="G6443" s="9"/>
      <c r="H6443" s="257" t="s">
        <v>24447</v>
      </c>
      <c r="I6443" s="9">
        <v>4</v>
      </c>
    </row>
    <row r="6444" spans="1:9">
      <c r="A6444" s="257" t="s">
        <v>7542</v>
      </c>
      <c r="B6444" s="9">
        <v>6</v>
      </c>
      <c r="C6444" s="257" t="s">
        <v>13223</v>
      </c>
      <c r="D6444" s="9">
        <v>0.62271426473766123</v>
      </c>
      <c r="E6444" s="9">
        <v>1727309.5965805054</v>
      </c>
      <c r="F6444" s="257" t="s">
        <v>17239</v>
      </c>
      <c r="G6444" s="9"/>
      <c r="H6444" s="257" t="s">
        <v>24448</v>
      </c>
      <c r="I6444" s="9">
        <v>4</v>
      </c>
    </row>
    <row r="6445" spans="1:9">
      <c r="A6445" s="257" t="s">
        <v>7543</v>
      </c>
      <c r="B6445" s="9">
        <v>6</v>
      </c>
      <c r="C6445" s="257" t="s">
        <v>13224</v>
      </c>
      <c r="D6445" s="9">
        <v>2116.9915062546097</v>
      </c>
      <c r="E6445" s="9">
        <v>1727309.5965805054</v>
      </c>
      <c r="F6445" s="257" t="s">
        <v>17239</v>
      </c>
      <c r="G6445" s="9"/>
      <c r="H6445" s="257" t="s">
        <v>24449</v>
      </c>
      <c r="I6445" s="9">
        <v>4</v>
      </c>
    </row>
    <row r="6446" spans="1:9">
      <c r="A6446" s="257" t="s">
        <v>7544</v>
      </c>
      <c r="B6446" s="9">
        <v>6</v>
      </c>
      <c r="C6446" s="257" t="s">
        <v>13225</v>
      </c>
      <c r="D6446" s="9">
        <v>0</v>
      </c>
      <c r="E6446" s="9">
        <v>1727309.5965805054</v>
      </c>
      <c r="F6446" s="257" t="s">
        <v>17240</v>
      </c>
      <c r="G6446" s="9"/>
      <c r="H6446" s="257" t="s">
        <v>24450</v>
      </c>
      <c r="I6446" s="9">
        <v>4</v>
      </c>
    </row>
    <row r="6447" spans="1:9">
      <c r="A6447" s="257" t="s">
        <v>7545</v>
      </c>
      <c r="B6447" s="9">
        <v>6</v>
      </c>
      <c r="C6447" s="257" t="s">
        <v>13226</v>
      </c>
      <c r="D6447" s="9">
        <v>0</v>
      </c>
      <c r="E6447" s="9">
        <v>1727309.5965805054</v>
      </c>
      <c r="F6447" s="257" t="s">
        <v>17240</v>
      </c>
      <c r="G6447" s="9"/>
      <c r="H6447" s="257" t="s">
        <v>24451</v>
      </c>
      <c r="I6447" s="9">
        <v>4</v>
      </c>
    </row>
    <row r="6448" spans="1:9">
      <c r="A6448" s="257" t="s">
        <v>7546</v>
      </c>
      <c r="B6448" s="9">
        <v>6</v>
      </c>
      <c r="C6448" s="257" t="s">
        <v>13227</v>
      </c>
      <c r="D6448" s="9">
        <v>0</v>
      </c>
      <c r="E6448" s="9">
        <v>1727309.5965805054</v>
      </c>
      <c r="F6448" s="257" t="s">
        <v>17240</v>
      </c>
      <c r="G6448" s="9"/>
      <c r="H6448" s="257" t="s">
        <v>24452</v>
      </c>
      <c r="I6448" s="9">
        <v>4</v>
      </c>
    </row>
    <row r="6449" spans="1:9">
      <c r="A6449" s="257" t="s">
        <v>7547</v>
      </c>
      <c r="B6449" s="9">
        <v>6</v>
      </c>
      <c r="C6449" s="257" t="s">
        <v>13228</v>
      </c>
      <c r="D6449" s="9">
        <v>0</v>
      </c>
      <c r="E6449" s="9">
        <v>1727309.5965805054</v>
      </c>
      <c r="F6449" s="257" t="s">
        <v>17240</v>
      </c>
      <c r="G6449" s="9"/>
      <c r="H6449" s="257" t="s">
        <v>24453</v>
      </c>
      <c r="I6449" s="9">
        <v>4</v>
      </c>
    </row>
    <row r="6450" spans="1:9">
      <c r="A6450" s="257" t="s">
        <v>7548</v>
      </c>
      <c r="B6450" s="9">
        <v>6</v>
      </c>
      <c r="C6450" s="257" t="s">
        <v>13229</v>
      </c>
      <c r="D6450" s="9">
        <v>1126215.7252044678</v>
      </c>
      <c r="E6450" s="9">
        <v>1727309.5965805054</v>
      </c>
      <c r="F6450" s="257" t="s">
        <v>17241</v>
      </c>
      <c r="G6450" s="9"/>
      <c r="H6450" s="257" t="s">
        <v>24454</v>
      </c>
      <c r="I6450" s="9">
        <v>4</v>
      </c>
    </row>
    <row r="6451" spans="1:9">
      <c r="A6451" s="257" t="s">
        <v>7549</v>
      </c>
      <c r="B6451" s="9">
        <v>6</v>
      </c>
      <c r="C6451" s="257" t="s">
        <v>13230</v>
      </c>
      <c r="D6451" s="9">
        <v>325655174.33821023</v>
      </c>
      <c r="E6451" s="9">
        <v>1727309.5965805054</v>
      </c>
      <c r="F6451" s="257" t="s">
        <v>17241</v>
      </c>
      <c r="G6451" s="9"/>
      <c r="H6451" s="257" t="s">
        <v>24455</v>
      </c>
      <c r="I6451" s="9">
        <v>4</v>
      </c>
    </row>
    <row r="6452" spans="1:9">
      <c r="A6452" s="257" t="s">
        <v>7550</v>
      </c>
      <c r="B6452" s="9">
        <v>6</v>
      </c>
      <c r="C6452" s="257" t="s">
        <v>13231</v>
      </c>
      <c r="D6452" s="9">
        <v>0.65200571306614508</v>
      </c>
      <c r="E6452" s="9">
        <v>1727309.5965805054</v>
      </c>
      <c r="F6452" s="257" t="s">
        <v>17241</v>
      </c>
      <c r="G6452" s="9"/>
      <c r="H6452" s="257" t="s">
        <v>24456</v>
      </c>
      <c r="I6452" s="9">
        <v>4</v>
      </c>
    </row>
    <row r="6453" spans="1:9">
      <c r="A6453" s="257" t="s">
        <v>7551</v>
      </c>
      <c r="B6453" s="9">
        <v>6</v>
      </c>
      <c r="C6453" s="257" t="s">
        <v>13232</v>
      </c>
      <c r="D6453" s="9">
        <v>188.53318188175322</v>
      </c>
      <c r="E6453" s="9">
        <v>1727309.5965805054</v>
      </c>
      <c r="F6453" s="257" t="s">
        <v>17241</v>
      </c>
      <c r="G6453" s="9"/>
      <c r="H6453" s="257" t="s">
        <v>24457</v>
      </c>
      <c r="I6453" s="9">
        <v>4</v>
      </c>
    </row>
    <row r="6454" spans="1:9">
      <c r="A6454" s="257" t="s">
        <v>7552</v>
      </c>
      <c r="B6454" s="9">
        <v>6</v>
      </c>
      <c r="C6454" s="257" t="s">
        <v>13233</v>
      </c>
      <c r="D6454" s="9">
        <v>583319.53570556641</v>
      </c>
      <c r="E6454" s="9">
        <v>1727309.5965805054</v>
      </c>
      <c r="F6454" s="257" t="s">
        <v>17242</v>
      </c>
      <c r="G6454" s="9"/>
      <c r="H6454" s="257" t="s">
        <v>24458</v>
      </c>
      <c r="I6454" s="9">
        <v>4</v>
      </c>
    </row>
    <row r="6455" spans="1:9">
      <c r="A6455" s="257" t="s">
        <v>7553</v>
      </c>
      <c r="B6455" s="9">
        <v>6</v>
      </c>
      <c r="C6455" s="257" t="s">
        <v>13234</v>
      </c>
      <c r="D6455" s="9">
        <v>135537907.62692457</v>
      </c>
      <c r="E6455" s="9">
        <v>1727309.5965805054</v>
      </c>
      <c r="F6455" s="257" t="s">
        <v>17242</v>
      </c>
      <c r="G6455" s="9"/>
      <c r="H6455" s="257" t="s">
        <v>24459</v>
      </c>
      <c r="I6455" s="9">
        <v>4</v>
      </c>
    </row>
    <row r="6456" spans="1:9">
      <c r="A6456" s="257" t="s">
        <v>7554</v>
      </c>
      <c r="B6456" s="9">
        <v>6</v>
      </c>
      <c r="C6456" s="257" t="s">
        <v>13235</v>
      </c>
      <c r="D6456" s="9">
        <v>0.33770410172000653</v>
      </c>
      <c r="E6456" s="9">
        <v>1727309.5965805054</v>
      </c>
      <c r="F6456" s="257" t="s">
        <v>17242</v>
      </c>
      <c r="G6456" s="9"/>
      <c r="H6456" s="257" t="s">
        <v>24460</v>
      </c>
      <c r="I6456" s="9">
        <v>4</v>
      </c>
    </row>
    <row r="6457" spans="1:9">
      <c r="A6457" s="257" t="s">
        <v>7555</v>
      </c>
      <c r="B6457" s="9">
        <v>6</v>
      </c>
      <c r="C6457" s="257" t="s">
        <v>13236</v>
      </c>
      <c r="D6457" s="9">
        <v>78.467640019626046</v>
      </c>
      <c r="E6457" s="9">
        <v>1727309.5965805054</v>
      </c>
      <c r="F6457" s="257" t="s">
        <v>17242</v>
      </c>
      <c r="G6457" s="9"/>
      <c r="H6457" s="257" t="s">
        <v>24461</v>
      </c>
      <c r="I6457" s="9">
        <v>4</v>
      </c>
    </row>
    <row r="6458" spans="1:9">
      <c r="A6458" s="257" t="s">
        <v>7556</v>
      </c>
      <c r="B6458" s="9">
        <v>6</v>
      </c>
      <c r="C6458" s="257" t="s">
        <v>13237</v>
      </c>
      <c r="D6458" s="9">
        <v>389967.27573394775</v>
      </c>
      <c r="E6458" s="9">
        <v>1727309.5965805054</v>
      </c>
      <c r="F6458" s="257" t="s">
        <v>17243</v>
      </c>
      <c r="G6458" s="9"/>
      <c r="H6458" s="257" t="s">
        <v>24462</v>
      </c>
      <c r="I6458" s="9">
        <v>4</v>
      </c>
    </row>
    <row r="6459" spans="1:9">
      <c r="A6459" s="257" t="s">
        <v>7557</v>
      </c>
      <c r="B6459" s="9">
        <v>6</v>
      </c>
      <c r="C6459" s="257" t="s">
        <v>13238</v>
      </c>
      <c r="D6459" s="9">
        <v>1205294822.9775026</v>
      </c>
      <c r="E6459" s="9">
        <v>1727309.5965805054</v>
      </c>
      <c r="F6459" s="257" t="s">
        <v>17243</v>
      </c>
      <c r="G6459" s="9"/>
      <c r="H6459" s="257" t="s">
        <v>24463</v>
      </c>
      <c r="I6459" s="9">
        <v>4</v>
      </c>
    </row>
    <row r="6460" spans="1:9">
      <c r="A6460" s="257" t="s">
        <v>7558</v>
      </c>
      <c r="B6460" s="9">
        <v>6</v>
      </c>
      <c r="C6460" s="257" t="s">
        <v>13239</v>
      </c>
      <c r="D6460" s="9">
        <v>0.22576570899967927</v>
      </c>
      <c r="E6460" s="9">
        <v>1727309.5965805054</v>
      </c>
      <c r="F6460" s="257" t="s">
        <v>17243</v>
      </c>
      <c r="G6460" s="9"/>
      <c r="H6460" s="257" t="s">
        <v>24464</v>
      </c>
      <c r="I6460" s="9">
        <v>4</v>
      </c>
    </row>
    <row r="6461" spans="1:9">
      <c r="A6461" s="257" t="s">
        <v>7559</v>
      </c>
      <c r="B6461" s="9">
        <v>6</v>
      </c>
      <c r="C6461" s="257" t="s">
        <v>13240</v>
      </c>
      <c r="D6461" s="9">
        <v>697.78737139166174</v>
      </c>
      <c r="E6461" s="9">
        <v>1727309.5965805054</v>
      </c>
      <c r="F6461" s="257" t="s">
        <v>17243</v>
      </c>
      <c r="G6461" s="9"/>
      <c r="H6461" s="257" t="s">
        <v>24465</v>
      </c>
      <c r="I6461" s="9">
        <v>4</v>
      </c>
    </row>
    <row r="6462" spans="1:9">
      <c r="A6462" s="257" t="s">
        <v>7560</v>
      </c>
      <c r="B6462" s="9">
        <v>6</v>
      </c>
      <c r="C6462" s="257" t="s">
        <v>13241</v>
      </c>
      <c r="D6462" s="9">
        <v>80738.580718994141</v>
      </c>
      <c r="E6462" s="9">
        <v>1727309.5965805054</v>
      </c>
      <c r="F6462" s="257" t="s">
        <v>17244</v>
      </c>
      <c r="G6462" s="9"/>
      <c r="H6462" s="257" t="s">
        <v>24466</v>
      </c>
      <c r="I6462" s="9">
        <v>4</v>
      </c>
    </row>
    <row r="6463" spans="1:9">
      <c r="A6463" s="257" t="s">
        <v>7561</v>
      </c>
      <c r="B6463" s="9">
        <v>6</v>
      </c>
      <c r="C6463" s="257" t="s">
        <v>13242</v>
      </c>
      <c r="D6463" s="9">
        <v>849527017.8994149</v>
      </c>
      <c r="E6463" s="9">
        <v>1727309.5965805054</v>
      </c>
      <c r="F6463" s="257" t="s">
        <v>17244</v>
      </c>
      <c r="G6463" s="9"/>
      <c r="H6463" s="257" t="s">
        <v>24467</v>
      </c>
      <c r="I6463" s="9">
        <v>4</v>
      </c>
    </row>
    <row r="6464" spans="1:9">
      <c r="A6464" s="257" t="s">
        <v>7562</v>
      </c>
      <c r="B6464" s="9">
        <v>6</v>
      </c>
      <c r="C6464" s="257" t="s">
        <v>13243</v>
      </c>
      <c r="D6464" s="9">
        <v>4.6742391102804905E-2</v>
      </c>
      <c r="E6464" s="9">
        <v>1727309.5965805054</v>
      </c>
      <c r="F6464" s="257" t="s">
        <v>17244</v>
      </c>
      <c r="G6464" s="9"/>
      <c r="H6464" s="257" t="s">
        <v>24468</v>
      </c>
      <c r="I6464" s="9">
        <v>4</v>
      </c>
    </row>
    <row r="6465" spans="1:9">
      <c r="A6465" s="257" t="s">
        <v>7563</v>
      </c>
      <c r="B6465" s="9">
        <v>6</v>
      </c>
      <c r="C6465" s="257" t="s">
        <v>13244</v>
      </c>
      <c r="D6465" s="9">
        <v>491.82093330645182</v>
      </c>
      <c r="E6465" s="9">
        <v>1727309.5965805054</v>
      </c>
      <c r="F6465" s="257" t="s">
        <v>17244</v>
      </c>
      <c r="G6465" s="9"/>
      <c r="H6465" s="257" t="s">
        <v>24469</v>
      </c>
      <c r="I6465" s="9">
        <v>4</v>
      </c>
    </row>
    <row r="6466" spans="1:9">
      <c r="A6466" s="257" t="s">
        <v>7564</v>
      </c>
      <c r="B6466" s="9">
        <v>6</v>
      </c>
      <c r="C6466" s="257" t="s">
        <v>13245</v>
      </c>
      <c r="D6466" s="9">
        <v>1360252.9555740356</v>
      </c>
      <c r="E6466" s="9">
        <v>1727309.5965805054</v>
      </c>
      <c r="F6466" s="257" t="s">
        <v>17245</v>
      </c>
      <c r="G6466" s="9"/>
      <c r="H6466" s="257" t="s">
        <v>24470</v>
      </c>
      <c r="I6466" s="9">
        <v>4</v>
      </c>
    </row>
    <row r="6467" spans="1:9">
      <c r="A6467" s="257" t="s">
        <v>7565</v>
      </c>
      <c r="B6467" s="9">
        <v>6</v>
      </c>
      <c r="C6467" s="257" t="s">
        <v>13246</v>
      </c>
      <c r="D6467" s="9">
        <v>2516014922.8420525</v>
      </c>
      <c r="E6467" s="9">
        <v>1727309.5965805054</v>
      </c>
      <c r="F6467" s="257" t="s">
        <v>17245</v>
      </c>
      <c r="G6467" s="9"/>
      <c r="H6467" s="257" t="s">
        <v>24471</v>
      </c>
      <c r="I6467" s="9">
        <v>4</v>
      </c>
    </row>
    <row r="6468" spans="1:9">
      <c r="A6468" s="257" t="s">
        <v>7566</v>
      </c>
      <c r="B6468" s="9">
        <v>6</v>
      </c>
      <c r="C6468" s="257" t="s">
        <v>13247</v>
      </c>
      <c r="D6468" s="9">
        <v>0.78749805956435437</v>
      </c>
      <c r="E6468" s="9">
        <v>1727309.5965805054</v>
      </c>
      <c r="F6468" s="257" t="s">
        <v>17245</v>
      </c>
      <c r="G6468" s="9"/>
      <c r="H6468" s="257" t="s">
        <v>24472</v>
      </c>
      <c r="I6468" s="9">
        <v>4</v>
      </c>
    </row>
    <row r="6469" spans="1:9">
      <c r="A6469" s="257" t="s">
        <v>7567</v>
      </c>
      <c r="B6469" s="9">
        <v>6</v>
      </c>
      <c r="C6469" s="257" t="s">
        <v>13248</v>
      </c>
      <c r="D6469" s="9">
        <v>1456.609126599493</v>
      </c>
      <c r="E6469" s="9">
        <v>1727309.5965805054</v>
      </c>
      <c r="F6469" s="257" t="s">
        <v>17245</v>
      </c>
      <c r="G6469" s="9"/>
      <c r="H6469" s="257" t="s">
        <v>24473</v>
      </c>
      <c r="I6469" s="9">
        <v>4</v>
      </c>
    </row>
    <row r="6470" spans="1:9">
      <c r="A6470" s="257" t="s">
        <v>7568</v>
      </c>
      <c r="B6470" s="9">
        <v>6</v>
      </c>
      <c r="C6470" s="257" t="s">
        <v>13249</v>
      </c>
      <c r="D6470" s="9">
        <v>785203.8235244751</v>
      </c>
      <c r="E6470" s="9">
        <v>1727309.5965805054</v>
      </c>
      <c r="F6470" s="257" t="s">
        <v>17246</v>
      </c>
      <c r="G6470" s="9"/>
      <c r="H6470" s="257" t="s">
        <v>24474</v>
      </c>
      <c r="I6470" s="9">
        <v>4</v>
      </c>
    </row>
    <row r="6471" spans="1:9">
      <c r="A6471" s="257" t="s">
        <v>7569</v>
      </c>
      <c r="B6471" s="9">
        <v>6</v>
      </c>
      <c r="C6471" s="257" t="s">
        <v>13250</v>
      </c>
      <c r="D6471" s="9">
        <v>2190359748.5038419</v>
      </c>
      <c r="E6471" s="9">
        <v>1727309.5965805054</v>
      </c>
      <c r="F6471" s="257" t="s">
        <v>17246</v>
      </c>
      <c r="G6471" s="9"/>
      <c r="H6471" s="257" t="s">
        <v>24475</v>
      </c>
      <c r="I6471" s="9">
        <v>4</v>
      </c>
    </row>
    <row r="6472" spans="1:9">
      <c r="A6472" s="257" t="s">
        <v>7570</v>
      </c>
      <c r="B6472" s="9">
        <v>6</v>
      </c>
      <c r="C6472" s="257" t="s">
        <v>13251</v>
      </c>
      <c r="D6472" s="9">
        <v>0.45458198407449119</v>
      </c>
      <c r="E6472" s="9">
        <v>1727309.5965805054</v>
      </c>
      <c r="F6472" s="257" t="s">
        <v>17246</v>
      </c>
      <c r="G6472" s="9"/>
      <c r="H6472" s="257" t="s">
        <v>24476</v>
      </c>
      <c r="I6472" s="9">
        <v>4</v>
      </c>
    </row>
    <row r="6473" spans="1:9">
      <c r="A6473" s="257" t="s">
        <v>7571</v>
      </c>
      <c r="B6473" s="9">
        <v>6</v>
      </c>
      <c r="C6473" s="257" t="s">
        <v>13252</v>
      </c>
      <c r="D6473" s="9">
        <v>1268.0759447177395</v>
      </c>
      <c r="E6473" s="9">
        <v>1727309.5965805054</v>
      </c>
      <c r="F6473" s="257" t="s">
        <v>17246</v>
      </c>
      <c r="G6473" s="9"/>
      <c r="H6473" s="257" t="s">
        <v>24477</v>
      </c>
      <c r="I6473" s="9">
        <v>4</v>
      </c>
    </row>
    <row r="6474" spans="1:9">
      <c r="A6474" s="257" t="s">
        <v>7572</v>
      </c>
      <c r="B6474" s="9">
        <v>6</v>
      </c>
      <c r="C6474" s="257" t="s">
        <v>13253</v>
      </c>
      <c r="D6474" s="9">
        <v>1727309.5965805054</v>
      </c>
      <c r="E6474" s="9">
        <v>1727309.5965805054</v>
      </c>
      <c r="F6474" s="257" t="s">
        <v>17247</v>
      </c>
      <c r="G6474" s="9"/>
      <c r="H6474" s="257" t="s">
        <v>24478</v>
      </c>
      <c r="I6474" s="9">
        <v>4</v>
      </c>
    </row>
    <row r="6475" spans="1:9">
      <c r="A6475" s="257" t="s">
        <v>7573</v>
      </c>
      <c r="B6475" s="9">
        <v>6</v>
      </c>
      <c r="C6475" s="257" t="s">
        <v>13254</v>
      </c>
      <c r="D6475" s="9">
        <v>11979428222.796713</v>
      </c>
      <c r="E6475" s="9">
        <v>1727309.5965805054</v>
      </c>
      <c r="F6475" s="257" t="s">
        <v>17247</v>
      </c>
      <c r="G6475" s="9"/>
      <c r="H6475" s="257" t="s">
        <v>24479</v>
      </c>
      <c r="I6475" s="9">
        <v>4</v>
      </c>
    </row>
    <row r="6476" spans="1:9">
      <c r="A6476" s="257" t="s">
        <v>7574</v>
      </c>
      <c r="B6476" s="9">
        <v>6</v>
      </c>
      <c r="C6476" s="257" t="s">
        <v>13255</v>
      </c>
      <c r="D6476" s="9">
        <v>1</v>
      </c>
      <c r="E6476" s="9">
        <v>1727309.5965805054</v>
      </c>
      <c r="F6476" s="257" t="s">
        <v>17247</v>
      </c>
      <c r="G6476" s="9"/>
      <c r="H6476" s="257" t="s">
        <v>24480</v>
      </c>
      <c r="I6476" s="9">
        <v>4</v>
      </c>
    </row>
    <row r="6477" spans="1:9">
      <c r="A6477" s="257" t="s">
        <v>7575</v>
      </c>
      <c r="B6477" s="9">
        <v>6</v>
      </c>
      <c r="C6477" s="257" t="s">
        <v>13256</v>
      </c>
      <c r="D6477" s="9">
        <v>6935.3104078805382</v>
      </c>
      <c r="E6477" s="9">
        <v>1727309.5965805054</v>
      </c>
      <c r="F6477" s="257" t="s">
        <v>17247</v>
      </c>
      <c r="G6477" s="9"/>
      <c r="H6477" s="257" t="s">
        <v>24481</v>
      </c>
      <c r="I6477" s="9">
        <v>4</v>
      </c>
    </row>
    <row r="6478" spans="1:9">
      <c r="A6478" s="257" t="s">
        <v>7576</v>
      </c>
      <c r="B6478" s="9">
        <v>6</v>
      </c>
      <c r="C6478" s="257" t="s">
        <v>13257</v>
      </c>
      <c r="D6478" s="9">
        <v>1727309.5965805054</v>
      </c>
      <c r="E6478" s="9">
        <v>1727309.5965805054</v>
      </c>
      <c r="F6478" s="257" t="s">
        <v>17248</v>
      </c>
      <c r="G6478" s="9"/>
      <c r="H6478" s="257" t="s">
        <v>24482</v>
      </c>
      <c r="I6478" s="9">
        <v>4</v>
      </c>
    </row>
    <row r="6479" spans="1:9">
      <c r="A6479" s="257" t="s">
        <v>7577</v>
      </c>
      <c r="B6479" s="9">
        <v>6</v>
      </c>
      <c r="C6479" s="257" t="s">
        <v>13258</v>
      </c>
      <c r="D6479" s="9">
        <v>9463413299.9546604</v>
      </c>
      <c r="E6479" s="9">
        <v>1727309.5965805054</v>
      </c>
      <c r="F6479" s="257" t="s">
        <v>17248</v>
      </c>
      <c r="G6479" s="9"/>
      <c r="H6479" s="257" t="s">
        <v>24483</v>
      </c>
      <c r="I6479" s="9">
        <v>4</v>
      </c>
    </row>
    <row r="6480" spans="1:9">
      <c r="A6480" s="257" t="s">
        <v>7578</v>
      </c>
      <c r="B6480" s="9">
        <v>6</v>
      </c>
      <c r="C6480" s="257" t="s">
        <v>13259</v>
      </c>
      <c r="D6480" s="9">
        <v>1</v>
      </c>
      <c r="E6480" s="9">
        <v>1727309.5965805054</v>
      </c>
      <c r="F6480" s="257" t="s">
        <v>17248</v>
      </c>
      <c r="G6480" s="9"/>
      <c r="H6480" s="257" t="s">
        <v>24484</v>
      </c>
      <c r="I6480" s="9">
        <v>4</v>
      </c>
    </row>
    <row r="6481" spans="1:9">
      <c r="A6481" s="257" t="s">
        <v>7579</v>
      </c>
      <c r="B6481" s="9">
        <v>6</v>
      </c>
      <c r="C6481" s="257" t="s">
        <v>13260</v>
      </c>
      <c r="D6481" s="9">
        <v>5478.7012812810453</v>
      </c>
      <c r="E6481" s="9">
        <v>1727309.5965805054</v>
      </c>
      <c r="F6481" s="257" t="s">
        <v>17248</v>
      </c>
      <c r="G6481" s="9"/>
      <c r="H6481" s="257" t="s">
        <v>24485</v>
      </c>
      <c r="I6481" s="9">
        <v>4</v>
      </c>
    </row>
    <row r="6482" spans="1:9">
      <c r="A6482" s="257" t="s">
        <v>7580</v>
      </c>
      <c r="B6482" s="9">
        <v>6</v>
      </c>
      <c r="C6482" s="257" t="s">
        <v>13261</v>
      </c>
      <c r="D6482" s="9">
        <v>1727309.5965805054</v>
      </c>
      <c r="E6482" s="9">
        <v>1727309.5965805054</v>
      </c>
      <c r="F6482" s="257" t="s">
        <v>17249</v>
      </c>
      <c r="G6482" s="9"/>
      <c r="H6482" s="257" t="s">
        <v>24486</v>
      </c>
      <c r="I6482" s="9">
        <v>4</v>
      </c>
    </row>
    <row r="6483" spans="1:9">
      <c r="A6483" s="257" t="s">
        <v>7581</v>
      </c>
      <c r="B6483" s="9">
        <v>6</v>
      </c>
      <c r="C6483" s="257" t="s">
        <v>13262</v>
      </c>
      <c r="D6483" s="9">
        <v>9789068474.2928715</v>
      </c>
      <c r="E6483" s="9">
        <v>1727309.5965805054</v>
      </c>
      <c r="F6483" s="257" t="s">
        <v>17249</v>
      </c>
      <c r="G6483" s="9"/>
      <c r="H6483" s="257" t="s">
        <v>24487</v>
      </c>
      <c r="I6483" s="9">
        <v>4</v>
      </c>
    </row>
    <row r="6484" spans="1:9">
      <c r="A6484" s="257" t="s">
        <v>7582</v>
      </c>
      <c r="B6484" s="9">
        <v>6</v>
      </c>
      <c r="C6484" s="257" t="s">
        <v>13263</v>
      </c>
      <c r="D6484" s="9">
        <v>1</v>
      </c>
      <c r="E6484" s="9">
        <v>1727309.5965805054</v>
      </c>
      <c r="F6484" s="257" t="s">
        <v>17249</v>
      </c>
      <c r="G6484" s="9"/>
      <c r="H6484" s="257" t="s">
        <v>24488</v>
      </c>
      <c r="I6484" s="9">
        <v>4</v>
      </c>
    </row>
    <row r="6485" spans="1:9">
      <c r="A6485" s="257" t="s">
        <v>7583</v>
      </c>
      <c r="B6485" s="9">
        <v>6</v>
      </c>
      <c r="C6485" s="257" t="s">
        <v>13264</v>
      </c>
      <c r="D6485" s="9">
        <v>5667.2344631627993</v>
      </c>
      <c r="E6485" s="9">
        <v>1727309.5965805054</v>
      </c>
      <c r="F6485" s="257" t="s">
        <v>17249</v>
      </c>
      <c r="G6485" s="9"/>
      <c r="H6485" s="257" t="s">
        <v>24489</v>
      </c>
      <c r="I6485" s="9">
        <v>4</v>
      </c>
    </row>
    <row r="6486" spans="1:9">
      <c r="A6486" s="257" t="s">
        <v>7584</v>
      </c>
      <c r="B6486" s="9">
        <v>6</v>
      </c>
      <c r="C6486" s="257" t="s">
        <v>13265</v>
      </c>
      <c r="D6486" s="9">
        <v>1727309.5965805054</v>
      </c>
      <c r="E6486" s="9">
        <v>1727309.5965805054</v>
      </c>
      <c r="F6486" s="257" t="s">
        <v>17250</v>
      </c>
      <c r="G6486" s="9"/>
      <c r="H6486" s="257" t="s">
        <v>24490</v>
      </c>
      <c r="I6486" s="9">
        <v>4</v>
      </c>
    </row>
    <row r="6487" spans="1:9">
      <c r="A6487" s="257" t="s">
        <v>7585</v>
      </c>
      <c r="B6487" s="9">
        <v>6</v>
      </c>
      <c r="C6487" s="257" t="s">
        <v>13266</v>
      </c>
      <c r="D6487" s="9">
        <v>1930189043.9493206</v>
      </c>
      <c r="E6487" s="9">
        <v>1727309.5965805054</v>
      </c>
      <c r="F6487" s="257" t="s">
        <v>17250</v>
      </c>
      <c r="G6487" s="9"/>
      <c r="H6487" s="257" t="s">
        <v>24491</v>
      </c>
      <c r="I6487" s="9">
        <v>4</v>
      </c>
    </row>
    <row r="6488" spans="1:9">
      <c r="A6488" s="257" t="s">
        <v>7586</v>
      </c>
      <c r="B6488" s="9">
        <v>6</v>
      </c>
      <c r="C6488" s="257" t="s">
        <v>13267</v>
      </c>
      <c r="D6488" s="9">
        <v>1</v>
      </c>
      <c r="E6488" s="9">
        <v>1727309.5965805054</v>
      </c>
      <c r="F6488" s="257" t="s">
        <v>17250</v>
      </c>
      <c r="G6488" s="9"/>
      <c r="H6488" s="257" t="s">
        <v>24492</v>
      </c>
      <c r="I6488" s="9">
        <v>4</v>
      </c>
    </row>
    <row r="6489" spans="1:9">
      <c r="A6489" s="257" t="s">
        <v>7587</v>
      </c>
      <c r="B6489" s="9">
        <v>6</v>
      </c>
      <c r="C6489" s="257" t="s">
        <v>13268</v>
      </c>
      <c r="D6489" s="9">
        <v>1117.4540150592857</v>
      </c>
      <c r="E6489" s="9">
        <v>1727309.5965805054</v>
      </c>
      <c r="F6489" s="257" t="s">
        <v>17250</v>
      </c>
      <c r="G6489" s="9"/>
      <c r="H6489" s="257" t="s">
        <v>24493</v>
      </c>
      <c r="I6489" s="9">
        <v>4</v>
      </c>
    </row>
    <row r="6490" spans="1:9">
      <c r="A6490" s="257" t="s">
        <v>7588</v>
      </c>
      <c r="B6490" s="9">
        <v>6</v>
      </c>
      <c r="C6490" s="257" t="s">
        <v>13269</v>
      </c>
      <c r="D6490" s="9">
        <v>1105652.1534729004</v>
      </c>
      <c r="E6490" s="9">
        <v>1727309.5965805054</v>
      </c>
      <c r="F6490" s="257" t="s">
        <v>17251</v>
      </c>
      <c r="G6490" s="9"/>
      <c r="H6490" s="257" t="s">
        <v>24494</v>
      </c>
      <c r="I6490" s="9">
        <v>4</v>
      </c>
    </row>
    <row r="6491" spans="1:9">
      <c r="A6491" s="257" t="s">
        <v>7589</v>
      </c>
      <c r="B6491" s="9">
        <v>6</v>
      </c>
      <c r="C6491" s="257" t="s">
        <v>13270</v>
      </c>
      <c r="D6491" s="9">
        <v>2567458384.9194865</v>
      </c>
      <c r="E6491" s="9">
        <v>1727309.5965805054</v>
      </c>
      <c r="F6491" s="257" t="s">
        <v>17251</v>
      </c>
      <c r="G6491" s="9"/>
      <c r="H6491" s="257" t="s">
        <v>24495</v>
      </c>
      <c r="I6491" s="9">
        <v>4</v>
      </c>
    </row>
    <row r="6492" spans="1:9">
      <c r="A6492" s="257" t="s">
        <v>7590</v>
      </c>
      <c r="B6492" s="9">
        <v>6</v>
      </c>
      <c r="C6492" s="257" t="s">
        <v>13271</v>
      </c>
      <c r="D6492" s="9">
        <v>0.6401007414430635</v>
      </c>
      <c r="E6492" s="9">
        <v>1727309.5965805054</v>
      </c>
      <c r="F6492" s="257" t="s">
        <v>17251</v>
      </c>
      <c r="G6492" s="9"/>
      <c r="H6492" s="257" t="s">
        <v>24496</v>
      </c>
      <c r="I6492" s="9">
        <v>4</v>
      </c>
    </row>
    <row r="6493" spans="1:9">
      <c r="A6493" s="257" t="s">
        <v>7591</v>
      </c>
      <c r="B6493" s="9">
        <v>6</v>
      </c>
      <c r="C6493" s="257" t="s">
        <v>13272</v>
      </c>
      <c r="D6493" s="9">
        <v>1486.3915478743327</v>
      </c>
      <c r="E6493" s="9">
        <v>1727309.5965805054</v>
      </c>
      <c r="F6493" s="257" t="s">
        <v>17251</v>
      </c>
      <c r="G6493" s="9"/>
      <c r="H6493" s="257" t="s">
        <v>24497</v>
      </c>
      <c r="I6493" s="9">
        <v>4</v>
      </c>
    </row>
    <row r="6494" spans="1:9">
      <c r="A6494" s="257" t="s">
        <v>7592</v>
      </c>
      <c r="B6494" s="9">
        <v>6</v>
      </c>
      <c r="C6494" s="257" t="s">
        <v>13273</v>
      </c>
      <c r="D6494" s="9">
        <v>1727309.5965805054</v>
      </c>
      <c r="E6494" s="9">
        <v>1727309.5965805054</v>
      </c>
      <c r="F6494" s="257" t="s">
        <v>17252</v>
      </c>
      <c r="G6494" s="9"/>
      <c r="H6494" s="257" t="s">
        <v>24498</v>
      </c>
      <c r="I6494" s="9">
        <v>4</v>
      </c>
    </row>
    <row r="6495" spans="1:9">
      <c r="A6495" s="257" t="s">
        <v>7593</v>
      </c>
      <c r="B6495" s="9">
        <v>6</v>
      </c>
      <c r="C6495" s="257" t="s">
        <v>13274</v>
      </c>
      <c r="D6495" s="9">
        <v>12030871684.874147</v>
      </c>
      <c r="E6495" s="9">
        <v>1727309.5965805054</v>
      </c>
      <c r="F6495" s="257" t="s">
        <v>17252</v>
      </c>
      <c r="G6495" s="9"/>
      <c r="H6495" s="257" t="s">
        <v>24499</v>
      </c>
      <c r="I6495" s="9">
        <v>4</v>
      </c>
    </row>
    <row r="6496" spans="1:9">
      <c r="A6496" s="257" t="s">
        <v>7594</v>
      </c>
      <c r="B6496" s="9">
        <v>6</v>
      </c>
      <c r="C6496" s="257" t="s">
        <v>13275</v>
      </c>
      <c r="D6496" s="9">
        <v>1</v>
      </c>
      <c r="E6496" s="9">
        <v>1727309.5965805054</v>
      </c>
      <c r="F6496" s="257" t="s">
        <v>17252</v>
      </c>
      <c r="G6496" s="9"/>
      <c r="H6496" s="257" t="s">
        <v>24500</v>
      </c>
      <c r="I6496" s="9">
        <v>4</v>
      </c>
    </row>
    <row r="6497" spans="1:9">
      <c r="A6497" s="257" t="s">
        <v>7595</v>
      </c>
      <c r="B6497" s="9">
        <v>6</v>
      </c>
      <c r="C6497" s="257" t="s">
        <v>13276</v>
      </c>
      <c r="D6497" s="9">
        <v>6965.0928291553782</v>
      </c>
      <c r="E6497" s="9">
        <v>1727309.5965805054</v>
      </c>
      <c r="F6497" s="257" t="s">
        <v>17252</v>
      </c>
      <c r="G6497" s="9"/>
      <c r="H6497" s="257" t="s">
        <v>24501</v>
      </c>
      <c r="I6497" s="9">
        <v>4</v>
      </c>
    </row>
    <row r="6498" spans="1:9">
      <c r="A6498" s="257" t="s">
        <v>7596</v>
      </c>
      <c r="B6498" s="9">
        <v>6</v>
      </c>
      <c r="C6498" s="257" t="s">
        <v>13277</v>
      </c>
      <c r="D6498" s="9">
        <v>1727309.5965805054</v>
      </c>
      <c r="E6498" s="9">
        <v>1727309.5965805054</v>
      </c>
      <c r="F6498" s="257" t="s">
        <v>17253</v>
      </c>
      <c r="G6498" s="9"/>
      <c r="H6498" s="257" t="s">
        <v>24502</v>
      </c>
      <c r="I6498" s="9">
        <v>4</v>
      </c>
    </row>
    <row r="6499" spans="1:9">
      <c r="A6499" s="257" t="s">
        <v>7597</v>
      </c>
      <c r="B6499" s="9">
        <v>6</v>
      </c>
      <c r="C6499" s="257" t="s">
        <v>13278</v>
      </c>
      <c r="D6499" s="9">
        <v>12356526859.212358</v>
      </c>
      <c r="E6499" s="9">
        <v>1727309.5965805054</v>
      </c>
      <c r="F6499" s="257" t="s">
        <v>17253</v>
      </c>
      <c r="G6499" s="9"/>
      <c r="H6499" s="257" t="s">
        <v>24503</v>
      </c>
      <c r="I6499" s="9">
        <v>4</v>
      </c>
    </row>
    <row r="6500" spans="1:9">
      <c r="A6500" s="257" t="s">
        <v>7598</v>
      </c>
      <c r="B6500" s="9">
        <v>6</v>
      </c>
      <c r="C6500" s="257" t="s">
        <v>13279</v>
      </c>
      <c r="D6500" s="9">
        <v>1</v>
      </c>
      <c r="E6500" s="9">
        <v>1727309.5965805054</v>
      </c>
      <c r="F6500" s="257" t="s">
        <v>17253</v>
      </c>
      <c r="G6500" s="9"/>
      <c r="H6500" s="257" t="s">
        <v>24504</v>
      </c>
      <c r="I6500" s="9">
        <v>4</v>
      </c>
    </row>
    <row r="6501" spans="1:9">
      <c r="A6501" s="257" t="s">
        <v>7599</v>
      </c>
      <c r="B6501" s="9">
        <v>6</v>
      </c>
      <c r="C6501" s="257" t="s">
        <v>13280</v>
      </c>
      <c r="D6501" s="9">
        <v>7153.6260110371322</v>
      </c>
      <c r="E6501" s="9">
        <v>1727309.5965805054</v>
      </c>
      <c r="F6501" s="257" t="s">
        <v>17253</v>
      </c>
      <c r="G6501" s="9"/>
      <c r="H6501" s="257" t="s">
        <v>24505</v>
      </c>
      <c r="I6501" s="9">
        <v>4</v>
      </c>
    </row>
    <row r="6502" spans="1:9">
      <c r="A6502" s="257" t="s">
        <v>7600</v>
      </c>
      <c r="B6502" s="9">
        <v>6</v>
      </c>
      <c r="C6502" s="257" t="s">
        <v>13281</v>
      </c>
      <c r="D6502" s="9">
        <v>1121974.5768280029</v>
      </c>
      <c r="E6502" s="9">
        <v>1727309.5965805054</v>
      </c>
      <c r="F6502" s="257" t="s">
        <v>17254</v>
      </c>
      <c r="G6502" s="9"/>
      <c r="H6502" s="257" t="s">
        <v>24506</v>
      </c>
      <c r="I6502" s="9">
        <v>4</v>
      </c>
    </row>
    <row r="6503" spans="1:9">
      <c r="A6503" s="257" t="s">
        <v>7601</v>
      </c>
      <c r="B6503" s="9">
        <v>6</v>
      </c>
      <c r="C6503" s="257" t="s">
        <v>13282</v>
      </c>
      <c r="D6503" s="9">
        <v>6129300298.6910877</v>
      </c>
      <c r="E6503" s="9">
        <v>1727309.5965805054</v>
      </c>
      <c r="F6503" s="257" t="s">
        <v>17254</v>
      </c>
      <c r="G6503" s="9"/>
      <c r="H6503" s="257" t="s">
        <v>24507</v>
      </c>
      <c r="I6503" s="9">
        <v>4</v>
      </c>
    </row>
    <row r="6504" spans="1:9">
      <c r="A6504" s="257" t="s">
        <v>7602</v>
      </c>
      <c r="B6504" s="9">
        <v>6</v>
      </c>
      <c r="C6504" s="257" t="s">
        <v>13283</v>
      </c>
      <c r="D6504" s="9">
        <v>0.64955036378489239</v>
      </c>
      <c r="E6504" s="9">
        <v>1727309.5965805054</v>
      </c>
      <c r="F6504" s="257" t="s">
        <v>17254</v>
      </c>
      <c r="G6504" s="9"/>
      <c r="H6504" s="257" t="s">
        <v>24508</v>
      </c>
      <c r="I6504" s="9">
        <v>4</v>
      </c>
    </row>
    <row r="6505" spans="1:9">
      <c r="A6505" s="257" t="s">
        <v>7603</v>
      </c>
      <c r="B6505" s="9">
        <v>6</v>
      </c>
      <c r="C6505" s="257" t="s">
        <v>13284</v>
      </c>
      <c r="D6505" s="9">
        <v>3548.4665347920545</v>
      </c>
      <c r="E6505" s="9">
        <v>1727309.5965805054</v>
      </c>
      <c r="F6505" s="257" t="s">
        <v>17254</v>
      </c>
      <c r="G6505" s="9"/>
      <c r="H6505" s="257" t="s">
        <v>24509</v>
      </c>
      <c r="I6505" s="9">
        <v>4</v>
      </c>
    </row>
    <row r="6506" spans="1:9">
      <c r="A6506" s="257" t="s">
        <v>7604</v>
      </c>
      <c r="B6506" s="9">
        <v>6</v>
      </c>
      <c r="C6506" s="257" t="s">
        <v>13285</v>
      </c>
      <c r="D6506" s="9">
        <v>1121974.5768280029</v>
      </c>
      <c r="E6506" s="9">
        <v>1727309.5965805054</v>
      </c>
      <c r="F6506" s="257" t="s">
        <v>17255</v>
      </c>
      <c r="G6506" s="9"/>
      <c r="H6506" s="257" t="s">
        <v>24510</v>
      </c>
      <c r="I6506" s="9">
        <v>4</v>
      </c>
    </row>
    <row r="6507" spans="1:9">
      <c r="A6507" s="257" t="s">
        <v>7605</v>
      </c>
      <c r="B6507" s="9">
        <v>6</v>
      </c>
      <c r="C6507" s="257" t="s">
        <v>13286</v>
      </c>
      <c r="D6507" s="9">
        <v>6454955473.0292978</v>
      </c>
      <c r="E6507" s="9">
        <v>1727309.5965805054</v>
      </c>
      <c r="F6507" s="257" t="s">
        <v>17255</v>
      </c>
      <c r="G6507" s="9"/>
      <c r="H6507" s="257" t="s">
        <v>24511</v>
      </c>
      <c r="I6507" s="9">
        <v>4</v>
      </c>
    </row>
    <row r="6508" spans="1:9">
      <c r="A6508" s="257" t="s">
        <v>7606</v>
      </c>
      <c r="B6508" s="9">
        <v>6</v>
      </c>
      <c r="C6508" s="257" t="s">
        <v>13287</v>
      </c>
      <c r="D6508" s="9">
        <v>0.64955036378489239</v>
      </c>
      <c r="E6508" s="9">
        <v>1727309.5965805054</v>
      </c>
      <c r="F6508" s="257" t="s">
        <v>17255</v>
      </c>
      <c r="G6508" s="9"/>
      <c r="H6508" s="257" t="s">
        <v>24512</v>
      </c>
      <c r="I6508" s="9">
        <v>4</v>
      </c>
    </row>
    <row r="6509" spans="1:9">
      <c r="A6509" s="257" t="s">
        <v>7607</v>
      </c>
      <c r="B6509" s="9">
        <v>6</v>
      </c>
      <c r="C6509" s="257" t="s">
        <v>13288</v>
      </c>
      <c r="D6509" s="9">
        <v>3736.9997166738076</v>
      </c>
      <c r="E6509" s="9">
        <v>1727309.5965805054</v>
      </c>
      <c r="F6509" s="257" t="s">
        <v>17255</v>
      </c>
      <c r="G6509" s="9"/>
      <c r="H6509" s="257" t="s">
        <v>24513</v>
      </c>
      <c r="I6509" s="9">
        <v>4</v>
      </c>
    </row>
    <row r="6510" spans="1:9">
      <c r="A6510" s="257" t="s">
        <v>7608</v>
      </c>
      <c r="B6510" s="9">
        <v>6</v>
      </c>
      <c r="C6510" s="257" t="s">
        <v>13289</v>
      </c>
      <c r="D6510" s="9">
        <v>1727309.5965805054</v>
      </c>
      <c r="E6510" s="9">
        <v>1727309.5965805054</v>
      </c>
      <c r="F6510" s="257" t="s">
        <v>17256</v>
      </c>
      <c r="G6510" s="9"/>
      <c r="H6510" s="257" t="s">
        <v>24514</v>
      </c>
      <c r="I6510" s="9">
        <v>4</v>
      </c>
    </row>
    <row r="6511" spans="1:9">
      <c r="A6511" s="257" t="s">
        <v>7609</v>
      </c>
      <c r="B6511" s="9">
        <v>6</v>
      </c>
      <c r="C6511" s="257" t="s">
        <v>13290</v>
      </c>
      <c r="D6511" s="9">
        <v>3334113001.2635736</v>
      </c>
      <c r="E6511" s="9">
        <v>1727309.5965805054</v>
      </c>
      <c r="F6511" s="257" t="s">
        <v>17256</v>
      </c>
      <c r="G6511" s="9"/>
      <c r="H6511" s="257" t="s">
        <v>24515</v>
      </c>
      <c r="I6511" s="9">
        <v>4</v>
      </c>
    </row>
    <row r="6512" spans="1:9">
      <c r="A6512" s="257" t="s">
        <v>7610</v>
      </c>
      <c r="B6512" s="9">
        <v>6</v>
      </c>
      <c r="C6512" s="257" t="s">
        <v>13291</v>
      </c>
      <c r="D6512" s="9">
        <v>1</v>
      </c>
      <c r="E6512" s="9">
        <v>1727309.5965805054</v>
      </c>
      <c r="F6512" s="257" t="s">
        <v>17256</v>
      </c>
      <c r="G6512" s="9"/>
      <c r="H6512" s="257" t="s">
        <v>24516</v>
      </c>
      <c r="I6512" s="9">
        <v>4</v>
      </c>
    </row>
    <row r="6513" spans="1:9">
      <c r="A6513" s="257" t="s">
        <v>7611</v>
      </c>
      <c r="B6513" s="9">
        <v>6</v>
      </c>
      <c r="C6513" s="257" t="s">
        <v>13292</v>
      </c>
      <c r="D6513" s="9">
        <v>1930.2347464889913</v>
      </c>
      <c r="E6513" s="9">
        <v>1727309.5965805054</v>
      </c>
      <c r="F6513" s="257" t="s">
        <v>17256</v>
      </c>
      <c r="G6513" s="9"/>
      <c r="H6513" s="257" t="s">
        <v>24517</v>
      </c>
      <c r="I6513" s="9">
        <v>4</v>
      </c>
    </row>
    <row r="6514" spans="1:9">
      <c r="A6514" s="257" t="s">
        <v>7612</v>
      </c>
      <c r="B6514" s="9">
        <v>6</v>
      </c>
      <c r="C6514" s="257" t="s">
        <v>13293</v>
      </c>
      <c r="D6514" s="9">
        <v>1727309.5965805054</v>
      </c>
      <c r="E6514" s="9">
        <v>1727309.5965805054</v>
      </c>
      <c r="F6514" s="257" t="s">
        <v>17257</v>
      </c>
      <c r="G6514" s="9"/>
      <c r="H6514" s="257" t="s">
        <v>24518</v>
      </c>
      <c r="I6514" s="9">
        <v>4</v>
      </c>
    </row>
    <row r="6515" spans="1:9">
      <c r="A6515" s="257" t="s">
        <v>7613</v>
      </c>
      <c r="B6515" s="9">
        <v>6</v>
      </c>
      <c r="C6515" s="257" t="s">
        <v>13294</v>
      </c>
      <c r="D6515" s="9">
        <v>5586888788.5823269</v>
      </c>
      <c r="E6515" s="9">
        <v>1727309.5965805054</v>
      </c>
      <c r="F6515" s="257" t="s">
        <v>17257</v>
      </c>
      <c r="G6515" s="9"/>
      <c r="H6515" s="257" t="s">
        <v>24519</v>
      </c>
      <c r="I6515" s="9">
        <v>4</v>
      </c>
    </row>
    <row r="6516" spans="1:9">
      <c r="A6516" s="257" t="s">
        <v>7614</v>
      </c>
      <c r="B6516" s="9">
        <v>6</v>
      </c>
      <c r="C6516" s="257" t="s">
        <v>13295</v>
      </c>
      <c r="D6516" s="9">
        <v>1</v>
      </c>
      <c r="E6516" s="9">
        <v>1727309.5965805054</v>
      </c>
      <c r="F6516" s="257" t="s">
        <v>17257</v>
      </c>
      <c r="G6516" s="9"/>
      <c r="H6516" s="257" t="s">
        <v>24520</v>
      </c>
      <c r="I6516" s="9">
        <v>4</v>
      </c>
    </row>
    <row r="6517" spans="1:9">
      <c r="A6517" s="257" t="s">
        <v>7615</v>
      </c>
      <c r="B6517" s="9">
        <v>6</v>
      </c>
      <c r="C6517" s="257" t="s">
        <v>13296</v>
      </c>
      <c r="D6517" s="9">
        <v>3234.4455213138954</v>
      </c>
      <c r="E6517" s="9">
        <v>1727309.5965805054</v>
      </c>
      <c r="F6517" s="257" t="s">
        <v>17257</v>
      </c>
      <c r="G6517" s="9"/>
      <c r="H6517" s="257" t="s">
        <v>24521</v>
      </c>
      <c r="I6517" s="9">
        <v>4</v>
      </c>
    </row>
    <row r="6518" spans="1:9">
      <c r="A6518" s="257" t="s">
        <v>7616</v>
      </c>
      <c r="B6518" s="9">
        <v>6</v>
      </c>
      <c r="C6518" s="257" t="s">
        <v>13297</v>
      </c>
      <c r="D6518" s="9">
        <v>1131901.2208099365</v>
      </c>
      <c r="E6518" s="9">
        <v>1727309.5965805054</v>
      </c>
      <c r="F6518" s="257" t="s">
        <v>17258</v>
      </c>
      <c r="G6518" s="9"/>
      <c r="H6518" s="257" t="s">
        <v>24522</v>
      </c>
      <c r="I6518" s="9">
        <v>4</v>
      </c>
    </row>
    <row r="6519" spans="1:9">
      <c r="A6519" s="257" t="s">
        <v>7617</v>
      </c>
      <c r="B6519" s="9">
        <v>6</v>
      </c>
      <c r="C6519" s="257" t="s">
        <v>13298</v>
      </c>
      <c r="D6519" s="9">
        <v>7585410025.1642342</v>
      </c>
      <c r="E6519" s="9">
        <v>1727309.5965805054</v>
      </c>
      <c r="F6519" s="257" t="s">
        <v>17258</v>
      </c>
      <c r="G6519" s="9"/>
      <c r="H6519" s="257" t="s">
        <v>24523</v>
      </c>
      <c r="I6519" s="9">
        <v>4</v>
      </c>
    </row>
    <row r="6520" spans="1:9">
      <c r="A6520" s="257" t="s">
        <v>7618</v>
      </c>
      <c r="B6520" s="9">
        <v>6</v>
      </c>
      <c r="C6520" s="257" t="s">
        <v>13299</v>
      </c>
      <c r="D6520" s="9">
        <v>0.65529724552606083</v>
      </c>
      <c r="E6520" s="9">
        <v>1727309.5965805054</v>
      </c>
      <c r="F6520" s="257" t="s">
        <v>17258</v>
      </c>
      <c r="G6520" s="9"/>
      <c r="H6520" s="257" t="s">
        <v>24524</v>
      </c>
      <c r="I6520" s="9">
        <v>4</v>
      </c>
    </row>
    <row r="6521" spans="1:9">
      <c r="A6521" s="257" t="s">
        <v>7619</v>
      </c>
      <c r="B6521" s="9">
        <v>6</v>
      </c>
      <c r="C6521" s="257" t="s">
        <v>13300</v>
      </c>
      <c r="D6521" s="9">
        <v>4391.4594350548423</v>
      </c>
      <c r="E6521" s="9">
        <v>1727309.5965805054</v>
      </c>
      <c r="F6521" s="257" t="s">
        <v>17258</v>
      </c>
      <c r="G6521" s="9"/>
      <c r="H6521" s="257" t="s">
        <v>24525</v>
      </c>
      <c r="I6521" s="9">
        <v>4</v>
      </c>
    </row>
    <row r="6522" spans="1:9">
      <c r="A6522" s="257" t="s">
        <v>7620</v>
      </c>
      <c r="B6522" s="9">
        <v>6</v>
      </c>
      <c r="C6522" s="257" t="s">
        <v>13301</v>
      </c>
      <c r="D6522" s="9">
        <v>0</v>
      </c>
      <c r="E6522" s="9">
        <v>1727309.5965805054</v>
      </c>
      <c r="F6522" s="257" t="s">
        <v>17259</v>
      </c>
      <c r="G6522" s="9"/>
      <c r="H6522" s="257" t="s">
        <v>24526</v>
      </c>
      <c r="I6522" s="9">
        <v>4</v>
      </c>
    </row>
    <row r="6523" spans="1:9">
      <c r="A6523" s="257" t="s">
        <v>7621</v>
      </c>
      <c r="B6523" s="9">
        <v>6</v>
      </c>
      <c r="C6523" s="257" t="s">
        <v>13302</v>
      </c>
      <c r="D6523" s="9">
        <v>-815771954.53420365</v>
      </c>
      <c r="E6523" s="9">
        <v>1727309.5965805054</v>
      </c>
      <c r="F6523" s="257" t="s">
        <v>17259</v>
      </c>
      <c r="G6523" s="9"/>
      <c r="H6523" s="257" t="s">
        <v>24527</v>
      </c>
      <c r="I6523" s="9">
        <v>4</v>
      </c>
    </row>
    <row r="6524" spans="1:9">
      <c r="A6524" s="257" t="s">
        <v>7622</v>
      </c>
      <c r="B6524" s="9">
        <v>6</v>
      </c>
      <c r="C6524" s="257" t="s">
        <v>13303</v>
      </c>
      <c r="D6524" s="9">
        <v>0</v>
      </c>
      <c r="E6524" s="9">
        <v>1727309.5965805054</v>
      </c>
      <c r="F6524" s="257" t="s">
        <v>17259</v>
      </c>
      <c r="G6524" s="9"/>
      <c r="H6524" s="257" t="s">
        <v>24528</v>
      </c>
      <c r="I6524" s="9">
        <v>4</v>
      </c>
    </row>
    <row r="6525" spans="1:9">
      <c r="A6525" s="257" t="s">
        <v>7623</v>
      </c>
      <c r="B6525" s="9">
        <v>6</v>
      </c>
      <c r="C6525" s="257" t="s">
        <v>13304</v>
      </c>
      <c r="D6525" s="9">
        <v>-472.27894533160645</v>
      </c>
      <c r="E6525" s="9">
        <v>1727309.5965805054</v>
      </c>
      <c r="F6525" s="257" t="s">
        <v>17259</v>
      </c>
      <c r="G6525" s="9"/>
      <c r="H6525" s="257" t="s">
        <v>24529</v>
      </c>
      <c r="I6525" s="9">
        <v>4</v>
      </c>
    </row>
    <row r="6526" spans="1:9">
      <c r="A6526" s="257" t="s">
        <v>7624</v>
      </c>
      <c r="B6526" s="9">
        <v>6</v>
      </c>
      <c r="C6526" s="257" t="s">
        <v>13305</v>
      </c>
      <c r="D6526" s="9">
        <v>1121974.5768280029</v>
      </c>
      <c r="E6526" s="9">
        <v>1727309.5965805054</v>
      </c>
      <c r="F6526" s="257" t="s">
        <v>17260</v>
      </c>
      <c r="G6526" s="9"/>
      <c r="H6526" s="257" t="s">
        <v>24530</v>
      </c>
      <c r="I6526" s="9">
        <v>4</v>
      </c>
    </row>
    <row r="6527" spans="1:9">
      <c r="A6527" s="257" t="s">
        <v>7625</v>
      </c>
      <c r="B6527" s="9">
        <v>6</v>
      </c>
      <c r="C6527" s="257" t="s">
        <v>13306</v>
      </c>
      <c r="D6527" s="9">
        <v>6769638070.6300306</v>
      </c>
      <c r="E6527" s="9">
        <v>1727309.5965805054</v>
      </c>
      <c r="F6527" s="257" t="s">
        <v>17260</v>
      </c>
      <c r="G6527" s="9"/>
      <c r="H6527" s="257" t="s">
        <v>24531</v>
      </c>
      <c r="I6527" s="9">
        <v>4</v>
      </c>
    </row>
    <row r="6528" spans="1:9">
      <c r="A6528" s="257" t="s">
        <v>7626</v>
      </c>
      <c r="B6528" s="9">
        <v>6</v>
      </c>
      <c r="C6528" s="257" t="s">
        <v>13307</v>
      </c>
      <c r="D6528" s="9">
        <v>0.64955036378489239</v>
      </c>
      <c r="E6528" s="9">
        <v>1727309.5965805054</v>
      </c>
      <c r="F6528" s="257" t="s">
        <v>17260</v>
      </c>
      <c r="G6528" s="9"/>
      <c r="H6528" s="257" t="s">
        <v>24532</v>
      </c>
      <c r="I6528" s="9">
        <v>4</v>
      </c>
    </row>
    <row r="6529" spans="1:9">
      <c r="A6529" s="257" t="s">
        <v>7627</v>
      </c>
      <c r="B6529" s="9">
        <v>6</v>
      </c>
      <c r="C6529" s="257" t="s">
        <v>13308</v>
      </c>
      <c r="D6529" s="9">
        <v>3919.1804897232364</v>
      </c>
      <c r="E6529" s="9">
        <v>1727309.5965805054</v>
      </c>
      <c r="F6529" s="257" t="s">
        <v>17260</v>
      </c>
      <c r="G6529" s="9"/>
      <c r="H6529" s="257" t="s">
        <v>24533</v>
      </c>
      <c r="I6529" s="9">
        <v>4</v>
      </c>
    </row>
    <row r="6530" spans="1:9">
      <c r="A6530" s="257" t="s">
        <v>7628</v>
      </c>
      <c r="B6530" s="9">
        <v>6</v>
      </c>
      <c r="C6530" s="257" t="s">
        <v>13309</v>
      </c>
      <c r="D6530" s="9">
        <v>259994.39984130859</v>
      </c>
      <c r="E6530" s="9">
        <v>1727309.5965805054</v>
      </c>
      <c r="F6530" s="257" t="s">
        <v>17261</v>
      </c>
      <c r="G6530" s="9"/>
      <c r="H6530" s="257" t="s">
        <v>24534</v>
      </c>
      <c r="I6530" s="9">
        <v>4</v>
      </c>
    </row>
    <row r="6531" spans="1:9">
      <c r="A6531" s="257" t="s">
        <v>7629</v>
      </c>
      <c r="B6531" s="9">
        <v>6</v>
      </c>
      <c r="C6531" s="257" t="s">
        <v>13310</v>
      </c>
      <c r="D6531" s="9">
        <v>314682597.6007331</v>
      </c>
      <c r="E6531" s="9">
        <v>1727309.5965805054</v>
      </c>
      <c r="F6531" s="257" t="s">
        <v>17261</v>
      </c>
      <c r="G6531" s="9"/>
      <c r="H6531" s="257" t="s">
        <v>24535</v>
      </c>
      <c r="I6531" s="9">
        <v>4</v>
      </c>
    </row>
    <row r="6532" spans="1:9">
      <c r="A6532" s="257" t="s">
        <v>7630</v>
      </c>
      <c r="B6532" s="9">
        <v>6</v>
      </c>
      <c r="C6532" s="257" t="s">
        <v>13311</v>
      </c>
      <c r="D6532" s="9">
        <v>0.15051986068740106</v>
      </c>
      <c r="E6532" s="9">
        <v>1727309.5965805054</v>
      </c>
      <c r="F6532" s="257" t="s">
        <v>17261</v>
      </c>
      <c r="G6532" s="9"/>
      <c r="H6532" s="257" t="s">
        <v>24536</v>
      </c>
      <c r="I6532" s="9">
        <v>4</v>
      </c>
    </row>
    <row r="6533" spans="1:9">
      <c r="A6533" s="257" t="s">
        <v>7631</v>
      </c>
      <c r="B6533" s="9">
        <v>6</v>
      </c>
      <c r="C6533" s="257" t="s">
        <v>13312</v>
      </c>
      <c r="D6533" s="9">
        <v>182.18077304942858</v>
      </c>
      <c r="E6533" s="9">
        <v>1727309.5965805054</v>
      </c>
      <c r="F6533" s="257" t="s">
        <v>17261</v>
      </c>
      <c r="G6533" s="9"/>
      <c r="H6533" s="257" t="s">
        <v>24537</v>
      </c>
      <c r="I6533" s="9">
        <v>4</v>
      </c>
    </row>
    <row r="6534" spans="1:9">
      <c r="A6534" s="257" t="s">
        <v>7632</v>
      </c>
      <c r="B6534" s="9">
        <v>6</v>
      </c>
      <c r="C6534" s="257" t="s">
        <v>13313</v>
      </c>
      <c r="D6534" s="9">
        <v>1075620.3254089355</v>
      </c>
      <c r="E6534" s="9">
        <v>1727309.5965805054</v>
      </c>
      <c r="F6534" s="257" t="s">
        <v>17262</v>
      </c>
      <c r="G6534" s="9"/>
      <c r="H6534" s="257" t="s">
        <v>24538</v>
      </c>
      <c r="I6534" s="9">
        <v>4</v>
      </c>
    </row>
    <row r="6535" spans="1:9">
      <c r="A6535" s="257" t="s">
        <v>7633</v>
      </c>
      <c r="B6535" s="9">
        <v>6</v>
      </c>
      <c r="C6535" s="257" t="s">
        <v>13314</v>
      </c>
      <c r="D6535" s="9">
        <v>2252775787.3187537</v>
      </c>
      <c r="E6535" s="9">
        <v>1727309.5965805054</v>
      </c>
      <c r="F6535" s="257" t="s">
        <v>17262</v>
      </c>
      <c r="G6535" s="9"/>
      <c r="H6535" s="257" t="s">
        <v>24539</v>
      </c>
      <c r="I6535" s="9">
        <v>4</v>
      </c>
    </row>
    <row r="6536" spans="1:9">
      <c r="A6536" s="257" t="s">
        <v>7634</v>
      </c>
      <c r="B6536" s="9">
        <v>6</v>
      </c>
      <c r="C6536" s="257" t="s">
        <v>13315</v>
      </c>
      <c r="D6536" s="9">
        <v>0.62271426473766123</v>
      </c>
      <c r="E6536" s="9">
        <v>1727309.5965805054</v>
      </c>
      <c r="F6536" s="257" t="s">
        <v>17262</v>
      </c>
      <c r="G6536" s="9"/>
      <c r="H6536" s="257" t="s">
        <v>24540</v>
      </c>
      <c r="I6536" s="9">
        <v>4</v>
      </c>
    </row>
    <row r="6537" spans="1:9">
      <c r="A6537" s="257" t="s">
        <v>7635</v>
      </c>
      <c r="B6537" s="9">
        <v>6</v>
      </c>
      <c r="C6537" s="257" t="s">
        <v>13316</v>
      </c>
      <c r="D6537" s="9">
        <v>1304.2107748249043</v>
      </c>
      <c r="E6537" s="9">
        <v>1727309.5965805054</v>
      </c>
      <c r="F6537" s="257" t="s">
        <v>17262</v>
      </c>
      <c r="G6537" s="9"/>
      <c r="H6537" s="257" t="s">
        <v>24541</v>
      </c>
      <c r="I6537" s="9">
        <v>4</v>
      </c>
    </row>
    <row r="6538" spans="1:9">
      <c r="A6538" s="257" t="s">
        <v>7636</v>
      </c>
      <c r="B6538" s="9">
        <v>6</v>
      </c>
      <c r="C6538" s="257" t="s">
        <v>13317</v>
      </c>
      <c r="D6538" s="9">
        <v>389967.27573394775</v>
      </c>
      <c r="E6538" s="9">
        <v>1727309.5965805054</v>
      </c>
      <c r="F6538" s="257" t="s">
        <v>17263</v>
      </c>
      <c r="G6538" s="9"/>
      <c r="H6538" s="257" t="s">
        <v>24542</v>
      </c>
      <c r="I6538" s="9">
        <v>4</v>
      </c>
    </row>
    <row r="6539" spans="1:9">
      <c r="A6539" s="257" t="s">
        <v>7637</v>
      </c>
      <c r="B6539" s="9">
        <v>6</v>
      </c>
      <c r="C6539" s="257" t="s">
        <v>13318</v>
      </c>
      <c r="D6539" s="9">
        <v>2054821840.8769174</v>
      </c>
      <c r="E6539" s="9">
        <v>1727309.5965805054</v>
      </c>
      <c r="F6539" s="257" t="s">
        <v>17263</v>
      </c>
      <c r="G6539" s="9"/>
      <c r="H6539" s="257" t="s">
        <v>24543</v>
      </c>
      <c r="I6539" s="9">
        <v>4</v>
      </c>
    </row>
    <row r="6540" spans="1:9">
      <c r="A6540" s="257" t="s">
        <v>7638</v>
      </c>
      <c r="B6540" s="9">
        <v>6</v>
      </c>
      <c r="C6540" s="257" t="s">
        <v>13319</v>
      </c>
      <c r="D6540" s="9">
        <v>0.22576570899967927</v>
      </c>
      <c r="E6540" s="9">
        <v>1727309.5965805054</v>
      </c>
      <c r="F6540" s="257" t="s">
        <v>17263</v>
      </c>
      <c r="G6540" s="9"/>
      <c r="H6540" s="257" t="s">
        <v>24544</v>
      </c>
      <c r="I6540" s="9">
        <v>4</v>
      </c>
    </row>
    <row r="6541" spans="1:9">
      <c r="A6541" s="257" t="s">
        <v>7639</v>
      </c>
      <c r="B6541" s="9">
        <v>6</v>
      </c>
      <c r="C6541" s="257" t="s">
        <v>13320</v>
      </c>
      <c r="D6541" s="9">
        <v>1189.6083046981134</v>
      </c>
      <c r="E6541" s="9">
        <v>1727309.5965805054</v>
      </c>
      <c r="F6541" s="257" t="s">
        <v>17263</v>
      </c>
      <c r="G6541" s="9"/>
      <c r="H6541" s="257" t="s">
        <v>24545</v>
      </c>
      <c r="I6541" s="9">
        <v>4</v>
      </c>
    </row>
    <row r="6542" spans="1:9">
      <c r="A6542" s="257" t="s">
        <v>7640</v>
      </c>
      <c r="B6542" s="9">
        <v>7</v>
      </c>
      <c r="C6542" s="257" t="s">
        <v>13321</v>
      </c>
      <c r="D6542" s="9">
        <v>1147029.032371521</v>
      </c>
      <c r="E6542" s="9">
        <v>1724929.0217895508</v>
      </c>
      <c r="F6542" s="257" t="s">
        <v>17264</v>
      </c>
      <c r="G6542" s="9"/>
      <c r="H6542" s="257" t="s">
        <v>24546</v>
      </c>
      <c r="I6542" s="9">
        <v>4</v>
      </c>
    </row>
    <row r="6543" spans="1:9">
      <c r="A6543" s="257" t="s">
        <v>7641</v>
      </c>
      <c r="B6543" s="9">
        <v>7</v>
      </c>
      <c r="C6543" s="257" t="s">
        <v>13322</v>
      </c>
      <c r="D6543" s="9">
        <v>4755860663.4265203</v>
      </c>
      <c r="E6543" s="9">
        <v>1724929.0217895508</v>
      </c>
      <c r="F6543" s="257" t="s">
        <v>17264</v>
      </c>
      <c r="G6543" s="9"/>
      <c r="H6543" s="257" t="s">
        <v>24547</v>
      </c>
      <c r="I6543" s="9">
        <v>4</v>
      </c>
    </row>
    <row r="6544" spans="1:9">
      <c r="A6544" s="257" t="s">
        <v>7642</v>
      </c>
      <c r="B6544" s="9">
        <v>7</v>
      </c>
      <c r="C6544" s="257" t="s">
        <v>13323</v>
      </c>
      <c r="D6544" s="9">
        <v>0.66497172804334892</v>
      </c>
      <c r="E6544" s="9">
        <v>1724929.0217895508</v>
      </c>
      <c r="F6544" s="257" t="s">
        <v>17264</v>
      </c>
      <c r="G6544" s="9"/>
      <c r="H6544" s="257" t="s">
        <v>24548</v>
      </c>
      <c r="I6544" s="9">
        <v>4</v>
      </c>
    </row>
    <row r="6545" spans="1:9">
      <c r="A6545" s="257" t="s">
        <v>7643</v>
      </c>
      <c r="B6545" s="9">
        <v>7</v>
      </c>
      <c r="C6545" s="257" t="s">
        <v>13324</v>
      </c>
      <c r="D6545" s="9">
        <v>2757.1341216651854</v>
      </c>
      <c r="E6545" s="9">
        <v>1724929.0217895508</v>
      </c>
      <c r="F6545" s="257" t="s">
        <v>17264</v>
      </c>
      <c r="G6545" s="9"/>
      <c r="H6545" s="257" t="s">
        <v>24549</v>
      </c>
      <c r="I6545" s="9">
        <v>4</v>
      </c>
    </row>
    <row r="6546" spans="1:9">
      <c r="A6546" s="257" t="s">
        <v>7644</v>
      </c>
      <c r="B6546" s="9">
        <v>7</v>
      </c>
      <c r="C6546" s="257" t="s">
        <v>13325</v>
      </c>
      <c r="D6546" s="9">
        <v>0</v>
      </c>
      <c r="E6546" s="9">
        <v>1724929.0217895508</v>
      </c>
      <c r="F6546" s="257" t="s">
        <v>17265</v>
      </c>
      <c r="G6546" s="9"/>
      <c r="H6546" s="257" t="s">
        <v>24550</v>
      </c>
      <c r="I6546" s="9">
        <v>4</v>
      </c>
    </row>
    <row r="6547" spans="1:9">
      <c r="A6547" s="257" t="s">
        <v>7645</v>
      </c>
      <c r="B6547" s="9">
        <v>7</v>
      </c>
      <c r="C6547" s="257" t="s">
        <v>13326</v>
      </c>
      <c r="D6547" s="9">
        <v>0</v>
      </c>
      <c r="E6547" s="9">
        <v>1724929.0217895508</v>
      </c>
      <c r="F6547" s="257" t="s">
        <v>17265</v>
      </c>
      <c r="G6547" s="9"/>
      <c r="H6547" s="257" t="s">
        <v>24551</v>
      </c>
      <c r="I6547" s="9">
        <v>4</v>
      </c>
    </row>
    <row r="6548" spans="1:9">
      <c r="A6548" s="257" t="s">
        <v>7646</v>
      </c>
      <c r="B6548" s="9">
        <v>7</v>
      </c>
      <c r="C6548" s="257" t="s">
        <v>13327</v>
      </c>
      <c r="D6548" s="9">
        <v>0</v>
      </c>
      <c r="E6548" s="9">
        <v>1724929.0217895508</v>
      </c>
      <c r="F6548" s="257" t="s">
        <v>17265</v>
      </c>
      <c r="G6548" s="9"/>
      <c r="H6548" s="257" t="s">
        <v>24552</v>
      </c>
      <c r="I6548" s="9">
        <v>4</v>
      </c>
    </row>
    <row r="6549" spans="1:9">
      <c r="A6549" s="257" t="s">
        <v>7647</v>
      </c>
      <c r="B6549" s="9">
        <v>7</v>
      </c>
      <c r="C6549" s="257" t="s">
        <v>13328</v>
      </c>
      <c r="D6549" s="9">
        <v>0</v>
      </c>
      <c r="E6549" s="9">
        <v>1724929.0217895508</v>
      </c>
      <c r="F6549" s="257" t="s">
        <v>17265</v>
      </c>
      <c r="G6549" s="9"/>
      <c r="H6549" s="257" t="s">
        <v>24553</v>
      </c>
      <c r="I6549" s="9">
        <v>4</v>
      </c>
    </row>
    <row r="6550" spans="1:9">
      <c r="A6550" s="257" t="s">
        <v>7648</v>
      </c>
      <c r="B6550" s="9">
        <v>7</v>
      </c>
      <c r="C6550" s="257" t="s">
        <v>13329</v>
      </c>
      <c r="D6550" s="9">
        <v>1306779.6783981323</v>
      </c>
      <c r="E6550" s="9">
        <v>1724929.0217895508</v>
      </c>
      <c r="F6550" s="257" t="s">
        <v>17266</v>
      </c>
      <c r="G6550" s="9"/>
      <c r="H6550" s="257" t="s">
        <v>24554</v>
      </c>
      <c r="I6550" s="9">
        <v>4</v>
      </c>
    </row>
    <row r="6551" spans="1:9">
      <c r="A6551" s="257" t="s">
        <v>7649</v>
      </c>
      <c r="B6551" s="9">
        <v>7</v>
      </c>
      <c r="C6551" s="257" t="s">
        <v>13330</v>
      </c>
      <c r="D6551" s="9">
        <v>470358046.1734271</v>
      </c>
      <c r="E6551" s="9">
        <v>1724929.0217895508</v>
      </c>
      <c r="F6551" s="257" t="s">
        <v>17266</v>
      </c>
      <c r="G6551" s="9"/>
      <c r="H6551" s="257" t="s">
        <v>24555</v>
      </c>
      <c r="I6551" s="9">
        <v>4</v>
      </c>
    </row>
    <row r="6552" spans="1:9">
      <c r="A6552" s="257" t="s">
        <v>7650</v>
      </c>
      <c r="B6552" s="9">
        <v>7</v>
      </c>
      <c r="C6552" s="257" t="s">
        <v>13331</v>
      </c>
      <c r="D6552" s="9">
        <v>0.75758460892634072</v>
      </c>
      <c r="E6552" s="9">
        <v>1724929.0217895508</v>
      </c>
      <c r="F6552" s="257" t="s">
        <v>17266</v>
      </c>
      <c r="G6552" s="9"/>
      <c r="H6552" s="257" t="s">
        <v>24556</v>
      </c>
      <c r="I6552" s="9">
        <v>4</v>
      </c>
    </row>
    <row r="6553" spans="1:9">
      <c r="A6553" s="257" t="s">
        <v>7651</v>
      </c>
      <c r="B6553" s="9">
        <v>7</v>
      </c>
      <c r="C6553" s="257" t="s">
        <v>13332</v>
      </c>
      <c r="D6553" s="9">
        <v>272.68255112633437</v>
      </c>
      <c r="E6553" s="9">
        <v>1724929.0217895508</v>
      </c>
      <c r="F6553" s="257" t="s">
        <v>17266</v>
      </c>
      <c r="G6553" s="9"/>
      <c r="H6553" s="257" t="s">
        <v>24557</v>
      </c>
      <c r="I6553" s="9">
        <v>4</v>
      </c>
    </row>
    <row r="6554" spans="1:9">
      <c r="A6554" s="257" t="s">
        <v>7652</v>
      </c>
      <c r="B6554" s="9">
        <v>7</v>
      </c>
      <c r="C6554" s="257" t="s">
        <v>13333</v>
      </c>
      <c r="D6554" s="9">
        <v>670573.89370727539</v>
      </c>
      <c r="E6554" s="9">
        <v>1724929.0217895508</v>
      </c>
      <c r="F6554" s="257" t="s">
        <v>17267</v>
      </c>
      <c r="G6554" s="9"/>
      <c r="H6554" s="257" t="s">
        <v>24558</v>
      </c>
      <c r="I6554" s="9">
        <v>4</v>
      </c>
    </row>
    <row r="6555" spans="1:9">
      <c r="A6555" s="257" t="s">
        <v>7653</v>
      </c>
      <c r="B6555" s="9">
        <v>7</v>
      </c>
      <c r="C6555" s="257" t="s">
        <v>13334</v>
      </c>
      <c r="D6555" s="9">
        <v>177238939.79844657</v>
      </c>
      <c r="E6555" s="9">
        <v>1724929.0217895508</v>
      </c>
      <c r="F6555" s="257" t="s">
        <v>17267</v>
      </c>
      <c r="G6555" s="9"/>
      <c r="H6555" s="257" t="s">
        <v>24559</v>
      </c>
      <c r="I6555" s="9">
        <v>4</v>
      </c>
    </row>
    <row r="6556" spans="1:9">
      <c r="A6556" s="257" t="s">
        <v>7654</v>
      </c>
      <c r="B6556" s="9">
        <v>7</v>
      </c>
      <c r="C6556" s="257" t="s">
        <v>13335</v>
      </c>
      <c r="D6556" s="9">
        <v>0.38875448510430854</v>
      </c>
      <c r="E6556" s="9">
        <v>1724929.0217895508</v>
      </c>
      <c r="F6556" s="257" t="s">
        <v>17267</v>
      </c>
      <c r="G6556" s="9"/>
      <c r="H6556" s="257" t="s">
        <v>24560</v>
      </c>
      <c r="I6556" s="9">
        <v>4</v>
      </c>
    </row>
    <row r="6557" spans="1:9">
      <c r="A6557" s="257" t="s">
        <v>7655</v>
      </c>
      <c r="B6557" s="9">
        <v>7</v>
      </c>
      <c r="C6557" s="257" t="s">
        <v>13336</v>
      </c>
      <c r="D6557" s="9">
        <v>102.7514393691212</v>
      </c>
      <c r="E6557" s="9">
        <v>1724929.0217895508</v>
      </c>
      <c r="F6557" s="257" t="s">
        <v>17267</v>
      </c>
      <c r="G6557" s="9"/>
      <c r="H6557" s="257" t="s">
        <v>24561</v>
      </c>
      <c r="I6557" s="9">
        <v>4</v>
      </c>
    </row>
    <row r="6558" spans="1:9">
      <c r="A6558" s="257" t="s">
        <v>7656</v>
      </c>
      <c r="B6558" s="9">
        <v>7</v>
      </c>
      <c r="C6558" s="257" t="s">
        <v>13337</v>
      </c>
      <c r="D6558" s="9">
        <v>278713.61521530151</v>
      </c>
      <c r="E6558" s="9">
        <v>1724929.0217895508</v>
      </c>
      <c r="F6558" s="257" t="s">
        <v>17268</v>
      </c>
      <c r="G6558" s="9"/>
      <c r="H6558" s="257" t="s">
        <v>24562</v>
      </c>
      <c r="I6558" s="9">
        <v>4</v>
      </c>
    </row>
    <row r="6559" spans="1:9">
      <c r="A6559" s="257" t="s">
        <v>7657</v>
      </c>
      <c r="B6559" s="9">
        <v>7</v>
      </c>
      <c r="C6559" s="257" t="s">
        <v>13338</v>
      </c>
      <c r="D6559" s="9">
        <v>1164559034.2767994</v>
      </c>
      <c r="E6559" s="9">
        <v>1724929.0217895508</v>
      </c>
      <c r="F6559" s="257" t="s">
        <v>17268</v>
      </c>
      <c r="G6559" s="9"/>
      <c r="H6559" s="257" t="s">
        <v>24563</v>
      </c>
      <c r="I6559" s="9">
        <v>4</v>
      </c>
    </row>
    <row r="6560" spans="1:9">
      <c r="A6560" s="257" t="s">
        <v>7658</v>
      </c>
      <c r="B6560" s="9">
        <v>7</v>
      </c>
      <c r="C6560" s="257" t="s">
        <v>13339</v>
      </c>
      <c r="D6560" s="9">
        <v>0.16157975875792635</v>
      </c>
      <c r="E6560" s="9">
        <v>1724929.0217895508</v>
      </c>
      <c r="F6560" s="257" t="s">
        <v>17268</v>
      </c>
      <c r="G6560" s="9"/>
      <c r="H6560" s="257" t="s">
        <v>24564</v>
      </c>
      <c r="I6560" s="9">
        <v>4</v>
      </c>
    </row>
    <row r="6561" spans="1:9">
      <c r="A6561" s="257" t="s">
        <v>7659</v>
      </c>
      <c r="B6561" s="9">
        <v>7</v>
      </c>
      <c r="C6561" s="257" t="s">
        <v>13340</v>
      </c>
      <c r="D6561" s="9">
        <v>675.13446615247506</v>
      </c>
      <c r="E6561" s="9">
        <v>1724929.0217895508</v>
      </c>
      <c r="F6561" s="257" t="s">
        <v>17268</v>
      </c>
      <c r="G6561" s="9"/>
      <c r="H6561" s="257" t="s">
        <v>24565</v>
      </c>
      <c r="I6561" s="9">
        <v>4</v>
      </c>
    </row>
    <row r="6562" spans="1:9">
      <c r="A6562" s="257" t="s">
        <v>7660</v>
      </c>
      <c r="B6562" s="9">
        <v>7</v>
      </c>
      <c r="C6562" s="257" t="s">
        <v>13341</v>
      </c>
      <c r="D6562" s="9">
        <v>117555.38153076172</v>
      </c>
      <c r="E6562" s="9">
        <v>1724929.0217895508</v>
      </c>
      <c r="F6562" s="257" t="s">
        <v>17269</v>
      </c>
      <c r="G6562" s="9"/>
      <c r="H6562" s="257" t="s">
        <v>24566</v>
      </c>
      <c r="I6562" s="9">
        <v>4</v>
      </c>
    </row>
    <row r="6563" spans="1:9">
      <c r="A6563" s="257" t="s">
        <v>7661</v>
      </c>
      <c r="B6563" s="9">
        <v>7</v>
      </c>
      <c r="C6563" s="257" t="s">
        <v>13342</v>
      </c>
      <c r="D6563" s="9">
        <v>1235479089.9580986</v>
      </c>
      <c r="E6563" s="9">
        <v>1724929.0217895508</v>
      </c>
      <c r="F6563" s="257" t="s">
        <v>17269</v>
      </c>
      <c r="G6563" s="9"/>
      <c r="H6563" s="257" t="s">
        <v>24567</v>
      </c>
      <c r="I6563" s="9">
        <v>4</v>
      </c>
    </row>
    <row r="6564" spans="1:9">
      <c r="A6564" s="257" t="s">
        <v>7662</v>
      </c>
      <c r="B6564" s="9">
        <v>7</v>
      </c>
      <c r="C6564" s="257" t="s">
        <v>13343</v>
      </c>
      <c r="D6564" s="9">
        <v>6.8150851452891847E-2</v>
      </c>
      <c r="E6564" s="9">
        <v>1724929.0217895508</v>
      </c>
      <c r="F6564" s="257" t="s">
        <v>17269</v>
      </c>
      <c r="G6564" s="9"/>
      <c r="H6564" s="257" t="s">
        <v>24568</v>
      </c>
      <c r="I6564" s="9">
        <v>4</v>
      </c>
    </row>
    <row r="6565" spans="1:9">
      <c r="A6565" s="257" t="s">
        <v>7663</v>
      </c>
      <c r="B6565" s="9">
        <v>7</v>
      </c>
      <c r="C6565" s="257" t="s">
        <v>13344</v>
      </c>
      <c r="D6565" s="9">
        <v>716.24923365039933</v>
      </c>
      <c r="E6565" s="9">
        <v>1724929.0217895508</v>
      </c>
      <c r="F6565" s="257" t="s">
        <v>17269</v>
      </c>
      <c r="G6565" s="9"/>
      <c r="H6565" s="257" t="s">
        <v>24569</v>
      </c>
      <c r="I6565" s="9">
        <v>4</v>
      </c>
    </row>
    <row r="6566" spans="1:9">
      <c r="A6566" s="257" t="s">
        <v>7664</v>
      </c>
      <c r="B6566" s="9">
        <v>7</v>
      </c>
      <c r="C6566" s="257" t="s">
        <v>13345</v>
      </c>
      <c r="D6566" s="9">
        <v>1497016.2121086121</v>
      </c>
      <c r="E6566" s="9">
        <v>1724929.0217895508</v>
      </c>
      <c r="F6566" s="257" t="s">
        <v>17270</v>
      </c>
      <c r="G6566" s="9"/>
      <c r="H6566" s="257" t="s">
        <v>24570</v>
      </c>
      <c r="I6566" s="9">
        <v>4</v>
      </c>
    </row>
    <row r="6567" spans="1:9">
      <c r="A6567" s="257" t="s">
        <v>7665</v>
      </c>
      <c r="B6567" s="9">
        <v>7</v>
      </c>
      <c r="C6567" s="257" t="s">
        <v>13346</v>
      </c>
      <c r="D6567" s="9">
        <v>3047635110.2067719</v>
      </c>
      <c r="E6567" s="9">
        <v>1724929.0217895508</v>
      </c>
      <c r="F6567" s="257" t="s">
        <v>17270</v>
      </c>
      <c r="G6567" s="9"/>
      <c r="H6567" s="257" t="s">
        <v>24571</v>
      </c>
      <c r="I6567" s="9">
        <v>4</v>
      </c>
    </row>
    <row r="6568" spans="1:9">
      <c r="A6568" s="257" t="s">
        <v>7666</v>
      </c>
      <c r="B6568" s="9">
        <v>7</v>
      </c>
      <c r="C6568" s="257" t="s">
        <v>13347</v>
      </c>
      <c r="D6568" s="9">
        <v>0.86787119539302116</v>
      </c>
      <c r="E6568" s="9">
        <v>1724929.0217895508</v>
      </c>
      <c r="F6568" s="257" t="s">
        <v>17270</v>
      </c>
      <c r="G6568" s="9"/>
      <c r="H6568" s="257" t="s">
        <v>24572</v>
      </c>
      <c r="I6568" s="9">
        <v>4</v>
      </c>
    </row>
    <row r="6569" spans="1:9">
      <c r="A6569" s="257" t="s">
        <v>7667</v>
      </c>
      <c r="B6569" s="9">
        <v>7</v>
      </c>
      <c r="C6569" s="257" t="s">
        <v>13348</v>
      </c>
      <c r="D6569" s="9">
        <v>1766.81769029833</v>
      </c>
      <c r="E6569" s="9">
        <v>1724929.0217895508</v>
      </c>
      <c r="F6569" s="257" t="s">
        <v>17270</v>
      </c>
      <c r="G6569" s="9"/>
      <c r="H6569" s="257" t="s">
        <v>24573</v>
      </c>
      <c r="I6569" s="9">
        <v>4</v>
      </c>
    </row>
    <row r="6570" spans="1:9">
      <c r="A6570" s="257" t="s">
        <v>7668</v>
      </c>
      <c r="B6570" s="9">
        <v>7</v>
      </c>
      <c r="C6570" s="257" t="s">
        <v>13349</v>
      </c>
      <c r="D6570" s="9">
        <v>857529.29560470581</v>
      </c>
      <c r="E6570" s="9">
        <v>1724929.0217895508</v>
      </c>
      <c r="F6570" s="257" t="s">
        <v>17271</v>
      </c>
      <c r="G6570" s="9"/>
      <c r="H6570" s="257" t="s">
        <v>24574</v>
      </c>
      <c r="I6570" s="9">
        <v>4</v>
      </c>
    </row>
    <row r="6571" spans="1:9">
      <c r="A6571" s="257" t="s">
        <v>7669</v>
      </c>
      <c r="B6571" s="9">
        <v>7</v>
      </c>
      <c r="C6571" s="257" t="s">
        <v>13350</v>
      </c>
      <c r="D6571" s="9">
        <v>2577277064.0333447</v>
      </c>
      <c r="E6571" s="9">
        <v>1724929.0217895508</v>
      </c>
      <c r="F6571" s="257" t="s">
        <v>17271</v>
      </c>
      <c r="G6571" s="9"/>
      <c r="H6571" s="257" t="s">
        <v>24575</v>
      </c>
      <c r="I6571" s="9">
        <v>4</v>
      </c>
    </row>
    <row r="6572" spans="1:9">
      <c r="A6572" s="257" t="s">
        <v>7670</v>
      </c>
      <c r="B6572" s="9">
        <v>7</v>
      </c>
      <c r="C6572" s="257" t="s">
        <v>13351</v>
      </c>
      <c r="D6572" s="9">
        <v>0.49713888790337041</v>
      </c>
      <c r="E6572" s="9">
        <v>1724929.0217895508</v>
      </c>
      <c r="F6572" s="257" t="s">
        <v>17271</v>
      </c>
      <c r="G6572" s="9"/>
      <c r="H6572" s="257" t="s">
        <v>24576</v>
      </c>
      <c r="I6572" s="9">
        <v>4</v>
      </c>
    </row>
    <row r="6573" spans="1:9">
      <c r="A6573" s="257" t="s">
        <v>7671</v>
      </c>
      <c r="B6573" s="9">
        <v>7</v>
      </c>
      <c r="C6573" s="257" t="s">
        <v>13352</v>
      </c>
      <c r="D6573" s="9">
        <v>1494.1351391719957</v>
      </c>
      <c r="E6573" s="9">
        <v>1724929.0217895508</v>
      </c>
      <c r="F6573" s="257" t="s">
        <v>17271</v>
      </c>
      <c r="G6573" s="9"/>
      <c r="H6573" s="257" t="s">
        <v>24577</v>
      </c>
      <c r="I6573" s="9">
        <v>4</v>
      </c>
    </row>
    <row r="6574" spans="1:9">
      <c r="A6574" s="257" t="s">
        <v>7672</v>
      </c>
      <c r="B6574" s="9">
        <v>7</v>
      </c>
      <c r="C6574" s="257" t="s">
        <v>13353</v>
      </c>
      <c r="D6574" s="9">
        <v>1724929.0217895508</v>
      </c>
      <c r="E6574" s="9">
        <v>1724929.0217895508</v>
      </c>
      <c r="F6574" s="257" t="s">
        <v>17272</v>
      </c>
      <c r="G6574" s="9"/>
      <c r="H6574" s="257" t="s">
        <v>24578</v>
      </c>
      <c r="I6574" s="9">
        <v>4</v>
      </c>
    </row>
    <row r="6575" spans="1:9">
      <c r="A6575" s="257" t="s">
        <v>7673</v>
      </c>
      <c r="B6575" s="9">
        <v>7</v>
      </c>
      <c r="C6575" s="257" t="s">
        <v>13354</v>
      </c>
      <c r="D6575" s="9">
        <v>16256930099.873196</v>
      </c>
      <c r="E6575" s="9">
        <v>1724929.0217895508</v>
      </c>
      <c r="F6575" s="257" t="s">
        <v>17272</v>
      </c>
      <c r="G6575" s="9"/>
      <c r="H6575" s="257" t="s">
        <v>24579</v>
      </c>
      <c r="I6575" s="9">
        <v>4</v>
      </c>
    </row>
    <row r="6576" spans="1:9">
      <c r="A6576" s="257" t="s">
        <v>7674</v>
      </c>
      <c r="B6576" s="9">
        <v>7</v>
      </c>
      <c r="C6576" s="257" t="s">
        <v>13355</v>
      </c>
      <c r="D6576" s="9">
        <v>1</v>
      </c>
      <c r="E6576" s="9">
        <v>1724929.0217895508</v>
      </c>
      <c r="F6576" s="257" t="s">
        <v>17272</v>
      </c>
      <c r="G6576" s="9"/>
      <c r="H6576" s="257" t="s">
        <v>24580</v>
      </c>
      <c r="I6576" s="9">
        <v>4</v>
      </c>
    </row>
    <row r="6577" spans="1:9">
      <c r="A6577" s="257" t="s">
        <v>7675</v>
      </c>
      <c r="B6577" s="9">
        <v>7</v>
      </c>
      <c r="C6577" s="257" t="s">
        <v>13356</v>
      </c>
      <c r="D6577" s="9">
        <v>9424.6951002118476</v>
      </c>
      <c r="E6577" s="9">
        <v>1724929.0217895508</v>
      </c>
      <c r="F6577" s="257" t="s">
        <v>17272</v>
      </c>
      <c r="G6577" s="9"/>
      <c r="H6577" s="257" t="s">
        <v>24581</v>
      </c>
      <c r="I6577" s="9">
        <v>4</v>
      </c>
    </row>
    <row r="6578" spans="1:9">
      <c r="A6578" s="257" t="s">
        <v>7676</v>
      </c>
      <c r="B6578" s="9">
        <v>7</v>
      </c>
      <c r="C6578" s="257" t="s">
        <v>13357</v>
      </c>
      <c r="D6578" s="9">
        <v>1715920.2297973633</v>
      </c>
      <c r="E6578" s="9">
        <v>1724929.0217895508</v>
      </c>
      <c r="F6578" s="257" t="s">
        <v>17273</v>
      </c>
      <c r="G6578" s="9"/>
      <c r="H6578" s="257" t="s">
        <v>24582</v>
      </c>
      <c r="I6578" s="9">
        <v>4</v>
      </c>
    </row>
    <row r="6579" spans="1:9">
      <c r="A6579" s="257" t="s">
        <v>7677</v>
      </c>
      <c r="B6579" s="9">
        <v>7</v>
      </c>
      <c r="C6579" s="257" t="s">
        <v>13358</v>
      </c>
      <c r="D6579" s="9">
        <v>13209294989.666424</v>
      </c>
      <c r="E6579" s="9">
        <v>1724929.0217895508</v>
      </c>
      <c r="F6579" s="257" t="s">
        <v>17273</v>
      </c>
      <c r="G6579" s="9"/>
      <c r="H6579" s="257" t="s">
        <v>24583</v>
      </c>
      <c r="I6579" s="9">
        <v>4</v>
      </c>
    </row>
    <row r="6580" spans="1:9">
      <c r="A6580" s="257" t="s">
        <v>7678</v>
      </c>
      <c r="B6580" s="9">
        <v>7</v>
      </c>
      <c r="C6580" s="257" t="s">
        <v>13359</v>
      </c>
      <c r="D6580" s="9">
        <v>0.99477729699112993</v>
      </c>
      <c r="E6580" s="9">
        <v>1724929.0217895508</v>
      </c>
      <c r="F6580" s="257" t="s">
        <v>17273</v>
      </c>
      <c r="G6580" s="9"/>
      <c r="H6580" s="257" t="s">
        <v>24584</v>
      </c>
      <c r="I6580" s="9">
        <v>4</v>
      </c>
    </row>
    <row r="6581" spans="1:9">
      <c r="A6581" s="257" t="s">
        <v>7679</v>
      </c>
      <c r="B6581" s="9">
        <v>7</v>
      </c>
      <c r="C6581" s="257" t="s">
        <v>13360</v>
      </c>
      <c r="D6581" s="9">
        <v>7657.877409913518</v>
      </c>
      <c r="E6581" s="9">
        <v>1724929.0217895508</v>
      </c>
      <c r="F6581" s="257" t="s">
        <v>17273</v>
      </c>
      <c r="G6581" s="9"/>
      <c r="H6581" s="257" t="s">
        <v>24585</v>
      </c>
      <c r="I6581" s="9">
        <v>4</v>
      </c>
    </row>
    <row r="6582" spans="1:9">
      <c r="A6582" s="257" t="s">
        <v>7680</v>
      </c>
      <c r="B6582" s="9">
        <v>7</v>
      </c>
      <c r="C6582" s="257" t="s">
        <v>13361</v>
      </c>
      <c r="D6582" s="9">
        <v>1715920.2297973633</v>
      </c>
      <c r="E6582" s="9">
        <v>1724929.0217895508</v>
      </c>
      <c r="F6582" s="257" t="s">
        <v>17274</v>
      </c>
      <c r="G6582" s="9"/>
      <c r="H6582" s="257" t="s">
        <v>24586</v>
      </c>
      <c r="I6582" s="9">
        <v>4</v>
      </c>
    </row>
    <row r="6583" spans="1:9">
      <c r="A6583" s="257" t="s">
        <v>7681</v>
      </c>
      <c r="B6583" s="9">
        <v>7</v>
      </c>
      <c r="C6583" s="257" t="s">
        <v>13362</v>
      </c>
      <c r="D6583" s="9">
        <v>13679653035.839851</v>
      </c>
      <c r="E6583" s="9">
        <v>1724929.0217895508</v>
      </c>
      <c r="F6583" s="257" t="s">
        <v>17274</v>
      </c>
      <c r="G6583" s="9"/>
      <c r="H6583" s="257" t="s">
        <v>24587</v>
      </c>
      <c r="I6583" s="9">
        <v>4</v>
      </c>
    </row>
    <row r="6584" spans="1:9">
      <c r="A6584" s="257" t="s">
        <v>7682</v>
      </c>
      <c r="B6584" s="9">
        <v>7</v>
      </c>
      <c r="C6584" s="257" t="s">
        <v>13363</v>
      </c>
      <c r="D6584" s="9">
        <v>0.99477729699112993</v>
      </c>
      <c r="E6584" s="9">
        <v>1724929.0217895508</v>
      </c>
      <c r="F6584" s="257" t="s">
        <v>17274</v>
      </c>
      <c r="G6584" s="9"/>
      <c r="H6584" s="257" t="s">
        <v>24588</v>
      </c>
      <c r="I6584" s="9">
        <v>4</v>
      </c>
    </row>
    <row r="6585" spans="1:9">
      <c r="A6585" s="257" t="s">
        <v>7683</v>
      </c>
      <c r="B6585" s="9">
        <v>7</v>
      </c>
      <c r="C6585" s="257" t="s">
        <v>13364</v>
      </c>
      <c r="D6585" s="9">
        <v>7930.5599610398531</v>
      </c>
      <c r="E6585" s="9">
        <v>1724929.0217895508</v>
      </c>
      <c r="F6585" s="257" t="s">
        <v>17274</v>
      </c>
      <c r="G6585" s="9"/>
      <c r="H6585" s="257" t="s">
        <v>24589</v>
      </c>
      <c r="I6585" s="9">
        <v>4</v>
      </c>
    </row>
    <row r="6586" spans="1:9">
      <c r="A6586" s="257" t="s">
        <v>7684</v>
      </c>
      <c r="B6586" s="9">
        <v>7</v>
      </c>
      <c r="C6586" s="257" t="s">
        <v>13365</v>
      </c>
      <c r="D6586" s="9">
        <v>1724929.0217895508</v>
      </c>
      <c r="E6586" s="9">
        <v>1724929.0217895508</v>
      </c>
      <c r="F6586" s="257" t="s">
        <v>17275</v>
      </c>
      <c r="G6586" s="9"/>
      <c r="H6586" s="257" t="s">
        <v>24590</v>
      </c>
      <c r="I6586" s="9">
        <v>4</v>
      </c>
    </row>
    <row r="6587" spans="1:9">
      <c r="A6587" s="257" t="s">
        <v>7685</v>
      </c>
      <c r="B6587" s="9">
        <v>7</v>
      </c>
      <c r="C6587" s="257" t="s">
        <v>13366</v>
      </c>
      <c r="D6587" s="9">
        <v>2375193654.7766829</v>
      </c>
      <c r="E6587" s="9">
        <v>1724929.0217895508</v>
      </c>
      <c r="F6587" s="257" t="s">
        <v>17275</v>
      </c>
      <c r="G6587" s="9"/>
      <c r="H6587" s="257" t="s">
        <v>24591</v>
      </c>
      <c r="I6587" s="9">
        <v>4</v>
      </c>
    </row>
    <row r="6588" spans="1:9">
      <c r="A6588" s="257" t="s">
        <v>7686</v>
      </c>
      <c r="B6588" s="9">
        <v>7</v>
      </c>
      <c r="C6588" s="257" t="s">
        <v>13367</v>
      </c>
      <c r="D6588" s="9">
        <v>1</v>
      </c>
      <c r="E6588" s="9">
        <v>1724929.0217895508</v>
      </c>
      <c r="F6588" s="257" t="s">
        <v>17275</v>
      </c>
      <c r="G6588" s="9"/>
      <c r="H6588" s="257" t="s">
        <v>24592</v>
      </c>
      <c r="I6588" s="9">
        <v>4</v>
      </c>
    </row>
    <row r="6589" spans="1:9">
      <c r="A6589" s="257" t="s">
        <v>7687</v>
      </c>
      <c r="B6589" s="9">
        <v>7</v>
      </c>
      <c r="C6589" s="257" t="s">
        <v>13368</v>
      </c>
      <c r="D6589" s="9">
        <v>1376.9805161678514</v>
      </c>
      <c r="E6589" s="9">
        <v>1724929.0217895508</v>
      </c>
      <c r="F6589" s="257" t="s">
        <v>17275</v>
      </c>
      <c r="G6589" s="9"/>
      <c r="H6589" s="257" t="s">
        <v>24593</v>
      </c>
      <c r="I6589" s="9">
        <v>4</v>
      </c>
    </row>
    <row r="6590" spans="1:9">
      <c r="A6590" s="257" t="s">
        <v>7688</v>
      </c>
      <c r="B6590" s="9">
        <v>7</v>
      </c>
      <c r="C6590" s="257" t="s">
        <v>13369</v>
      </c>
      <c r="D6590" s="9">
        <v>1174397.034538269</v>
      </c>
      <c r="E6590" s="9">
        <v>1724929.0217895508</v>
      </c>
      <c r="F6590" s="257" t="s">
        <v>17276</v>
      </c>
      <c r="G6590" s="9"/>
      <c r="H6590" s="257" t="s">
        <v>24594</v>
      </c>
      <c r="I6590" s="9">
        <v>4</v>
      </c>
    </row>
    <row r="6591" spans="1:9">
      <c r="A6591" s="257" t="s">
        <v>7689</v>
      </c>
      <c r="B6591" s="9">
        <v>7</v>
      </c>
      <c r="C6591" s="257" t="s">
        <v>13370</v>
      </c>
      <c r="D6591" s="9">
        <v>3270590175.0559001</v>
      </c>
      <c r="E6591" s="9">
        <v>1724929.0217895508</v>
      </c>
      <c r="F6591" s="257" t="s">
        <v>17276</v>
      </c>
      <c r="G6591" s="9"/>
      <c r="H6591" s="257" t="s">
        <v>24595</v>
      </c>
      <c r="I6591" s="9">
        <v>4</v>
      </c>
    </row>
    <row r="6592" spans="1:9">
      <c r="A6592" s="257" t="s">
        <v>7690</v>
      </c>
      <c r="B6592" s="9">
        <v>7</v>
      </c>
      <c r="C6592" s="257" t="s">
        <v>13371</v>
      </c>
      <c r="D6592" s="9">
        <v>0.68083788938739931</v>
      </c>
      <c r="E6592" s="9">
        <v>1724929.0217895508</v>
      </c>
      <c r="F6592" s="257" t="s">
        <v>17276</v>
      </c>
      <c r="G6592" s="9"/>
      <c r="H6592" s="257" t="s">
        <v>24596</v>
      </c>
      <c r="I6592" s="9">
        <v>4</v>
      </c>
    </row>
    <row r="6593" spans="1:9">
      <c r="A6593" s="257" t="s">
        <v>7691</v>
      </c>
      <c r="B6593" s="9">
        <v>7</v>
      </c>
      <c r="C6593" s="257" t="s">
        <v>13372</v>
      </c>
      <c r="D6593" s="9">
        <v>1896.0723216673475</v>
      </c>
      <c r="E6593" s="9">
        <v>1724929.0217895508</v>
      </c>
      <c r="F6593" s="257" t="s">
        <v>17276</v>
      </c>
      <c r="G6593" s="9"/>
      <c r="H6593" s="257" t="s">
        <v>24597</v>
      </c>
      <c r="I6593" s="9">
        <v>4</v>
      </c>
    </row>
    <row r="6594" spans="1:9">
      <c r="A6594" s="257" t="s">
        <v>7692</v>
      </c>
      <c r="B6594" s="9">
        <v>7</v>
      </c>
      <c r="C6594" s="257" t="s">
        <v>13373</v>
      </c>
      <c r="D6594" s="9">
        <v>1724929.0217895508</v>
      </c>
      <c r="E6594" s="9">
        <v>1724929.0217895508</v>
      </c>
      <c r="F6594" s="257" t="s">
        <v>17277</v>
      </c>
      <c r="G6594" s="9"/>
      <c r="H6594" s="257" t="s">
        <v>24598</v>
      </c>
      <c r="I6594" s="9">
        <v>4</v>
      </c>
    </row>
    <row r="6595" spans="1:9">
      <c r="A6595" s="257" t="s">
        <v>7693</v>
      </c>
      <c r="B6595" s="9">
        <v>7</v>
      </c>
      <c r="C6595" s="257" t="s">
        <v>13374</v>
      </c>
      <c r="D6595" s="9">
        <v>16479885164.722324</v>
      </c>
      <c r="E6595" s="9">
        <v>1724929.0217895508</v>
      </c>
      <c r="F6595" s="257" t="s">
        <v>17277</v>
      </c>
      <c r="G6595" s="9"/>
      <c r="H6595" s="257" t="s">
        <v>24599</v>
      </c>
      <c r="I6595" s="9">
        <v>4</v>
      </c>
    </row>
    <row r="6596" spans="1:9">
      <c r="A6596" s="257" t="s">
        <v>7694</v>
      </c>
      <c r="B6596" s="9">
        <v>7</v>
      </c>
      <c r="C6596" s="257" t="s">
        <v>13375</v>
      </c>
      <c r="D6596" s="9">
        <v>1</v>
      </c>
      <c r="E6596" s="9">
        <v>1724929.0217895508</v>
      </c>
      <c r="F6596" s="257" t="s">
        <v>17277</v>
      </c>
      <c r="G6596" s="9"/>
      <c r="H6596" s="257" t="s">
        <v>24600</v>
      </c>
      <c r="I6596" s="9">
        <v>4</v>
      </c>
    </row>
    <row r="6597" spans="1:9">
      <c r="A6597" s="257" t="s">
        <v>7695</v>
      </c>
      <c r="B6597" s="9">
        <v>7</v>
      </c>
      <c r="C6597" s="257" t="s">
        <v>13376</v>
      </c>
      <c r="D6597" s="9">
        <v>9553.9497315808658</v>
      </c>
      <c r="E6597" s="9">
        <v>1724929.0217895508</v>
      </c>
      <c r="F6597" s="257" t="s">
        <v>17277</v>
      </c>
      <c r="G6597" s="9"/>
      <c r="H6597" s="257" t="s">
        <v>24601</v>
      </c>
      <c r="I6597" s="9">
        <v>4</v>
      </c>
    </row>
    <row r="6598" spans="1:9">
      <c r="A6598" s="257" t="s">
        <v>7696</v>
      </c>
      <c r="B6598" s="9">
        <v>7</v>
      </c>
      <c r="C6598" s="257" t="s">
        <v>13377</v>
      </c>
      <c r="D6598" s="9">
        <v>1724929.0217895508</v>
      </c>
      <c r="E6598" s="9">
        <v>1724929.0217895508</v>
      </c>
      <c r="F6598" s="257" t="s">
        <v>17278</v>
      </c>
      <c r="G6598" s="9"/>
      <c r="H6598" s="257" t="s">
        <v>24602</v>
      </c>
      <c r="I6598" s="9">
        <v>4</v>
      </c>
    </row>
    <row r="6599" spans="1:9">
      <c r="A6599" s="257" t="s">
        <v>7697</v>
      </c>
      <c r="B6599" s="9">
        <v>7</v>
      </c>
      <c r="C6599" s="257" t="s">
        <v>13378</v>
      </c>
      <c r="D6599" s="9">
        <v>16950243210.89575</v>
      </c>
      <c r="E6599" s="9">
        <v>1724929.0217895508</v>
      </c>
      <c r="F6599" s="257" t="s">
        <v>17278</v>
      </c>
      <c r="G6599" s="9"/>
      <c r="H6599" s="257" t="s">
        <v>24603</v>
      </c>
      <c r="I6599" s="9">
        <v>4</v>
      </c>
    </row>
    <row r="6600" spans="1:9">
      <c r="A6600" s="257" t="s">
        <v>7698</v>
      </c>
      <c r="B6600" s="9">
        <v>7</v>
      </c>
      <c r="C6600" s="257" t="s">
        <v>13379</v>
      </c>
      <c r="D6600" s="9">
        <v>1</v>
      </c>
      <c r="E6600" s="9">
        <v>1724929.0217895508</v>
      </c>
      <c r="F6600" s="257" t="s">
        <v>17278</v>
      </c>
      <c r="G6600" s="9"/>
      <c r="H6600" s="257" t="s">
        <v>24604</v>
      </c>
      <c r="I6600" s="9">
        <v>4</v>
      </c>
    </row>
    <row r="6601" spans="1:9">
      <c r="A6601" s="257" t="s">
        <v>7699</v>
      </c>
      <c r="B6601" s="9">
        <v>7</v>
      </c>
      <c r="C6601" s="257" t="s">
        <v>13380</v>
      </c>
      <c r="D6601" s="9">
        <v>9826.6322827071999</v>
      </c>
      <c r="E6601" s="9">
        <v>1724929.0217895508</v>
      </c>
      <c r="F6601" s="257" t="s">
        <v>17278</v>
      </c>
      <c r="G6601" s="9"/>
      <c r="H6601" s="257" t="s">
        <v>24605</v>
      </c>
      <c r="I6601" s="9">
        <v>4</v>
      </c>
    </row>
    <row r="6602" spans="1:9">
      <c r="A6602" s="257" t="s">
        <v>7700</v>
      </c>
      <c r="B6602" s="9">
        <v>7</v>
      </c>
      <c r="C6602" s="257" t="s">
        <v>13381</v>
      </c>
      <c r="D6602" s="9">
        <v>1295760.0436935425</v>
      </c>
      <c r="E6602" s="9">
        <v>1724929.0217895508</v>
      </c>
      <c r="F6602" s="257" t="s">
        <v>17279</v>
      </c>
      <c r="G6602" s="9"/>
      <c r="H6602" s="257" t="s">
        <v>24606</v>
      </c>
      <c r="I6602" s="9">
        <v>4</v>
      </c>
    </row>
    <row r="6603" spans="1:9">
      <c r="A6603" s="257" t="s">
        <v>7701</v>
      </c>
      <c r="B6603" s="9">
        <v>7</v>
      </c>
      <c r="C6603" s="257" t="s">
        <v>13382</v>
      </c>
      <c r="D6603" s="9">
        <v>8930858654.463974</v>
      </c>
      <c r="E6603" s="9">
        <v>1724929.0217895508</v>
      </c>
      <c r="F6603" s="257" t="s">
        <v>17279</v>
      </c>
      <c r="G6603" s="9"/>
      <c r="H6603" s="257" t="s">
        <v>24607</v>
      </c>
      <c r="I6603" s="9">
        <v>4</v>
      </c>
    </row>
    <row r="6604" spans="1:9">
      <c r="A6604" s="257" t="s">
        <v>7702</v>
      </c>
      <c r="B6604" s="9">
        <v>7</v>
      </c>
      <c r="C6604" s="257" t="s">
        <v>13383</v>
      </c>
      <c r="D6604" s="9">
        <v>0.75119615203020862</v>
      </c>
      <c r="E6604" s="9">
        <v>1724929.0217895508</v>
      </c>
      <c r="F6604" s="257" t="s">
        <v>17279</v>
      </c>
      <c r="G6604" s="9"/>
      <c r="H6604" s="257" t="s">
        <v>24608</v>
      </c>
      <c r="I6604" s="9">
        <v>4</v>
      </c>
    </row>
    <row r="6605" spans="1:9">
      <c r="A6605" s="257" t="s">
        <v>7703</v>
      </c>
      <c r="B6605" s="9">
        <v>7</v>
      </c>
      <c r="C6605" s="257" t="s">
        <v>13384</v>
      </c>
      <c r="D6605" s="9">
        <v>5177.5224033267959</v>
      </c>
      <c r="E6605" s="9">
        <v>1724929.0217895508</v>
      </c>
      <c r="F6605" s="257" t="s">
        <v>17279</v>
      </c>
      <c r="G6605" s="9"/>
      <c r="H6605" s="257" t="s">
        <v>24609</v>
      </c>
      <c r="I6605" s="9">
        <v>4</v>
      </c>
    </row>
    <row r="6606" spans="1:9">
      <c r="A6606" s="257" t="s">
        <v>7704</v>
      </c>
      <c r="B6606" s="9">
        <v>7</v>
      </c>
      <c r="C6606" s="257" t="s">
        <v>13385</v>
      </c>
      <c r="D6606" s="9">
        <v>1296750.3296737671</v>
      </c>
      <c r="E6606" s="9">
        <v>1724929.0217895508</v>
      </c>
      <c r="F6606" s="257" t="s">
        <v>17280</v>
      </c>
      <c r="G6606" s="9"/>
      <c r="H6606" s="257" t="s">
        <v>24610</v>
      </c>
      <c r="I6606" s="9">
        <v>4</v>
      </c>
    </row>
    <row r="6607" spans="1:9">
      <c r="A6607" s="257" t="s">
        <v>7705</v>
      </c>
      <c r="B6607" s="9">
        <v>7</v>
      </c>
      <c r="C6607" s="257" t="s">
        <v>13386</v>
      </c>
      <c r="D6607" s="9">
        <v>9401216700.6373997</v>
      </c>
      <c r="E6607" s="9">
        <v>1724929.0217895508</v>
      </c>
      <c r="F6607" s="257" t="s">
        <v>17280</v>
      </c>
      <c r="G6607" s="9"/>
      <c r="H6607" s="257" t="s">
        <v>24611</v>
      </c>
      <c r="I6607" s="9">
        <v>4</v>
      </c>
    </row>
    <row r="6608" spans="1:9">
      <c r="A6608" s="257" t="s">
        <v>7706</v>
      </c>
      <c r="B6608" s="9">
        <v>7</v>
      </c>
      <c r="C6608" s="257" t="s">
        <v>13387</v>
      </c>
      <c r="D6608" s="9">
        <v>0.75177025448179657</v>
      </c>
      <c r="E6608" s="9">
        <v>1724929.0217895508</v>
      </c>
      <c r="F6608" s="257" t="s">
        <v>17280</v>
      </c>
      <c r="G6608" s="9"/>
      <c r="H6608" s="257" t="s">
        <v>24612</v>
      </c>
      <c r="I6608" s="9">
        <v>4</v>
      </c>
    </row>
    <row r="6609" spans="1:9">
      <c r="A6609" s="257" t="s">
        <v>7707</v>
      </c>
      <c r="B6609" s="9">
        <v>7</v>
      </c>
      <c r="C6609" s="257" t="s">
        <v>13388</v>
      </c>
      <c r="D6609" s="9">
        <v>5450.2049544531292</v>
      </c>
      <c r="E6609" s="9">
        <v>1724929.0217895508</v>
      </c>
      <c r="F6609" s="257" t="s">
        <v>17280</v>
      </c>
      <c r="G6609" s="9"/>
      <c r="H6609" s="257" t="s">
        <v>24613</v>
      </c>
      <c r="I6609" s="9">
        <v>4</v>
      </c>
    </row>
    <row r="6610" spans="1:9">
      <c r="A6610" s="257" t="s">
        <v>7708</v>
      </c>
      <c r="B6610" s="9">
        <v>7</v>
      </c>
      <c r="C6610" s="257" t="s">
        <v>13389</v>
      </c>
      <c r="D6610" s="9">
        <v>1724929.0217895508</v>
      </c>
      <c r="E6610" s="9">
        <v>1724929.0217895508</v>
      </c>
      <c r="F6610" s="257" t="s">
        <v>17281</v>
      </c>
      <c r="G6610" s="9"/>
      <c r="H6610" s="257" t="s">
        <v>24614</v>
      </c>
      <c r="I6610" s="9">
        <v>4</v>
      </c>
    </row>
    <row r="6611" spans="1:9">
      <c r="A6611" s="257" t="s">
        <v>7709</v>
      </c>
      <c r="B6611" s="9">
        <v>7</v>
      </c>
      <c r="C6611" s="257" t="s">
        <v>13390</v>
      </c>
      <c r="D6611" s="9">
        <v>4278436335.2024503</v>
      </c>
      <c r="E6611" s="9">
        <v>1724929.0217895508</v>
      </c>
      <c r="F6611" s="257" t="s">
        <v>17281</v>
      </c>
      <c r="G6611" s="9"/>
      <c r="H6611" s="257" t="s">
        <v>24615</v>
      </c>
      <c r="I6611" s="9">
        <v>4</v>
      </c>
    </row>
    <row r="6612" spans="1:9">
      <c r="A6612" s="257" t="s">
        <v>7710</v>
      </c>
      <c r="B6612" s="9">
        <v>7</v>
      </c>
      <c r="C6612" s="257" t="s">
        <v>13391</v>
      </c>
      <c r="D6612" s="9">
        <v>1</v>
      </c>
      <c r="E6612" s="9">
        <v>1724929.0217895508</v>
      </c>
      <c r="F6612" s="257" t="s">
        <v>17281</v>
      </c>
      <c r="G6612" s="9"/>
      <c r="H6612" s="257" t="s">
        <v>24616</v>
      </c>
      <c r="I6612" s="9">
        <v>4</v>
      </c>
    </row>
    <row r="6613" spans="1:9">
      <c r="A6613" s="257" t="s">
        <v>7711</v>
      </c>
      <c r="B6613" s="9">
        <v>7</v>
      </c>
      <c r="C6613" s="257" t="s">
        <v>13392</v>
      </c>
      <c r="D6613" s="9">
        <v>2480.3550065867225</v>
      </c>
      <c r="E6613" s="9">
        <v>1724929.0217895508</v>
      </c>
      <c r="F6613" s="257" t="s">
        <v>17281</v>
      </c>
      <c r="G6613" s="9"/>
      <c r="H6613" s="257" t="s">
        <v>24617</v>
      </c>
      <c r="I6613" s="9">
        <v>4</v>
      </c>
    </row>
    <row r="6614" spans="1:9">
      <c r="A6614" s="257" t="s">
        <v>7712</v>
      </c>
      <c r="B6614" s="9">
        <v>7</v>
      </c>
      <c r="C6614" s="257" t="s">
        <v>13393</v>
      </c>
      <c r="D6614" s="9">
        <v>1724929.0217895508</v>
      </c>
      <c r="E6614" s="9">
        <v>1724929.0217895508</v>
      </c>
      <c r="F6614" s="257" t="s">
        <v>17282</v>
      </c>
      <c r="G6614" s="9"/>
      <c r="H6614" s="257" t="s">
        <v>24618</v>
      </c>
      <c r="I6614" s="9">
        <v>4</v>
      </c>
    </row>
    <row r="6615" spans="1:9">
      <c r="A6615" s="257" t="s">
        <v>7713</v>
      </c>
      <c r="B6615" s="9">
        <v>7</v>
      </c>
      <c r="C6615" s="257" t="s">
        <v>13394</v>
      </c>
      <c r="D6615" s="9">
        <v>7131054318.2032032</v>
      </c>
      <c r="E6615" s="9">
        <v>1724929.0217895508</v>
      </c>
      <c r="F6615" s="257" t="s">
        <v>17282</v>
      </c>
      <c r="G6615" s="9"/>
      <c r="H6615" s="257" t="s">
        <v>24619</v>
      </c>
      <c r="I6615" s="9">
        <v>4</v>
      </c>
    </row>
    <row r="6616" spans="1:9">
      <c r="A6616" s="257" t="s">
        <v>7714</v>
      </c>
      <c r="B6616" s="9">
        <v>7</v>
      </c>
      <c r="C6616" s="257" t="s">
        <v>13395</v>
      </c>
      <c r="D6616" s="9">
        <v>1</v>
      </c>
      <c r="E6616" s="9">
        <v>1724929.0217895508</v>
      </c>
      <c r="F6616" s="257" t="s">
        <v>17282</v>
      </c>
      <c r="G6616" s="9"/>
      <c r="H6616" s="257" t="s">
        <v>24620</v>
      </c>
      <c r="I6616" s="9">
        <v>4</v>
      </c>
    </row>
    <row r="6617" spans="1:9">
      <c r="A6617" s="257" t="s">
        <v>7715</v>
      </c>
      <c r="B6617" s="9">
        <v>7</v>
      </c>
      <c r="C6617" s="257" t="s">
        <v>13396</v>
      </c>
      <c r="D6617" s="9">
        <v>4134.1146378330368</v>
      </c>
      <c r="E6617" s="9">
        <v>1724929.0217895508</v>
      </c>
      <c r="F6617" s="257" t="s">
        <v>17282</v>
      </c>
      <c r="G6617" s="9"/>
      <c r="H6617" s="257" t="s">
        <v>24621</v>
      </c>
      <c r="I6617" s="9">
        <v>4</v>
      </c>
    </row>
    <row r="6618" spans="1:9">
      <c r="A6618" s="257" t="s">
        <v>7716</v>
      </c>
      <c r="B6618" s="9">
        <v>7</v>
      </c>
      <c r="C6618" s="257" t="s">
        <v>13397</v>
      </c>
      <c r="D6618" s="9">
        <v>1311616.5118942261</v>
      </c>
      <c r="E6618" s="9">
        <v>1724929.0217895508</v>
      </c>
      <c r="F6618" s="257" t="s">
        <v>17283</v>
      </c>
      <c r="G6618" s="9"/>
      <c r="H6618" s="257" t="s">
        <v>24622</v>
      </c>
      <c r="I6618" s="9">
        <v>4</v>
      </c>
    </row>
    <row r="6619" spans="1:9">
      <c r="A6619" s="257" t="s">
        <v>7717</v>
      </c>
      <c r="B6619" s="9">
        <v>7</v>
      </c>
      <c r="C6619" s="257" t="s">
        <v>13398</v>
      </c>
      <c r="D6619" s="9">
        <v>10822267563.697081</v>
      </c>
      <c r="E6619" s="9">
        <v>1724929.0217895508</v>
      </c>
      <c r="F6619" s="257" t="s">
        <v>17283</v>
      </c>
      <c r="G6619" s="9"/>
      <c r="H6619" s="257" t="s">
        <v>24623</v>
      </c>
      <c r="I6619" s="9">
        <v>4</v>
      </c>
    </row>
    <row r="6620" spans="1:9">
      <c r="A6620" s="257" t="s">
        <v>7718</v>
      </c>
      <c r="B6620" s="9">
        <v>7</v>
      </c>
      <c r="C6620" s="257" t="s">
        <v>13399</v>
      </c>
      <c r="D6620" s="9">
        <v>0.76038868575210816</v>
      </c>
      <c r="E6620" s="9">
        <v>1724929.0217895508</v>
      </c>
      <c r="F6620" s="257" t="s">
        <v>17283</v>
      </c>
      <c r="G6620" s="9"/>
      <c r="H6620" s="257" t="s">
        <v>24624</v>
      </c>
      <c r="I6620" s="9">
        <v>4</v>
      </c>
    </row>
    <row r="6621" spans="1:9">
      <c r="A6621" s="257" t="s">
        <v>7719</v>
      </c>
      <c r="B6621" s="9">
        <v>7</v>
      </c>
      <c r="C6621" s="257" t="s">
        <v>13400</v>
      </c>
      <c r="D6621" s="9">
        <v>6274.0364542474763</v>
      </c>
      <c r="E6621" s="9">
        <v>1724929.0217895508</v>
      </c>
      <c r="F6621" s="257" t="s">
        <v>17283</v>
      </c>
      <c r="G6621" s="9"/>
      <c r="H6621" s="257" t="s">
        <v>24625</v>
      </c>
      <c r="I6621" s="9">
        <v>4</v>
      </c>
    </row>
    <row r="6622" spans="1:9">
      <c r="A6622" s="257" t="s">
        <v>7720</v>
      </c>
      <c r="B6622" s="9">
        <v>7</v>
      </c>
      <c r="C6622" s="257" t="s">
        <v>13401</v>
      </c>
      <c r="D6622" s="9">
        <v>0</v>
      </c>
      <c r="E6622" s="9">
        <v>1724929.0217895508</v>
      </c>
      <c r="F6622" s="257" t="s">
        <v>17284</v>
      </c>
      <c r="G6622" s="9"/>
      <c r="H6622" s="257" t="s">
        <v>24626</v>
      </c>
      <c r="I6622" s="9">
        <v>4</v>
      </c>
    </row>
    <row r="6623" spans="1:9">
      <c r="A6623" s="257" t="s">
        <v>7721</v>
      </c>
      <c r="B6623" s="9">
        <v>7</v>
      </c>
      <c r="C6623" s="257" t="s">
        <v>13402</v>
      </c>
      <c r="D6623" s="9">
        <v>-1003078671.0045338</v>
      </c>
      <c r="E6623" s="9">
        <v>1724929.0217895508</v>
      </c>
      <c r="F6623" s="257" t="s">
        <v>17284</v>
      </c>
      <c r="G6623" s="9"/>
      <c r="H6623" s="257" t="s">
        <v>24627</v>
      </c>
      <c r="I6623" s="9">
        <v>4</v>
      </c>
    </row>
    <row r="6624" spans="1:9">
      <c r="A6624" s="257" t="s">
        <v>7722</v>
      </c>
      <c r="B6624" s="9">
        <v>7</v>
      </c>
      <c r="C6624" s="257" t="s">
        <v>13403</v>
      </c>
      <c r="D6624" s="9">
        <v>0</v>
      </c>
      <c r="E6624" s="9">
        <v>1724929.0217895508</v>
      </c>
      <c r="F6624" s="257" t="s">
        <v>17284</v>
      </c>
      <c r="G6624" s="9"/>
      <c r="H6624" s="257" t="s">
        <v>24628</v>
      </c>
      <c r="I6624" s="9">
        <v>4</v>
      </c>
    </row>
    <row r="6625" spans="1:9">
      <c r="A6625" s="257" t="s">
        <v>7723</v>
      </c>
      <c r="B6625" s="9">
        <v>7</v>
      </c>
      <c r="C6625" s="257" t="s">
        <v>13404</v>
      </c>
      <c r="D6625" s="9">
        <v>-581.51880937331339</v>
      </c>
      <c r="E6625" s="9">
        <v>1724929.0217895508</v>
      </c>
      <c r="F6625" s="257" t="s">
        <v>17284</v>
      </c>
      <c r="G6625" s="9"/>
      <c r="H6625" s="257" t="s">
        <v>24629</v>
      </c>
      <c r="I6625" s="9">
        <v>4</v>
      </c>
    </row>
    <row r="6626" spans="1:9">
      <c r="A6626" s="257" t="s">
        <v>7724</v>
      </c>
      <c r="B6626" s="9">
        <v>7</v>
      </c>
      <c r="C6626" s="257" t="s">
        <v>13405</v>
      </c>
      <c r="D6626" s="9">
        <v>1305759.1216659546</v>
      </c>
      <c r="E6626" s="9">
        <v>1724929.0217895508</v>
      </c>
      <c r="F6626" s="257" t="s">
        <v>17285</v>
      </c>
      <c r="G6626" s="9"/>
      <c r="H6626" s="257" t="s">
        <v>24630</v>
      </c>
      <c r="I6626" s="9">
        <v>4</v>
      </c>
    </row>
    <row r="6627" spans="1:9">
      <c r="A6627" s="257" t="s">
        <v>7725</v>
      </c>
      <c r="B6627" s="9">
        <v>7</v>
      </c>
      <c r="C6627" s="257" t="s">
        <v>13406</v>
      </c>
      <c r="D6627" s="9">
        <v>9819188892.6925468</v>
      </c>
      <c r="E6627" s="9">
        <v>1724929.0217895508</v>
      </c>
      <c r="F6627" s="257" t="s">
        <v>17285</v>
      </c>
      <c r="G6627" s="9"/>
      <c r="H6627" s="257" t="s">
        <v>24631</v>
      </c>
      <c r="I6627" s="9">
        <v>4</v>
      </c>
    </row>
    <row r="6628" spans="1:9">
      <c r="A6628" s="257" t="s">
        <v>7726</v>
      </c>
      <c r="B6628" s="9">
        <v>7</v>
      </c>
      <c r="C6628" s="257" t="s">
        <v>13407</v>
      </c>
      <c r="D6628" s="9">
        <v>0.75699295749066664</v>
      </c>
      <c r="E6628" s="9">
        <v>1724929.0217895508</v>
      </c>
      <c r="F6628" s="257" t="s">
        <v>17285</v>
      </c>
      <c r="G6628" s="9"/>
      <c r="H6628" s="257" t="s">
        <v>24632</v>
      </c>
      <c r="I6628" s="9">
        <v>4</v>
      </c>
    </row>
    <row r="6629" spans="1:9">
      <c r="A6629" s="257" t="s">
        <v>7727</v>
      </c>
      <c r="B6629" s="9">
        <v>7</v>
      </c>
      <c r="C6629" s="257" t="s">
        <v>13408</v>
      </c>
      <c r="D6629" s="9">
        <v>5692.5176448741631</v>
      </c>
      <c r="E6629" s="9">
        <v>1724929.0217895508</v>
      </c>
      <c r="F6629" s="257" t="s">
        <v>17285</v>
      </c>
      <c r="G6629" s="9"/>
      <c r="H6629" s="257" t="s">
        <v>24633</v>
      </c>
      <c r="I6629" s="9">
        <v>4</v>
      </c>
    </row>
    <row r="6630" spans="1:9">
      <c r="A6630" s="257" t="s">
        <v>7728</v>
      </c>
      <c r="B6630" s="9">
        <v>7</v>
      </c>
      <c r="C6630" s="257" t="s">
        <v>13409</v>
      </c>
      <c r="D6630" s="9">
        <v>179535.82540893555</v>
      </c>
      <c r="E6630" s="9">
        <v>1724929.0217895508</v>
      </c>
      <c r="F6630" s="257" t="s">
        <v>17286</v>
      </c>
      <c r="G6630" s="9"/>
      <c r="H6630" s="257" t="s">
        <v>24634</v>
      </c>
      <c r="I6630" s="9">
        <v>4</v>
      </c>
    </row>
    <row r="6631" spans="1:9">
      <c r="A6631" s="257" t="s">
        <v>7729</v>
      </c>
      <c r="B6631" s="9">
        <v>7</v>
      </c>
      <c r="C6631" s="257" t="s">
        <v>13410</v>
      </c>
      <c r="D6631" s="9">
        <v>417972192.05514735</v>
      </c>
      <c r="E6631" s="9">
        <v>1724929.0217895508</v>
      </c>
      <c r="F6631" s="257" t="s">
        <v>17286</v>
      </c>
      <c r="G6631" s="9"/>
      <c r="H6631" s="257" t="s">
        <v>24635</v>
      </c>
      <c r="I6631" s="9">
        <v>4</v>
      </c>
    </row>
    <row r="6632" spans="1:9">
      <c r="A6632" s="257" t="s">
        <v>7730</v>
      </c>
      <c r="B6632" s="9">
        <v>7</v>
      </c>
      <c r="C6632" s="257" t="s">
        <v>13411</v>
      </c>
      <c r="D6632" s="9">
        <v>0.10408302204961088</v>
      </c>
      <c r="E6632" s="9">
        <v>1724929.0217895508</v>
      </c>
      <c r="F6632" s="257" t="s">
        <v>17286</v>
      </c>
      <c r="G6632" s="9"/>
      <c r="H6632" s="257" t="s">
        <v>24636</v>
      </c>
      <c r="I6632" s="9">
        <v>4</v>
      </c>
    </row>
    <row r="6633" spans="1:9">
      <c r="A6633" s="257" t="s">
        <v>7731</v>
      </c>
      <c r="B6633" s="9">
        <v>7</v>
      </c>
      <c r="C6633" s="257" t="s">
        <v>13412</v>
      </c>
      <c r="D6633" s="9">
        <v>242.31269042103338</v>
      </c>
      <c r="E6633" s="9">
        <v>1724929.0217895508</v>
      </c>
      <c r="F6633" s="257" t="s">
        <v>17286</v>
      </c>
      <c r="G6633" s="9"/>
      <c r="H6633" s="257" t="s">
        <v>24637</v>
      </c>
      <c r="I6633" s="9">
        <v>4</v>
      </c>
    </row>
    <row r="6634" spans="1:9">
      <c r="A6634" s="257" t="s">
        <v>7732</v>
      </c>
      <c r="B6634" s="9">
        <v>7</v>
      </c>
      <c r="C6634" s="257" t="s">
        <v>13413</v>
      </c>
      <c r="D6634" s="9">
        <v>1147029.032371521</v>
      </c>
      <c r="E6634" s="9">
        <v>1724929.0217895508</v>
      </c>
      <c r="F6634" s="257" t="s">
        <v>17287</v>
      </c>
      <c r="G6634" s="9"/>
      <c r="H6634" s="257" t="s">
        <v>24638</v>
      </c>
      <c r="I6634" s="9">
        <v>4</v>
      </c>
    </row>
    <row r="6635" spans="1:9">
      <c r="A6635" s="257" t="s">
        <v>7733</v>
      </c>
      <c r="B6635" s="9">
        <v>7</v>
      </c>
      <c r="C6635" s="257" t="s">
        <v>13414</v>
      </c>
      <c r="D6635" s="9">
        <v>2852617983.0007524</v>
      </c>
      <c r="E6635" s="9">
        <v>1724929.0217895508</v>
      </c>
      <c r="F6635" s="257" t="s">
        <v>17287</v>
      </c>
      <c r="G6635" s="9"/>
      <c r="H6635" s="257" t="s">
        <v>24639</v>
      </c>
      <c r="I6635" s="9">
        <v>4</v>
      </c>
    </row>
    <row r="6636" spans="1:9">
      <c r="A6636" s="257" t="s">
        <v>7734</v>
      </c>
      <c r="B6636" s="9">
        <v>7</v>
      </c>
      <c r="C6636" s="257" t="s">
        <v>13415</v>
      </c>
      <c r="D6636" s="9">
        <v>0.66497172804334892</v>
      </c>
      <c r="E6636" s="9">
        <v>1724929.0217895508</v>
      </c>
      <c r="F6636" s="257" t="s">
        <v>17287</v>
      </c>
      <c r="G6636" s="9"/>
      <c r="H6636" s="257" t="s">
        <v>24640</v>
      </c>
      <c r="I6636" s="9">
        <v>4</v>
      </c>
    </row>
    <row r="6637" spans="1:9">
      <c r="A6637" s="257" t="s">
        <v>7735</v>
      </c>
      <c r="B6637" s="9">
        <v>7</v>
      </c>
      <c r="C6637" s="257" t="s">
        <v>13416</v>
      </c>
      <c r="D6637" s="9">
        <v>1653.7596312463138</v>
      </c>
      <c r="E6637" s="9">
        <v>1724929.0217895508</v>
      </c>
      <c r="F6637" s="257" t="s">
        <v>17287</v>
      </c>
      <c r="G6637" s="9"/>
      <c r="H6637" s="257" t="s">
        <v>24641</v>
      </c>
      <c r="I6637" s="9">
        <v>4</v>
      </c>
    </row>
    <row r="6638" spans="1:9">
      <c r="A6638" s="257" t="s">
        <v>7736</v>
      </c>
      <c r="B6638" s="9">
        <v>7</v>
      </c>
      <c r="C6638" s="257" t="s">
        <v>13417</v>
      </c>
      <c r="D6638" s="9">
        <v>278713.61521530151</v>
      </c>
      <c r="E6638" s="9">
        <v>1724929.0217895508</v>
      </c>
      <c r="F6638" s="257" t="s">
        <v>17288</v>
      </c>
      <c r="G6638" s="9"/>
      <c r="H6638" s="257" t="s">
        <v>24642</v>
      </c>
      <c r="I6638" s="9">
        <v>4</v>
      </c>
    </row>
    <row r="6639" spans="1:9">
      <c r="A6639" s="257" t="s">
        <v>7737</v>
      </c>
      <c r="B6639" s="9">
        <v>7</v>
      </c>
      <c r="C6639" s="257" t="s">
        <v>13418</v>
      </c>
      <c r="D6639" s="9">
        <v>2400038124.2348981</v>
      </c>
      <c r="E6639" s="9">
        <v>1724929.0217895508</v>
      </c>
      <c r="F6639" s="257" t="s">
        <v>17288</v>
      </c>
      <c r="G6639" s="9"/>
      <c r="H6639" s="257" t="s">
        <v>24643</v>
      </c>
      <c r="I6639" s="9">
        <v>4</v>
      </c>
    </row>
    <row r="6640" spans="1:9">
      <c r="A6640" s="257" t="s">
        <v>7738</v>
      </c>
      <c r="B6640" s="9">
        <v>7</v>
      </c>
      <c r="C6640" s="257" t="s">
        <v>13419</v>
      </c>
      <c r="D6640" s="9">
        <v>0.16157975875792635</v>
      </c>
      <c r="E6640" s="9">
        <v>1724929.0217895508</v>
      </c>
      <c r="F6640" s="257" t="s">
        <v>17288</v>
      </c>
      <c r="G6640" s="9"/>
      <c r="H6640" s="257" t="s">
        <v>24644</v>
      </c>
      <c r="I6640" s="9">
        <v>4</v>
      </c>
    </row>
    <row r="6641" spans="1:9">
      <c r="A6641" s="257" t="s">
        <v>7739</v>
      </c>
      <c r="B6641" s="9">
        <v>7</v>
      </c>
      <c r="C6641" s="257" t="s">
        <v>13420</v>
      </c>
      <c r="D6641" s="9">
        <v>1391.3836998028744</v>
      </c>
      <c r="E6641" s="9">
        <v>1724929.0217895508</v>
      </c>
      <c r="F6641" s="257" t="s">
        <v>17288</v>
      </c>
      <c r="G6641" s="9"/>
      <c r="H6641" s="257" t="s">
        <v>24645</v>
      </c>
      <c r="I6641" s="9">
        <v>4</v>
      </c>
    </row>
    <row r="6642" spans="1:9">
      <c r="A6642" s="257" t="s">
        <v>7740</v>
      </c>
      <c r="B6642" s="9">
        <v>8</v>
      </c>
      <c r="C6642" s="257" t="s">
        <v>13421</v>
      </c>
      <c r="D6642" s="9">
        <v>1369300.6716537476</v>
      </c>
      <c r="E6642" s="9">
        <v>1724851.1857852936</v>
      </c>
      <c r="F6642" s="257" t="s">
        <v>17289</v>
      </c>
      <c r="G6642" s="9"/>
      <c r="H6642" s="257" t="s">
        <v>24646</v>
      </c>
      <c r="I6642" s="9">
        <v>4</v>
      </c>
    </row>
    <row r="6643" spans="1:9">
      <c r="A6643" s="257" t="s">
        <v>7741</v>
      </c>
      <c r="B6643" s="9">
        <v>8</v>
      </c>
      <c r="C6643" s="257" t="s">
        <v>13422</v>
      </c>
      <c r="D6643" s="9">
        <v>7437508738.2445278</v>
      </c>
      <c r="E6643" s="9">
        <v>1724851.1857852936</v>
      </c>
      <c r="F6643" s="257" t="s">
        <v>17289</v>
      </c>
      <c r="G6643" s="9"/>
      <c r="H6643" s="257" t="s">
        <v>24647</v>
      </c>
      <c r="I6643" s="9">
        <v>4</v>
      </c>
    </row>
    <row r="6644" spans="1:9">
      <c r="A6644" s="257" t="s">
        <v>7742</v>
      </c>
      <c r="B6644" s="9">
        <v>8</v>
      </c>
      <c r="C6644" s="257" t="s">
        <v>13423</v>
      </c>
      <c r="D6644" s="9">
        <v>0.79386597692503524</v>
      </c>
      <c r="E6644" s="9">
        <v>1724851.1857852936</v>
      </c>
      <c r="F6644" s="257" t="s">
        <v>17289</v>
      </c>
      <c r="G6644" s="9"/>
      <c r="H6644" s="257" t="s">
        <v>24648</v>
      </c>
      <c r="I6644" s="9">
        <v>4</v>
      </c>
    </row>
    <row r="6645" spans="1:9">
      <c r="A6645" s="257" t="s">
        <v>7743</v>
      </c>
      <c r="B6645" s="9">
        <v>8</v>
      </c>
      <c r="C6645" s="257" t="s">
        <v>13424</v>
      </c>
      <c r="D6645" s="9">
        <v>4311.9712584702575</v>
      </c>
      <c r="E6645" s="9">
        <v>1724851.1857852936</v>
      </c>
      <c r="F6645" s="257" t="s">
        <v>17289</v>
      </c>
      <c r="G6645" s="9"/>
      <c r="H6645" s="257" t="s">
        <v>24649</v>
      </c>
      <c r="I6645" s="9">
        <v>4</v>
      </c>
    </row>
    <row r="6646" spans="1:9">
      <c r="A6646" s="257" t="s">
        <v>7744</v>
      </c>
      <c r="B6646" s="9">
        <v>8</v>
      </c>
      <c r="C6646" s="257" t="s">
        <v>13425</v>
      </c>
      <c r="D6646" s="9">
        <v>0</v>
      </c>
      <c r="E6646" s="9">
        <v>1724851.1857852936</v>
      </c>
      <c r="F6646" s="257" t="s">
        <v>17290</v>
      </c>
      <c r="G6646" s="9"/>
      <c r="H6646" s="257" t="s">
        <v>24650</v>
      </c>
      <c r="I6646" s="9">
        <v>4</v>
      </c>
    </row>
    <row r="6647" spans="1:9">
      <c r="A6647" s="257" t="s">
        <v>7745</v>
      </c>
      <c r="B6647" s="9">
        <v>8</v>
      </c>
      <c r="C6647" s="257" t="s">
        <v>13426</v>
      </c>
      <c r="D6647" s="9">
        <v>0</v>
      </c>
      <c r="E6647" s="9">
        <v>1724851.1857852936</v>
      </c>
      <c r="F6647" s="257" t="s">
        <v>17290</v>
      </c>
      <c r="G6647" s="9"/>
      <c r="H6647" s="257" t="s">
        <v>24651</v>
      </c>
      <c r="I6647" s="9">
        <v>4</v>
      </c>
    </row>
    <row r="6648" spans="1:9">
      <c r="A6648" s="257" t="s">
        <v>7746</v>
      </c>
      <c r="B6648" s="9">
        <v>8</v>
      </c>
      <c r="C6648" s="257" t="s">
        <v>13427</v>
      </c>
      <c r="D6648" s="9">
        <v>0</v>
      </c>
      <c r="E6648" s="9">
        <v>1724851.1857852936</v>
      </c>
      <c r="F6648" s="257" t="s">
        <v>17290</v>
      </c>
      <c r="G6648" s="9"/>
      <c r="H6648" s="257" t="s">
        <v>24652</v>
      </c>
      <c r="I6648" s="9">
        <v>4</v>
      </c>
    </row>
    <row r="6649" spans="1:9">
      <c r="A6649" s="257" t="s">
        <v>7747</v>
      </c>
      <c r="B6649" s="9">
        <v>8</v>
      </c>
      <c r="C6649" s="257" t="s">
        <v>13428</v>
      </c>
      <c r="D6649" s="9">
        <v>0</v>
      </c>
      <c r="E6649" s="9">
        <v>1724851.1857852936</v>
      </c>
      <c r="F6649" s="257" t="s">
        <v>17290</v>
      </c>
      <c r="G6649" s="9"/>
      <c r="H6649" s="257" t="s">
        <v>24653</v>
      </c>
      <c r="I6649" s="9">
        <v>4</v>
      </c>
    </row>
    <row r="6650" spans="1:9">
      <c r="A6650" s="257" t="s">
        <v>7748</v>
      </c>
      <c r="B6650" s="9">
        <v>8</v>
      </c>
      <c r="C6650" s="257" t="s">
        <v>13429</v>
      </c>
      <c r="D6650" s="9">
        <v>1446748.3887634277</v>
      </c>
      <c r="E6650" s="9">
        <v>1724851.1857852936</v>
      </c>
      <c r="F6650" s="257" t="s">
        <v>17291</v>
      </c>
      <c r="G6650" s="9"/>
      <c r="H6650" s="257" t="s">
        <v>24654</v>
      </c>
      <c r="I6650" s="9">
        <v>4</v>
      </c>
    </row>
    <row r="6651" spans="1:9">
      <c r="A6651" s="257" t="s">
        <v>7749</v>
      </c>
      <c r="B6651" s="9">
        <v>8</v>
      </c>
      <c r="C6651" s="257" t="s">
        <v>13430</v>
      </c>
      <c r="D6651" s="9">
        <v>570021555.98470545</v>
      </c>
      <c r="E6651" s="9">
        <v>1724851.1857852936</v>
      </c>
      <c r="F6651" s="257" t="s">
        <v>17291</v>
      </c>
      <c r="G6651" s="9"/>
      <c r="H6651" s="257" t="s">
        <v>24655</v>
      </c>
      <c r="I6651" s="9">
        <v>4</v>
      </c>
    </row>
    <row r="6652" spans="1:9">
      <c r="A6652" s="257" t="s">
        <v>7750</v>
      </c>
      <c r="B6652" s="9">
        <v>8</v>
      </c>
      <c r="C6652" s="257" t="s">
        <v>13431</v>
      </c>
      <c r="D6652" s="9">
        <v>0.8387670778130053</v>
      </c>
      <c r="E6652" s="9">
        <v>1724851.1857852936</v>
      </c>
      <c r="F6652" s="257" t="s">
        <v>17291</v>
      </c>
      <c r="G6652" s="9"/>
      <c r="H6652" s="257" t="s">
        <v>24656</v>
      </c>
      <c r="I6652" s="9">
        <v>4</v>
      </c>
    </row>
    <row r="6653" spans="1:9">
      <c r="A6653" s="257" t="s">
        <v>7751</v>
      </c>
      <c r="B6653" s="9">
        <v>8</v>
      </c>
      <c r="C6653" s="257" t="s">
        <v>13432</v>
      </c>
      <c r="D6653" s="9">
        <v>330.47578868387126</v>
      </c>
      <c r="E6653" s="9">
        <v>1724851.1857852936</v>
      </c>
      <c r="F6653" s="257" t="s">
        <v>17291</v>
      </c>
      <c r="G6653" s="9"/>
      <c r="H6653" s="257" t="s">
        <v>24657</v>
      </c>
      <c r="I6653" s="9">
        <v>4</v>
      </c>
    </row>
    <row r="6654" spans="1:9">
      <c r="A6654" s="257" t="s">
        <v>7752</v>
      </c>
      <c r="B6654" s="9">
        <v>8</v>
      </c>
      <c r="C6654" s="257" t="s">
        <v>13433</v>
      </c>
      <c r="D6654" s="9">
        <v>846226.41934204102</v>
      </c>
      <c r="E6654" s="9">
        <v>1724851.1857852936</v>
      </c>
      <c r="F6654" s="257" t="s">
        <v>17292</v>
      </c>
      <c r="G6654" s="9"/>
      <c r="H6654" s="257" t="s">
        <v>24658</v>
      </c>
      <c r="I6654" s="9">
        <v>4</v>
      </c>
    </row>
    <row r="6655" spans="1:9">
      <c r="A6655" s="257" t="s">
        <v>7753</v>
      </c>
      <c r="B6655" s="9">
        <v>8</v>
      </c>
      <c r="C6655" s="257" t="s">
        <v>13434</v>
      </c>
      <c r="D6655" s="9">
        <v>215558708.53588554</v>
      </c>
      <c r="E6655" s="9">
        <v>1724851.1857852936</v>
      </c>
      <c r="F6655" s="257" t="s">
        <v>17292</v>
      </c>
      <c r="G6655" s="9"/>
      <c r="H6655" s="257" t="s">
        <v>24659</v>
      </c>
      <c r="I6655" s="9">
        <v>4</v>
      </c>
    </row>
    <row r="6656" spans="1:9">
      <c r="A6656" s="257" t="s">
        <v>7754</v>
      </c>
      <c r="B6656" s="9">
        <v>8</v>
      </c>
      <c r="C6656" s="257" t="s">
        <v>13435</v>
      </c>
      <c r="D6656" s="9">
        <v>0.49060836454524015</v>
      </c>
      <c r="E6656" s="9">
        <v>1724851.1857852936</v>
      </c>
      <c r="F6656" s="257" t="s">
        <v>17292</v>
      </c>
      <c r="G6656" s="9"/>
      <c r="H6656" s="257" t="s">
        <v>24660</v>
      </c>
      <c r="I6656" s="9">
        <v>4</v>
      </c>
    </row>
    <row r="6657" spans="1:9">
      <c r="A6657" s="257" t="s">
        <v>7755</v>
      </c>
      <c r="B6657" s="9">
        <v>8</v>
      </c>
      <c r="C6657" s="257" t="s">
        <v>13436</v>
      </c>
      <c r="D6657" s="9">
        <v>124.97235141925914</v>
      </c>
      <c r="E6657" s="9">
        <v>1724851.1857852936</v>
      </c>
      <c r="F6657" s="257" t="s">
        <v>17292</v>
      </c>
      <c r="G6657" s="9"/>
      <c r="H6657" s="257" t="s">
        <v>24661</v>
      </c>
      <c r="I6657" s="9">
        <v>4</v>
      </c>
    </row>
    <row r="6658" spans="1:9">
      <c r="A6658" s="257" t="s">
        <v>7756</v>
      </c>
      <c r="B6658" s="9">
        <v>8</v>
      </c>
      <c r="C6658" s="257" t="s">
        <v>13437</v>
      </c>
      <c r="D6658" s="9">
        <v>176570.37480163574</v>
      </c>
      <c r="E6658" s="9">
        <v>1724851.1857852936</v>
      </c>
      <c r="F6658" s="257" t="s">
        <v>17293</v>
      </c>
      <c r="G6658" s="9"/>
      <c r="H6658" s="257" t="s">
        <v>24662</v>
      </c>
      <c r="I6658" s="9">
        <v>4</v>
      </c>
    </row>
    <row r="6659" spans="1:9">
      <c r="A6659" s="257" t="s">
        <v>7757</v>
      </c>
      <c r="B6659" s="9">
        <v>8</v>
      </c>
      <c r="C6659" s="257" t="s">
        <v>13438</v>
      </c>
      <c r="D6659" s="9">
        <v>643556175.02215362</v>
      </c>
      <c r="E6659" s="9">
        <v>1724851.1857852936</v>
      </c>
      <c r="F6659" s="257" t="s">
        <v>17293</v>
      </c>
      <c r="G6659" s="9"/>
      <c r="H6659" s="257" t="s">
        <v>24663</v>
      </c>
      <c r="I6659" s="9">
        <v>4</v>
      </c>
    </row>
    <row r="6660" spans="1:9">
      <c r="A6660" s="257" t="s">
        <v>7758</v>
      </c>
      <c r="B6660" s="9">
        <v>8</v>
      </c>
      <c r="C6660" s="257" t="s">
        <v>13439</v>
      </c>
      <c r="D6660" s="9">
        <v>0.10236846880285874</v>
      </c>
      <c r="E6660" s="9">
        <v>1724851.1857852936</v>
      </c>
      <c r="F6660" s="257" t="s">
        <v>17293</v>
      </c>
      <c r="G6660" s="9"/>
      <c r="H6660" s="257" t="s">
        <v>24664</v>
      </c>
      <c r="I6660" s="9">
        <v>4</v>
      </c>
    </row>
    <row r="6661" spans="1:9">
      <c r="A6661" s="257" t="s">
        <v>7759</v>
      </c>
      <c r="B6661" s="9">
        <v>8</v>
      </c>
      <c r="C6661" s="257" t="s">
        <v>13440</v>
      </c>
      <c r="D6661" s="9">
        <v>373.10823120613395</v>
      </c>
      <c r="E6661" s="9">
        <v>1724851.1857852936</v>
      </c>
      <c r="F6661" s="257" t="s">
        <v>17293</v>
      </c>
      <c r="G6661" s="9"/>
      <c r="H6661" s="257" t="s">
        <v>24665</v>
      </c>
      <c r="I6661" s="9">
        <v>4</v>
      </c>
    </row>
    <row r="6662" spans="1:9">
      <c r="A6662" s="257" t="s">
        <v>7760</v>
      </c>
      <c r="B6662" s="9">
        <v>8</v>
      </c>
      <c r="C6662" s="257" t="s">
        <v>13441</v>
      </c>
      <c r="D6662" s="9">
        <v>41120.653701782227</v>
      </c>
      <c r="E6662" s="9">
        <v>1724851.1857852936</v>
      </c>
      <c r="F6662" s="257" t="s">
        <v>17294</v>
      </c>
      <c r="G6662" s="9"/>
      <c r="H6662" s="257" t="s">
        <v>24666</v>
      </c>
      <c r="I6662" s="9">
        <v>4</v>
      </c>
    </row>
    <row r="6663" spans="1:9">
      <c r="A6663" s="257" t="s">
        <v>7761</v>
      </c>
      <c r="B6663" s="9">
        <v>8</v>
      </c>
      <c r="C6663" s="257" t="s">
        <v>13442</v>
      </c>
      <c r="D6663" s="9">
        <v>426277044.82101381</v>
      </c>
      <c r="E6663" s="9">
        <v>1724851.1857852936</v>
      </c>
      <c r="F6663" s="257" t="s">
        <v>17294</v>
      </c>
      <c r="G6663" s="9"/>
      <c r="H6663" s="257" t="s">
        <v>24667</v>
      </c>
      <c r="I6663" s="9">
        <v>4</v>
      </c>
    </row>
    <row r="6664" spans="1:9">
      <c r="A6664" s="257" t="s">
        <v>7762</v>
      </c>
      <c r="B6664" s="9">
        <v>8</v>
      </c>
      <c r="C6664" s="257" t="s">
        <v>13443</v>
      </c>
      <c r="D6664" s="9">
        <v>2.3840116782631735E-2</v>
      </c>
      <c r="E6664" s="9">
        <v>1724851.1857852936</v>
      </c>
      <c r="F6664" s="257" t="s">
        <v>17294</v>
      </c>
      <c r="G6664" s="9"/>
      <c r="H6664" s="257" t="s">
        <v>24668</v>
      </c>
      <c r="I6664" s="9">
        <v>4</v>
      </c>
    </row>
    <row r="6665" spans="1:9">
      <c r="A6665" s="257" t="s">
        <v>7763</v>
      </c>
      <c r="B6665" s="9">
        <v>8</v>
      </c>
      <c r="C6665" s="257" t="s">
        <v>13444</v>
      </c>
      <c r="D6665" s="9">
        <v>247.13844784640801</v>
      </c>
      <c r="E6665" s="9">
        <v>1724851.1857852936</v>
      </c>
      <c r="F6665" s="257" t="s">
        <v>17294</v>
      </c>
      <c r="G6665" s="9"/>
      <c r="H6665" s="257" t="s">
        <v>24669</v>
      </c>
      <c r="I6665" s="9">
        <v>4</v>
      </c>
    </row>
    <row r="6666" spans="1:9">
      <c r="A6666" s="257" t="s">
        <v>7764</v>
      </c>
      <c r="B6666" s="9">
        <v>8</v>
      </c>
      <c r="C6666" s="257" t="s">
        <v>13445</v>
      </c>
      <c r="D6666" s="9">
        <v>1528923.748840332</v>
      </c>
      <c r="E6666" s="9">
        <v>1724851.1857852936</v>
      </c>
      <c r="F6666" s="257" t="s">
        <v>17295</v>
      </c>
      <c r="G6666" s="9"/>
      <c r="H6666" s="257" t="s">
        <v>24670</v>
      </c>
      <c r="I6666" s="9">
        <v>4</v>
      </c>
    </row>
    <row r="6667" spans="1:9">
      <c r="A6667" s="257" t="s">
        <v>7765</v>
      </c>
      <c r="B6667" s="9">
        <v>8</v>
      </c>
      <c r="C6667" s="257" t="s">
        <v>13446</v>
      </c>
      <c r="D6667" s="9">
        <v>1855413484.3637583</v>
      </c>
      <c r="E6667" s="9">
        <v>1724851.1857852936</v>
      </c>
      <c r="F6667" s="257" t="s">
        <v>17295</v>
      </c>
      <c r="G6667" s="9"/>
      <c r="H6667" s="257" t="s">
        <v>24671</v>
      </c>
      <c r="I6667" s="9">
        <v>4</v>
      </c>
    </row>
    <row r="6668" spans="1:9">
      <c r="A6668" s="257" t="s">
        <v>7766</v>
      </c>
      <c r="B6668" s="9">
        <v>8</v>
      </c>
      <c r="C6668" s="257" t="s">
        <v>13447</v>
      </c>
      <c r="D6668" s="9">
        <v>0.88640907774559152</v>
      </c>
      <c r="E6668" s="9">
        <v>1724851.1857852936</v>
      </c>
      <c r="F6668" s="257" t="s">
        <v>17295</v>
      </c>
      <c r="G6668" s="9"/>
      <c r="H6668" s="257" t="s">
        <v>24672</v>
      </c>
      <c r="I6668" s="9">
        <v>4</v>
      </c>
    </row>
    <row r="6669" spans="1:9">
      <c r="A6669" s="257" t="s">
        <v>7767</v>
      </c>
      <c r="B6669" s="9">
        <v>8</v>
      </c>
      <c r="C6669" s="257" t="s">
        <v>13448</v>
      </c>
      <c r="D6669" s="9">
        <v>1075.6948191556723</v>
      </c>
      <c r="E6669" s="9">
        <v>1724851.1857852936</v>
      </c>
      <c r="F6669" s="257" t="s">
        <v>17295</v>
      </c>
      <c r="G6669" s="9"/>
      <c r="H6669" s="257" t="s">
        <v>24673</v>
      </c>
      <c r="I6669" s="9">
        <v>4</v>
      </c>
    </row>
    <row r="6670" spans="1:9">
      <c r="A6670" s="257" t="s">
        <v>7768</v>
      </c>
      <c r="B6670" s="9">
        <v>8</v>
      </c>
      <c r="C6670" s="257" t="s">
        <v>13449</v>
      </c>
      <c r="D6670" s="9">
        <v>904264.09834289551</v>
      </c>
      <c r="E6670" s="9">
        <v>1724851.1857852936</v>
      </c>
      <c r="F6670" s="257" t="s">
        <v>17296</v>
      </c>
      <c r="G6670" s="9"/>
      <c r="H6670" s="257" t="s">
        <v>24674</v>
      </c>
      <c r="I6670" s="9">
        <v>4</v>
      </c>
    </row>
    <row r="6671" spans="1:9">
      <c r="A6671" s="257" t="s">
        <v>7769</v>
      </c>
      <c r="B6671" s="9">
        <v>8</v>
      </c>
      <c r="C6671" s="257" t="s">
        <v>13450</v>
      </c>
      <c r="D6671" s="9">
        <v>1285391928.3790529</v>
      </c>
      <c r="E6671" s="9">
        <v>1724851.1857852936</v>
      </c>
      <c r="F6671" s="257" t="s">
        <v>17296</v>
      </c>
      <c r="G6671" s="9"/>
      <c r="H6671" s="257" t="s">
        <v>24675</v>
      </c>
      <c r="I6671" s="9">
        <v>4</v>
      </c>
    </row>
    <row r="6672" spans="1:9">
      <c r="A6672" s="257" t="s">
        <v>7770</v>
      </c>
      <c r="B6672" s="9">
        <v>8</v>
      </c>
      <c r="C6672" s="257" t="s">
        <v>13451</v>
      </c>
      <c r="D6672" s="9">
        <v>0.52425629862740908</v>
      </c>
      <c r="E6672" s="9">
        <v>1724851.1857852936</v>
      </c>
      <c r="F6672" s="257" t="s">
        <v>17296</v>
      </c>
      <c r="G6672" s="9"/>
      <c r="H6672" s="257" t="s">
        <v>24676</v>
      </c>
      <c r="I6672" s="9">
        <v>4</v>
      </c>
    </row>
    <row r="6673" spans="1:9">
      <c r="A6673" s="257" t="s">
        <v>7771</v>
      </c>
      <c r="B6673" s="9">
        <v>8</v>
      </c>
      <c r="C6673" s="257" t="s">
        <v>13452</v>
      </c>
      <c r="D6673" s="9">
        <v>745.21903047180103</v>
      </c>
      <c r="E6673" s="9">
        <v>1724851.1857852936</v>
      </c>
      <c r="F6673" s="257" t="s">
        <v>17296</v>
      </c>
      <c r="G6673" s="9"/>
      <c r="H6673" s="257" t="s">
        <v>24677</v>
      </c>
      <c r="I6673" s="9">
        <v>4</v>
      </c>
    </row>
    <row r="6674" spans="1:9">
      <c r="A6674" s="257" t="s">
        <v>7772</v>
      </c>
      <c r="B6674" s="9">
        <v>8</v>
      </c>
      <c r="C6674" s="257" t="s">
        <v>13453</v>
      </c>
      <c r="D6674" s="9">
        <v>1724851.1857852936</v>
      </c>
      <c r="E6674" s="9">
        <v>1724851.1857852936</v>
      </c>
      <c r="F6674" s="257" t="s">
        <v>17297</v>
      </c>
      <c r="G6674" s="9"/>
      <c r="H6674" s="257" t="s">
        <v>24678</v>
      </c>
      <c r="I6674" s="9">
        <v>4</v>
      </c>
    </row>
    <row r="6675" spans="1:9">
      <c r="A6675" s="257" t="s">
        <v>7773</v>
      </c>
      <c r="B6675" s="9">
        <v>8</v>
      </c>
      <c r="C6675" s="257" t="s">
        <v>13454</v>
      </c>
      <c r="D6675" s="9">
        <v>18654943370.191418</v>
      </c>
      <c r="E6675" s="9">
        <v>1724851.1857852936</v>
      </c>
      <c r="F6675" s="257" t="s">
        <v>17297</v>
      </c>
      <c r="G6675" s="9"/>
      <c r="H6675" s="257" t="s">
        <v>24679</v>
      </c>
      <c r="I6675" s="9">
        <v>4</v>
      </c>
    </row>
    <row r="6676" spans="1:9">
      <c r="A6676" s="257" t="s">
        <v>7774</v>
      </c>
      <c r="B6676" s="9">
        <v>8</v>
      </c>
      <c r="C6676" s="257" t="s">
        <v>13455</v>
      </c>
      <c r="D6676" s="9">
        <v>1</v>
      </c>
      <c r="E6676" s="9">
        <v>1724851.1857852936</v>
      </c>
      <c r="F6676" s="257" t="s">
        <v>17297</v>
      </c>
      <c r="G6676" s="9"/>
      <c r="H6676" s="257" t="s">
        <v>24680</v>
      </c>
      <c r="I6676" s="9">
        <v>4</v>
      </c>
    </row>
    <row r="6677" spans="1:9">
      <c r="A6677" s="257" t="s">
        <v>7775</v>
      </c>
      <c r="B6677" s="9">
        <v>8</v>
      </c>
      <c r="C6677" s="257" t="s">
        <v>13456</v>
      </c>
      <c r="D6677" s="9">
        <v>10815.392959073255</v>
      </c>
      <c r="E6677" s="9">
        <v>1724851.1857852936</v>
      </c>
      <c r="F6677" s="257" t="s">
        <v>17297</v>
      </c>
      <c r="G6677" s="9"/>
      <c r="H6677" s="257" t="s">
        <v>24681</v>
      </c>
      <c r="I6677" s="9">
        <v>4</v>
      </c>
    </row>
    <row r="6678" spans="1:9">
      <c r="A6678" s="257" t="s">
        <v>7776</v>
      </c>
      <c r="B6678" s="9">
        <v>8</v>
      </c>
      <c r="C6678" s="257" t="s">
        <v>13457</v>
      </c>
      <c r="D6678" s="9">
        <v>1722139.7912540436</v>
      </c>
      <c r="E6678" s="9">
        <v>1724851.1857852936</v>
      </c>
      <c r="F6678" s="257" t="s">
        <v>17298</v>
      </c>
      <c r="G6678" s="9"/>
      <c r="H6678" s="257" t="s">
        <v>24682</v>
      </c>
      <c r="I6678" s="9">
        <v>4</v>
      </c>
    </row>
    <row r="6679" spans="1:9">
      <c r="A6679" s="257" t="s">
        <v>7777</v>
      </c>
      <c r="B6679" s="9">
        <v>8</v>
      </c>
      <c r="C6679" s="257" t="s">
        <v>13458</v>
      </c>
      <c r="D6679" s="9">
        <v>16799529885.82766</v>
      </c>
      <c r="E6679" s="9">
        <v>1724851.1857852936</v>
      </c>
      <c r="F6679" s="257" t="s">
        <v>17298</v>
      </c>
      <c r="G6679" s="9"/>
      <c r="H6679" s="257" t="s">
        <v>24683</v>
      </c>
      <c r="I6679" s="9">
        <v>4</v>
      </c>
    </row>
    <row r="6680" spans="1:9">
      <c r="A6680" s="257" t="s">
        <v>7778</v>
      </c>
      <c r="B6680" s="9">
        <v>8</v>
      </c>
      <c r="C6680" s="257" t="s">
        <v>13459</v>
      </c>
      <c r="D6680" s="9">
        <v>0.99842804147187014</v>
      </c>
      <c r="E6680" s="9">
        <v>1724851.1857852936</v>
      </c>
      <c r="F6680" s="257" t="s">
        <v>17298</v>
      </c>
      <c r="G6680" s="9"/>
      <c r="H6680" s="257" t="s">
        <v>24684</v>
      </c>
      <c r="I6680" s="9">
        <v>4</v>
      </c>
    </row>
    <row r="6681" spans="1:9">
      <c r="A6681" s="257" t="s">
        <v>7779</v>
      </c>
      <c r="B6681" s="9">
        <v>8</v>
      </c>
      <c r="C6681" s="257" t="s">
        <v>13460</v>
      </c>
      <c r="D6681" s="9">
        <v>9739.698139917582</v>
      </c>
      <c r="E6681" s="9">
        <v>1724851.1857852936</v>
      </c>
      <c r="F6681" s="257" t="s">
        <v>17298</v>
      </c>
      <c r="G6681" s="9"/>
      <c r="H6681" s="257" t="s">
        <v>24685</v>
      </c>
      <c r="I6681" s="9">
        <v>4</v>
      </c>
    </row>
    <row r="6682" spans="1:9">
      <c r="A6682" s="257" t="s">
        <v>7780</v>
      </c>
      <c r="B6682" s="9">
        <v>8</v>
      </c>
      <c r="C6682" s="257" t="s">
        <v>13461</v>
      </c>
      <c r="D6682" s="9">
        <v>1724851.1857852936</v>
      </c>
      <c r="E6682" s="9">
        <v>1724851.1857852936</v>
      </c>
      <c r="F6682" s="257" t="s">
        <v>17299</v>
      </c>
      <c r="G6682" s="9"/>
      <c r="H6682" s="257" t="s">
        <v>24686</v>
      </c>
      <c r="I6682" s="9">
        <v>4</v>
      </c>
    </row>
    <row r="6683" spans="1:9">
      <c r="A6683" s="257" t="s">
        <v>7781</v>
      </c>
      <c r="B6683" s="9">
        <v>8</v>
      </c>
      <c r="C6683" s="257" t="s">
        <v>13462</v>
      </c>
      <c r="D6683" s="9">
        <v>17369551441.812363</v>
      </c>
      <c r="E6683" s="9">
        <v>1724851.1857852936</v>
      </c>
      <c r="F6683" s="257" t="s">
        <v>17299</v>
      </c>
      <c r="G6683" s="9"/>
      <c r="H6683" s="257" t="s">
        <v>24687</v>
      </c>
      <c r="I6683" s="9">
        <v>4</v>
      </c>
    </row>
    <row r="6684" spans="1:9">
      <c r="A6684" s="257" t="s">
        <v>7782</v>
      </c>
      <c r="B6684" s="9">
        <v>8</v>
      </c>
      <c r="C6684" s="257" t="s">
        <v>13463</v>
      </c>
      <c r="D6684" s="9">
        <v>1</v>
      </c>
      <c r="E6684" s="9">
        <v>1724851.1857852936</v>
      </c>
      <c r="F6684" s="257" t="s">
        <v>17299</v>
      </c>
      <c r="G6684" s="9"/>
      <c r="H6684" s="257" t="s">
        <v>24688</v>
      </c>
      <c r="I6684" s="9">
        <v>4</v>
      </c>
    </row>
    <row r="6685" spans="1:9">
      <c r="A6685" s="257" t="s">
        <v>7783</v>
      </c>
      <c r="B6685" s="9">
        <v>8</v>
      </c>
      <c r="C6685" s="257" t="s">
        <v>13464</v>
      </c>
      <c r="D6685" s="9">
        <v>10070.173928601453</v>
      </c>
      <c r="E6685" s="9">
        <v>1724851.1857852936</v>
      </c>
      <c r="F6685" s="257" t="s">
        <v>17299</v>
      </c>
      <c r="G6685" s="9"/>
      <c r="H6685" s="257" t="s">
        <v>24689</v>
      </c>
      <c r="I6685" s="9">
        <v>4</v>
      </c>
    </row>
    <row r="6686" spans="1:9">
      <c r="A6686" s="257" t="s">
        <v>7784</v>
      </c>
      <c r="B6686" s="9">
        <v>8</v>
      </c>
      <c r="C6686" s="257" t="s">
        <v>13465</v>
      </c>
      <c r="D6686" s="9">
        <v>1724851.1857852936</v>
      </c>
      <c r="E6686" s="9">
        <v>1724851.1857852936</v>
      </c>
      <c r="F6686" s="257" t="s">
        <v>17300</v>
      </c>
      <c r="G6686" s="9"/>
      <c r="H6686" s="257" t="s">
        <v>24690</v>
      </c>
      <c r="I6686" s="9">
        <v>4</v>
      </c>
    </row>
    <row r="6687" spans="1:9">
      <c r="A6687" s="257" t="s">
        <v>7785</v>
      </c>
      <c r="B6687" s="9">
        <v>8</v>
      </c>
      <c r="C6687" s="257" t="s">
        <v>13466</v>
      </c>
      <c r="D6687" s="9">
        <v>2879761595.3684936</v>
      </c>
      <c r="E6687" s="9">
        <v>1724851.1857852936</v>
      </c>
      <c r="F6687" s="257" t="s">
        <v>17300</v>
      </c>
      <c r="G6687" s="9"/>
      <c r="H6687" s="257" t="s">
        <v>24691</v>
      </c>
      <c r="I6687" s="9">
        <v>4</v>
      </c>
    </row>
    <row r="6688" spans="1:9">
      <c r="A6688" s="257" t="s">
        <v>7786</v>
      </c>
      <c r="B6688" s="9">
        <v>8</v>
      </c>
      <c r="C6688" s="257" t="s">
        <v>13467</v>
      </c>
      <c r="D6688" s="9">
        <v>1</v>
      </c>
      <c r="E6688" s="9">
        <v>1724851.1857852936</v>
      </c>
      <c r="F6688" s="257" t="s">
        <v>17300</v>
      </c>
      <c r="G6688" s="9"/>
      <c r="H6688" s="257" t="s">
        <v>24692</v>
      </c>
      <c r="I6688" s="9">
        <v>4</v>
      </c>
    </row>
    <row r="6689" spans="1:9">
      <c r="A6689" s="257" t="s">
        <v>7787</v>
      </c>
      <c r="B6689" s="9">
        <v>8</v>
      </c>
      <c r="C6689" s="257" t="s">
        <v>13468</v>
      </c>
      <c r="D6689" s="9">
        <v>1669.5710442158465</v>
      </c>
      <c r="E6689" s="9">
        <v>1724851.1857852936</v>
      </c>
      <c r="F6689" s="257" t="s">
        <v>17300</v>
      </c>
      <c r="G6689" s="9"/>
      <c r="H6689" s="257" t="s">
        <v>24693</v>
      </c>
      <c r="I6689" s="9">
        <v>4</v>
      </c>
    </row>
    <row r="6690" spans="1:9">
      <c r="A6690" s="257" t="s">
        <v>7788</v>
      </c>
      <c r="B6690" s="9">
        <v>8</v>
      </c>
      <c r="C6690" s="257" t="s">
        <v>13469</v>
      </c>
      <c r="D6690" s="9">
        <v>1399414.6637954712</v>
      </c>
      <c r="E6690" s="9">
        <v>1724851.1857852936</v>
      </c>
      <c r="F6690" s="257" t="s">
        <v>17301</v>
      </c>
      <c r="G6690" s="9"/>
      <c r="H6690" s="257" t="s">
        <v>24694</v>
      </c>
      <c r="I6690" s="9">
        <v>4</v>
      </c>
    </row>
    <row r="6691" spans="1:9">
      <c r="A6691" s="257" t="s">
        <v>7789</v>
      </c>
      <c r="B6691" s="9">
        <v>8</v>
      </c>
      <c r="C6691" s="257" t="s">
        <v>13470</v>
      </c>
      <c r="D6691" s="9">
        <v>5199914912.509407</v>
      </c>
      <c r="E6691" s="9">
        <v>1724851.1857852936</v>
      </c>
      <c r="F6691" s="257" t="s">
        <v>17301</v>
      </c>
      <c r="G6691" s="9"/>
      <c r="H6691" s="257" t="s">
        <v>24695</v>
      </c>
      <c r="I6691" s="9">
        <v>4</v>
      </c>
    </row>
    <row r="6692" spans="1:9">
      <c r="A6692" s="257" t="s">
        <v>7790</v>
      </c>
      <c r="B6692" s="9">
        <v>8</v>
      </c>
      <c r="C6692" s="257" t="s">
        <v>13471</v>
      </c>
      <c r="D6692" s="9">
        <v>0.81132486983701324</v>
      </c>
      <c r="E6692" s="9">
        <v>1724851.1857852936</v>
      </c>
      <c r="F6692" s="257" t="s">
        <v>17301</v>
      </c>
      <c r="G6692" s="9"/>
      <c r="H6692" s="257" t="s">
        <v>24696</v>
      </c>
      <c r="I6692" s="9">
        <v>4</v>
      </c>
    </row>
    <row r="6693" spans="1:9">
      <c r="A6693" s="257" t="s">
        <v>7791</v>
      </c>
      <c r="B6693" s="9">
        <v>8</v>
      </c>
      <c r="C6693" s="257" t="s">
        <v>13472</v>
      </c>
      <c r="D6693" s="9">
        <v>3014.7035033297552</v>
      </c>
      <c r="E6693" s="9">
        <v>1724851.1857852936</v>
      </c>
      <c r="F6693" s="257" t="s">
        <v>17301</v>
      </c>
      <c r="G6693" s="9"/>
      <c r="H6693" s="257" t="s">
        <v>24697</v>
      </c>
      <c r="I6693" s="9">
        <v>4</v>
      </c>
    </row>
    <row r="6694" spans="1:9">
      <c r="A6694" s="257" t="s">
        <v>7792</v>
      </c>
      <c r="B6694" s="9">
        <v>8</v>
      </c>
      <c r="C6694" s="257" t="s">
        <v>13473</v>
      </c>
      <c r="D6694" s="9">
        <v>1724851.1857852936</v>
      </c>
      <c r="E6694" s="9">
        <v>1724851.1857852936</v>
      </c>
      <c r="F6694" s="257" t="s">
        <v>17302</v>
      </c>
      <c r="G6694" s="9"/>
      <c r="H6694" s="257" t="s">
        <v>24698</v>
      </c>
      <c r="I6694" s="9">
        <v>4</v>
      </c>
    </row>
    <row r="6695" spans="1:9">
      <c r="A6695" s="257" t="s">
        <v>7793</v>
      </c>
      <c r="B6695" s="9">
        <v>8</v>
      </c>
      <c r="C6695" s="257" t="s">
        <v>13474</v>
      </c>
      <c r="D6695" s="9">
        <v>21999444798.337067</v>
      </c>
      <c r="E6695" s="9">
        <v>1724851.1857852936</v>
      </c>
      <c r="F6695" s="257" t="s">
        <v>17302</v>
      </c>
      <c r="G6695" s="9"/>
      <c r="H6695" s="257" t="s">
        <v>24699</v>
      </c>
      <c r="I6695" s="9">
        <v>4</v>
      </c>
    </row>
    <row r="6696" spans="1:9">
      <c r="A6696" s="257" t="s">
        <v>7794</v>
      </c>
      <c r="B6696" s="9">
        <v>8</v>
      </c>
      <c r="C6696" s="257" t="s">
        <v>13475</v>
      </c>
      <c r="D6696" s="9">
        <v>1</v>
      </c>
      <c r="E6696" s="9">
        <v>1724851.1857852936</v>
      </c>
      <c r="F6696" s="257" t="s">
        <v>17302</v>
      </c>
      <c r="G6696" s="9"/>
      <c r="H6696" s="257" t="s">
        <v>24700</v>
      </c>
      <c r="I6696" s="9">
        <v>4</v>
      </c>
    </row>
    <row r="6697" spans="1:9">
      <c r="A6697" s="257" t="s">
        <v>7795</v>
      </c>
      <c r="B6697" s="9">
        <v>8</v>
      </c>
      <c r="C6697" s="257" t="s">
        <v>13476</v>
      </c>
      <c r="D6697" s="9">
        <v>12754.401643247338</v>
      </c>
      <c r="E6697" s="9">
        <v>1724851.1857852936</v>
      </c>
      <c r="F6697" s="257" t="s">
        <v>17302</v>
      </c>
      <c r="G6697" s="9"/>
      <c r="H6697" s="257" t="s">
        <v>24701</v>
      </c>
      <c r="I6697" s="9">
        <v>4</v>
      </c>
    </row>
    <row r="6698" spans="1:9">
      <c r="A6698" s="257" t="s">
        <v>7796</v>
      </c>
      <c r="B6698" s="9">
        <v>8</v>
      </c>
      <c r="C6698" s="257" t="s">
        <v>13477</v>
      </c>
      <c r="D6698" s="9">
        <v>1724851.1857852936</v>
      </c>
      <c r="E6698" s="9">
        <v>1724851.1857852936</v>
      </c>
      <c r="F6698" s="257" t="s">
        <v>17303</v>
      </c>
      <c r="G6698" s="9"/>
      <c r="H6698" s="257" t="s">
        <v>24702</v>
      </c>
      <c r="I6698" s="9">
        <v>4</v>
      </c>
    </row>
    <row r="6699" spans="1:9">
      <c r="A6699" s="257" t="s">
        <v>7797</v>
      </c>
      <c r="B6699" s="9">
        <v>8</v>
      </c>
      <c r="C6699" s="257" t="s">
        <v>13478</v>
      </c>
      <c r="D6699" s="9">
        <v>22569466354.32177</v>
      </c>
      <c r="E6699" s="9">
        <v>1724851.1857852936</v>
      </c>
      <c r="F6699" s="257" t="s">
        <v>17303</v>
      </c>
      <c r="G6699" s="9"/>
      <c r="H6699" s="257" t="s">
        <v>24703</v>
      </c>
      <c r="I6699" s="9">
        <v>4</v>
      </c>
    </row>
    <row r="6700" spans="1:9">
      <c r="A6700" s="257" t="s">
        <v>7798</v>
      </c>
      <c r="B6700" s="9">
        <v>8</v>
      </c>
      <c r="C6700" s="257" t="s">
        <v>13479</v>
      </c>
      <c r="D6700" s="9">
        <v>1</v>
      </c>
      <c r="E6700" s="9">
        <v>1724851.1857852936</v>
      </c>
      <c r="F6700" s="257" t="s">
        <v>17303</v>
      </c>
      <c r="G6700" s="9"/>
      <c r="H6700" s="257" t="s">
        <v>24704</v>
      </c>
      <c r="I6700" s="9">
        <v>4</v>
      </c>
    </row>
    <row r="6701" spans="1:9">
      <c r="A6701" s="257" t="s">
        <v>7799</v>
      </c>
      <c r="B6701" s="9">
        <v>8</v>
      </c>
      <c r="C6701" s="257" t="s">
        <v>13480</v>
      </c>
      <c r="D6701" s="9">
        <v>13084.877431931207</v>
      </c>
      <c r="E6701" s="9">
        <v>1724851.1857852936</v>
      </c>
      <c r="F6701" s="257" t="s">
        <v>17303</v>
      </c>
      <c r="G6701" s="9"/>
      <c r="H6701" s="257" t="s">
        <v>24705</v>
      </c>
      <c r="I6701" s="9">
        <v>4</v>
      </c>
    </row>
    <row r="6702" spans="1:9">
      <c r="A6702" s="257" t="s">
        <v>7800</v>
      </c>
      <c r="B6702" s="9">
        <v>8</v>
      </c>
      <c r="C6702" s="257" t="s">
        <v>13481</v>
      </c>
      <c r="D6702" s="9">
        <v>1434055.2140808105</v>
      </c>
      <c r="E6702" s="9">
        <v>1724851.1857852936</v>
      </c>
      <c r="F6702" s="257" t="s">
        <v>17304</v>
      </c>
      <c r="G6702" s="9"/>
      <c r="H6702" s="257" t="s">
        <v>24706</v>
      </c>
      <c r="I6702" s="9">
        <v>4</v>
      </c>
    </row>
    <row r="6703" spans="1:9">
      <c r="A6703" s="257" t="s">
        <v>7801</v>
      </c>
      <c r="B6703" s="9">
        <v>8</v>
      </c>
      <c r="C6703" s="257" t="s">
        <v>13482</v>
      </c>
      <c r="D6703" s="9">
        <v>11041179681.87182</v>
      </c>
      <c r="E6703" s="9">
        <v>1724851.1857852936</v>
      </c>
      <c r="F6703" s="257" t="s">
        <v>17304</v>
      </c>
      <c r="G6703" s="9"/>
      <c r="H6703" s="257" t="s">
        <v>24707</v>
      </c>
      <c r="I6703" s="9">
        <v>4</v>
      </c>
    </row>
    <row r="6704" spans="1:9">
      <c r="A6704" s="257" t="s">
        <v>7802</v>
      </c>
      <c r="B6704" s="9">
        <v>8</v>
      </c>
      <c r="C6704" s="257" t="s">
        <v>13483</v>
      </c>
      <c r="D6704" s="9">
        <v>0.83140808082403417</v>
      </c>
      <c r="E6704" s="9">
        <v>1724851.1857852936</v>
      </c>
      <c r="F6704" s="257" t="s">
        <v>17304</v>
      </c>
      <c r="G6704" s="9"/>
      <c r="H6704" s="257" t="s">
        <v>24708</v>
      </c>
      <c r="I6704" s="9">
        <v>4</v>
      </c>
    </row>
    <row r="6705" spans="1:9">
      <c r="A6705" s="257" t="s">
        <v>7803</v>
      </c>
      <c r="B6705" s="9">
        <v>8</v>
      </c>
      <c r="C6705" s="257" t="s">
        <v>13484</v>
      </c>
      <c r="D6705" s="9">
        <v>6401.2361024901811</v>
      </c>
      <c r="E6705" s="9">
        <v>1724851.1857852936</v>
      </c>
      <c r="F6705" s="257" t="s">
        <v>17304</v>
      </c>
      <c r="G6705" s="9"/>
      <c r="H6705" s="257" t="s">
        <v>24709</v>
      </c>
      <c r="I6705" s="9">
        <v>4</v>
      </c>
    </row>
    <row r="6706" spans="1:9">
      <c r="A6706" s="257" t="s">
        <v>7804</v>
      </c>
      <c r="B6706" s="9">
        <v>8</v>
      </c>
      <c r="C6706" s="257" t="s">
        <v>13485</v>
      </c>
      <c r="D6706" s="9">
        <v>1434055.2140808105</v>
      </c>
      <c r="E6706" s="9">
        <v>1724851.1857852936</v>
      </c>
      <c r="F6706" s="257" t="s">
        <v>17305</v>
      </c>
      <c r="G6706" s="9"/>
      <c r="H6706" s="257" t="s">
        <v>24710</v>
      </c>
      <c r="I6706" s="9">
        <v>4</v>
      </c>
    </row>
    <row r="6707" spans="1:9">
      <c r="A6707" s="257" t="s">
        <v>7805</v>
      </c>
      <c r="B6707" s="9">
        <v>8</v>
      </c>
      <c r="C6707" s="257" t="s">
        <v>13486</v>
      </c>
      <c r="D6707" s="9">
        <v>11611201237.856527</v>
      </c>
      <c r="E6707" s="9">
        <v>1724851.1857852936</v>
      </c>
      <c r="F6707" s="257" t="s">
        <v>17305</v>
      </c>
      <c r="G6707" s="9"/>
      <c r="H6707" s="257" t="s">
        <v>24711</v>
      </c>
      <c r="I6707" s="9">
        <v>4</v>
      </c>
    </row>
    <row r="6708" spans="1:9">
      <c r="A6708" s="257" t="s">
        <v>7806</v>
      </c>
      <c r="B6708" s="9">
        <v>8</v>
      </c>
      <c r="C6708" s="257" t="s">
        <v>13487</v>
      </c>
      <c r="D6708" s="9">
        <v>0.83140808082403417</v>
      </c>
      <c r="E6708" s="9">
        <v>1724851.1857852936</v>
      </c>
      <c r="F6708" s="257" t="s">
        <v>17305</v>
      </c>
      <c r="G6708" s="9"/>
      <c r="H6708" s="257" t="s">
        <v>24712</v>
      </c>
      <c r="I6708" s="9">
        <v>4</v>
      </c>
    </row>
    <row r="6709" spans="1:9">
      <c r="A6709" s="257" t="s">
        <v>7807</v>
      </c>
      <c r="B6709" s="9">
        <v>8</v>
      </c>
      <c r="C6709" s="257" t="s">
        <v>13488</v>
      </c>
      <c r="D6709" s="9">
        <v>6731.7118911740536</v>
      </c>
      <c r="E6709" s="9">
        <v>1724851.1857852936</v>
      </c>
      <c r="F6709" s="257" t="s">
        <v>17305</v>
      </c>
      <c r="G6709" s="9"/>
      <c r="H6709" s="257" t="s">
        <v>24713</v>
      </c>
      <c r="I6709" s="9">
        <v>4</v>
      </c>
    </row>
    <row r="6710" spans="1:9">
      <c r="A6710" s="257" t="s">
        <v>7808</v>
      </c>
      <c r="B6710" s="9">
        <v>8</v>
      </c>
      <c r="C6710" s="257" t="s">
        <v>13489</v>
      </c>
      <c r="D6710" s="9">
        <v>1724851.1857852936</v>
      </c>
      <c r="E6710" s="9">
        <v>1724851.1857852936</v>
      </c>
      <c r="F6710" s="257" t="s">
        <v>17306</v>
      </c>
      <c r="G6710" s="9"/>
      <c r="H6710" s="257" t="s">
        <v>24714</v>
      </c>
      <c r="I6710" s="9">
        <v>4</v>
      </c>
    </row>
    <row r="6711" spans="1:9">
      <c r="A6711" s="257" t="s">
        <v>7809</v>
      </c>
      <c r="B6711" s="9">
        <v>8</v>
      </c>
      <c r="C6711" s="257" t="s">
        <v>13490</v>
      </c>
      <c r="D6711" s="9">
        <v>5758350203.9558382</v>
      </c>
      <c r="E6711" s="9">
        <v>1724851.1857852936</v>
      </c>
      <c r="F6711" s="257" t="s">
        <v>17306</v>
      </c>
      <c r="G6711" s="9"/>
      <c r="H6711" s="257" t="s">
        <v>24715</v>
      </c>
      <c r="I6711" s="9">
        <v>4</v>
      </c>
    </row>
    <row r="6712" spans="1:9">
      <c r="A6712" s="257" t="s">
        <v>7810</v>
      </c>
      <c r="B6712" s="9">
        <v>8</v>
      </c>
      <c r="C6712" s="257" t="s">
        <v>13491</v>
      </c>
      <c r="D6712" s="9">
        <v>1</v>
      </c>
      <c r="E6712" s="9">
        <v>1724851.1857852936</v>
      </c>
      <c r="F6712" s="257" t="s">
        <v>17306</v>
      </c>
      <c r="G6712" s="9"/>
      <c r="H6712" s="257" t="s">
        <v>24716</v>
      </c>
      <c r="I6712" s="9">
        <v>4</v>
      </c>
    </row>
    <row r="6713" spans="1:9">
      <c r="A6713" s="257" t="s">
        <v>7811</v>
      </c>
      <c r="B6713" s="9">
        <v>8</v>
      </c>
      <c r="C6713" s="257" t="s">
        <v>13492</v>
      </c>
      <c r="D6713" s="9">
        <v>3338.4620374274</v>
      </c>
      <c r="E6713" s="9">
        <v>1724851.1857852936</v>
      </c>
      <c r="F6713" s="257" t="s">
        <v>17306</v>
      </c>
      <c r="G6713" s="9"/>
      <c r="H6713" s="257" t="s">
        <v>24717</v>
      </c>
      <c r="I6713" s="9">
        <v>4</v>
      </c>
    </row>
    <row r="6714" spans="1:9">
      <c r="A6714" s="257" t="s">
        <v>7812</v>
      </c>
      <c r="B6714" s="9">
        <v>8</v>
      </c>
      <c r="C6714" s="257" t="s">
        <v>13493</v>
      </c>
      <c r="D6714" s="9">
        <v>1724851.1857852936</v>
      </c>
      <c r="E6714" s="9">
        <v>1724851.1857852936</v>
      </c>
      <c r="F6714" s="257" t="s">
        <v>17307</v>
      </c>
      <c r="G6714" s="9"/>
      <c r="H6714" s="257" t="s">
        <v>24718</v>
      </c>
      <c r="I6714" s="9">
        <v>4</v>
      </c>
    </row>
    <row r="6715" spans="1:9">
      <c r="A6715" s="257" t="s">
        <v>7813</v>
      </c>
      <c r="B6715" s="9">
        <v>8</v>
      </c>
      <c r="C6715" s="257" t="s">
        <v>13494</v>
      </c>
      <c r="D6715" s="9">
        <v>10317270333.613022</v>
      </c>
      <c r="E6715" s="9">
        <v>1724851.1857852936</v>
      </c>
      <c r="F6715" s="257" t="s">
        <v>17307</v>
      </c>
      <c r="G6715" s="9"/>
      <c r="H6715" s="257" t="s">
        <v>24719</v>
      </c>
      <c r="I6715" s="9">
        <v>4</v>
      </c>
    </row>
    <row r="6716" spans="1:9">
      <c r="A6716" s="257" t="s">
        <v>7814</v>
      </c>
      <c r="B6716" s="9">
        <v>8</v>
      </c>
      <c r="C6716" s="257" t="s">
        <v>13495</v>
      </c>
      <c r="D6716" s="9">
        <v>1</v>
      </c>
      <c r="E6716" s="9">
        <v>1724851.1857852936</v>
      </c>
      <c r="F6716" s="257" t="s">
        <v>17307</v>
      </c>
      <c r="G6716" s="9"/>
      <c r="H6716" s="257" t="s">
        <v>24720</v>
      </c>
      <c r="I6716" s="9">
        <v>4</v>
      </c>
    </row>
    <row r="6717" spans="1:9">
      <c r="A6717" s="257" t="s">
        <v>7815</v>
      </c>
      <c r="B6717" s="9">
        <v>8</v>
      </c>
      <c r="C6717" s="257" t="s">
        <v>13496</v>
      </c>
      <c r="D6717" s="9">
        <v>5981.5423026861035</v>
      </c>
      <c r="E6717" s="9">
        <v>1724851.1857852936</v>
      </c>
      <c r="F6717" s="257" t="s">
        <v>17307</v>
      </c>
      <c r="G6717" s="9"/>
      <c r="H6717" s="257" t="s">
        <v>24721</v>
      </c>
      <c r="I6717" s="9">
        <v>4</v>
      </c>
    </row>
    <row r="6718" spans="1:9">
      <c r="A6718" s="257" t="s">
        <v>7816</v>
      </c>
      <c r="B6718" s="9">
        <v>8</v>
      </c>
      <c r="C6718" s="257" t="s">
        <v>13497</v>
      </c>
      <c r="D6718" s="9">
        <v>1448331.1165466309</v>
      </c>
      <c r="E6718" s="9">
        <v>1724851.1857852936</v>
      </c>
      <c r="F6718" s="257" t="s">
        <v>17308</v>
      </c>
      <c r="G6718" s="9"/>
      <c r="H6718" s="257" t="s">
        <v>24722</v>
      </c>
      <c r="I6718" s="9">
        <v>4</v>
      </c>
    </row>
    <row r="6719" spans="1:9">
      <c r="A6719" s="257" t="s">
        <v>7817</v>
      </c>
      <c r="B6719" s="9">
        <v>8</v>
      </c>
      <c r="C6719" s="257" t="s">
        <v>13498</v>
      </c>
      <c r="D6719" s="9">
        <v>13517644848.703505</v>
      </c>
      <c r="E6719" s="9">
        <v>1724851.1857852936</v>
      </c>
      <c r="F6719" s="257" t="s">
        <v>17308</v>
      </c>
      <c r="G6719" s="9"/>
      <c r="H6719" s="257" t="s">
        <v>24723</v>
      </c>
      <c r="I6719" s="9">
        <v>4</v>
      </c>
    </row>
    <row r="6720" spans="1:9">
      <c r="A6720" s="257" t="s">
        <v>7818</v>
      </c>
      <c r="B6720" s="9">
        <v>8</v>
      </c>
      <c r="C6720" s="257" t="s">
        <v>13499</v>
      </c>
      <c r="D6720" s="9">
        <v>0.83968468032633892</v>
      </c>
      <c r="E6720" s="9">
        <v>1724851.1857852936</v>
      </c>
      <c r="F6720" s="257" t="s">
        <v>17308</v>
      </c>
      <c r="G6720" s="9"/>
      <c r="H6720" s="257" t="s">
        <v>24724</v>
      </c>
      <c r="I6720" s="9">
        <v>4</v>
      </c>
    </row>
    <row r="6721" spans="1:9">
      <c r="A6721" s="257" t="s">
        <v>7819</v>
      </c>
      <c r="B6721" s="9">
        <v>8</v>
      </c>
      <c r="C6721" s="257" t="s">
        <v>13500</v>
      </c>
      <c r="D6721" s="9">
        <v>7836.9919446408157</v>
      </c>
      <c r="E6721" s="9">
        <v>1724851.1857852936</v>
      </c>
      <c r="F6721" s="257" t="s">
        <v>17308</v>
      </c>
      <c r="G6721" s="9"/>
      <c r="H6721" s="257" t="s">
        <v>24725</v>
      </c>
      <c r="I6721" s="9">
        <v>4</v>
      </c>
    </row>
    <row r="6722" spans="1:9">
      <c r="A6722" s="257" t="s">
        <v>7820</v>
      </c>
      <c r="B6722" s="9">
        <v>8</v>
      </c>
      <c r="C6722" s="257" t="s">
        <v>13501</v>
      </c>
      <c r="D6722" s="9">
        <v>0</v>
      </c>
      <c r="E6722" s="9">
        <v>1724851.1857852936</v>
      </c>
      <c r="F6722" s="257" t="s">
        <v>17309</v>
      </c>
      <c r="G6722" s="9"/>
      <c r="H6722" s="257" t="s">
        <v>24726</v>
      </c>
      <c r="I6722" s="9">
        <v>4</v>
      </c>
    </row>
    <row r="6723" spans="1:9">
      <c r="A6723" s="257" t="s">
        <v>7821</v>
      </c>
      <c r="B6723" s="9">
        <v>8</v>
      </c>
      <c r="C6723" s="257" t="s">
        <v>13502</v>
      </c>
      <c r="D6723" s="9">
        <v>-1265448827.9947548</v>
      </c>
      <c r="E6723" s="9">
        <v>1724851.1857852936</v>
      </c>
      <c r="F6723" s="257" t="s">
        <v>17309</v>
      </c>
      <c r="G6723" s="9"/>
      <c r="H6723" s="257" t="s">
        <v>24727</v>
      </c>
      <c r="I6723" s="9">
        <v>4</v>
      </c>
    </row>
    <row r="6724" spans="1:9">
      <c r="A6724" s="257" t="s">
        <v>7822</v>
      </c>
      <c r="B6724" s="9">
        <v>8</v>
      </c>
      <c r="C6724" s="257" t="s">
        <v>13503</v>
      </c>
      <c r="D6724" s="9">
        <v>0</v>
      </c>
      <c r="E6724" s="9">
        <v>1724851.1857852936</v>
      </c>
      <c r="F6724" s="257" t="s">
        <v>17309</v>
      </c>
      <c r="G6724" s="9"/>
      <c r="H6724" s="257" t="s">
        <v>24728</v>
      </c>
      <c r="I6724" s="9">
        <v>4</v>
      </c>
    </row>
    <row r="6725" spans="1:9">
      <c r="A6725" s="257" t="s">
        <v>7823</v>
      </c>
      <c r="B6725" s="9">
        <v>8</v>
      </c>
      <c r="C6725" s="257" t="s">
        <v>13504</v>
      </c>
      <c r="D6725" s="9">
        <v>-733.65681539571131</v>
      </c>
      <c r="E6725" s="9">
        <v>1724851.1857852936</v>
      </c>
      <c r="F6725" s="257" t="s">
        <v>17309</v>
      </c>
      <c r="G6725" s="9"/>
      <c r="H6725" s="257" t="s">
        <v>24729</v>
      </c>
      <c r="I6725" s="9">
        <v>4</v>
      </c>
    </row>
    <row r="6726" spans="1:9">
      <c r="A6726" s="257" t="s">
        <v>7824</v>
      </c>
      <c r="B6726" s="9">
        <v>8</v>
      </c>
      <c r="C6726" s="257" t="s">
        <v>13505</v>
      </c>
      <c r="D6726" s="9">
        <v>1436766.6086120605</v>
      </c>
      <c r="E6726" s="9">
        <v>1724851.1857852936</v>
      </c>
      <c r="F6726" s="257" t="s">
        <v>17310</v>
      </c>
      <c r="G6726" s="9"/>
      <c r="H6726" s="257" t="s">
        <v>24730</v>
      </c>
      <c r="I6726" s="9">
        <v>4</v>
      </c>
    </row>
    <row r="6727" spans="1:9">
      <c r="A6727" s="257" t="s">
        <v>7825</v>
      </c>
      <c r="B6727" s="9">
        <v>8</v>
      </c>
      <c r="C6727" s="257" t="s">
        <v>13506</v>
      </c>
      <c r="D6727" s="9">
        <v>12252196020.70875</v>
      </c>
      <c r="E6727" s="9">
        <v>1724851.1857852936</v>
      </c>
      <c r="F6727" s="257" t="s">
        <v>17310</v>
      </c>
      <c r="G6727" s="9"/>
      <c r="H6727" s="257" t="s">
        <v>24731</v>
      </c>
      <c r="I6727" s="9">
        <v>4</v>
      </c>
    </row>
    <row r="6728" spans="1:9">
      <c r="A6728" s="257" t="s">
        <v>7826</v>
      </c>
      <c r="B6728" s="9">
        <v>8</v>
      </c>
      <c r="C6728" s="257" t="s">
        <v>13507</v>
      </c>
      <c r="D6728" s="9">
        <v>0.83298003935216403</v>
      </c>
      <c r="E6728" s="9">
        <v>1724851.1857852936</v>
      </c>
      <c r="F6728" s="257" t="s">
        <v>17310</v>
      </c>
      <c r="G6728" s="9"/>
      <c r="H6728" s="257" t="s">
        <v>24732</v>
      </c>
      <c r="I6728" s="9">
        <v>4</v>
      </c>
    </row>
    <row r="6729" spans="1:9">
      <c r="A6729" s="257" t="s">
        <v>7827</v>
      </c>
      <c r="B6729" s="9">
        <v>8</v>
      </c>
      <c r="C6729" s="257" t="s">
        <v>13508</v>
      </c>
      <c r="D6729" s="9">
        <v>7103.3351292451043</v>
      </c>
      <c r="E6729" s="9">
        <v>1724851.1857852936</v>
      </c>
      <c r="F6729" s="257" t="s">
        <v>17310</v>
      </c>
      <c r="G6729" s="9"/>
      <c r="H6729" s="257" t="s">
        <v>24733</v>
      </c>
      <c r="I6729" s="9">
        <v>4</v>
      </c>
    </row>
    <row r="6730" spans="1:9">
      <c r="A6730" s="257" t="s">
        <v>7828</v>
      </c>
      <c r="B6730" s="9">
        <v>8</v>
      </c>
      <c r="C6730" s="257" t="s">
        <v>13509</v>
      </c>
      <c r="D6730" s="9">
        <v>382393.1031036377</v>
      </c>
      <c r="E6730" s="9">
        <v>1724851.1857852936</v>
      </c>
      <c r="F6730" s="257" t="s">
        <v>17311</v>
      </c>
      <c r="G6730" s="9"/>
      <c r="H6730" s="257" t="s">
        <v>24734</v>
      </c>
      <c r="I6730" s="9">
        <v>4</v>
      </c>
    </row>
    <row r="6731" spans="1:9">
      <c r="A6731" s="257" t="s">
        <v>7829</v>
      </c>
      <c r="B6731" s="9">
        <v>8</v>
      </c>
      <c r="C6731" s="257" t="s">
        <v>13510</v>
      </c>
      <c r="D6731" s="9">
        <v>640994782.85222423</v>
      </c>
      <c r="E6731" s="9">
        <v>1724851.1857852936</v>
      </c>
      <c r="F6731" s="257" t="s">
        <v>17311</v>
      </c>
      <c r="G6731" s="9"/>
      <c r="H6731" s="257" t="s">
        <v>24735</v>
      </c>
      <c r="I6731" s="9">
        <v>4</v>
      </c>
    </row>
    <row r="6732" spans="1:9">
      <c r="A6732" s="257" t="s">
        <v>7830</v>
      </c>
      <c r="B6732" s="9">
        <v>8</v>
      </c>
      <c r="C6732" s="257" t="s">
        <v>13511</v>
      </c>
      <c r="D6732" s="9">
        <v>0.22169628676084369</v>
      </c>
      <c r="E6732" s="9">
        <v>1724851.1857852936</v>
      </c>
      <c r="F6732" s="257" t="s">
        <v>17311</v>
      </c>
      <c r="G6732" s="9"/>
      <c r="H6732" s="257" t="s">
        <v>24736</v>
      </c>
      <c r="I6732" s="9">
        <v>4</v>
      </c>
    </row>
    <row r="6733" spans="1:9">
      <c r="A6733" s="257" t="s">
        <v>7831</v>
      </c>
      <c r="B6733" s="9">
        <v>8</v>
      </c>
      <c r="C6733" s="257" t="s">
        <v>13512</v>
      </c>
      <c r="D6733" s="9">
        <v>371.62323807105184</v>
      </c>
      <c r="E6733" s="9">
        <v>1724851.1857852936</v>
      </c>
      <c r="F6733" s="257" t="s">
        <v>17311</v>
      </c>
      <c r="G6733" s="9"/>
      <c r="H6733" s="257" t="s">
        <v>24737</v>
      </c>
      <c r="I6733" s="9">
        <v>4</v>
      </c>
    </row>
    <row r="6734" spans="1:9">
      <c r="A6734" s="257" t="s">
        <v>7832</v>
      </c>
      <c r="B6734" s="9">
        <v>8</v>
      </c>
      <c r="C6734" s="257" t="s">
        <v>13513</v>
      </c>
      <c r="D6734" s="9">
        <v>1369300.6716537476</v>
      </c>
      <c r="E6734" s="9">
        <v>1724851.1857852936</v>
      </c>
      <c r="F6734" s="257" t="s">
        <v>17312</v>
      </c>
      <c r="G6734" s="9"/>
      <c r="H6734" s="257" t="s">
        <v>24738</v>
      </c>
      <c r="I6734" s="9">
        <v>4</v>
      </c>
    </row>
    <row r="6735" spans="1:9">
      <c r="A6735" s="257" t="s">
        <v>7833</v>
      </c>
      <c r="B6735" s="9">
        <v>8</v>
      </c>
      <c r="C6735" s="257" t="s">
        <v>13514</v>
      </c>
      <c r="D6735" s="9">
        <v>4558920129.6571827</v>
      </c>
      <c r="E6735" s="9">
        <v>1724851.1857852936</v>
      </c>
      <c r="F6735" s="257" t="s">
        <v>17312</v>
      </c>
      <c r="G6735" s="9"/>
      <c r="H6735" s="257" t="s">
        <v>24739</v>
      </c>
      <c r="I6735" s="9">
        <v>4</v>
      </c>
    </row>
    <row r="6736" spans="1:9">
      <c r="A6736" s="257" t="s">
        <v>7834</v>
      </c>
      <c r="B6736" s="9">
        <v>8</v>
      </c>
      <c r="C6736" s="257" t="s">
        <v>13515</v>
      </c>
      <c r="D6736" s="9">
        <v>0.79386597692503524</v>
      </c>
      <c r="E6736" s="9">
        <v>1724851.1857852936</v>
      </c>
      <c r="F6736" s="257" t="s">
        <v>17312</v>
      </c>
      <c r="G6736" s="9"/>
      <c r="H6736" s="257" t="s">
        <v>24740</v>
      </c>
      <c r="I6736" s="9">
        <v>4</v>
      </c>
    </row>
    <row r="6737" spans="1:9">
      <c r="A6737" s="257" t="s">
        <v>7835</v>
      </c>
      <c r="B6737" s="9">
        <v>8</v>
      </c>
      <c r="C6737" s="257" t="s">
        <v>13516</v>
      </c>
      <c r="D6737" s="9">
        <v>2643.0802652587031</v>
      </c>
      <c r="E6737" s="9">
        <v>1724851.1857852936</v>
      </c>
      <c r="F6737" s="257" t="s">
        <v>17312</v>
      </c>
      <c r="G6737" s="9"/>
      <c r="H6737" s="257" t="s">
        <v>24741</v>
      </c>
      <c r="I6737" s="9">
        <v>4</v>
      </c>
    </row>
    <row r="6738" spans="1:9">
      <c r="A6738" s="257" t="s">
        <v>7836</v>
      </c>
      <c r="B6738" s="9">
        <v>8</v>
      </c>
      <c r="C6738" s="257" t="s">
        <v>13517</v>
      </c>
      <c r="D6738" s="9">
        <v>176570.37480163574</v>
      </c>
      <c r="E6738" s="9">
        <v>1724851.1857852936</v>
      </c>
      <c r="F6738" s="257" t="s">
        <v>17313</v>
      </c>
      <c r="G6738" s="9"/>
      <c r="H6738" s="257" t="s">
        <v>24742</v>
      </c>
      <c r="I6738" s="9">
        <v>4</v>
      </c>
    </row>
    <row r="6739" spans="1:9">
      <c r="A6739" s="257" t="s">
        <v>7837</v>
      </c>
      <c r="B6739" s="9">
        <v>8</v>
      </c>
      <c r="C6739" s="257" t="s">
        <v>13518</v>
      </c>
      <c r="D6739" s="9">
        <v>1069833219.8431673</v>
      </c>
      <c r="E6739" s="9">
        <v>1724851.1857852936</v>
      </c>
      <c r="F6739" s="257" t="s">
        <v>17313</v>
      </c>
      <c r="G6739" s="9"/>
      <c r="H6739" s="257" t="s">
        <v>24743</v>
      </c>
      <c r="I6739" s="9">
        <v>4</v>
      </c>
    </row>
    <row r="6740" spans="1:9">
      <c r="A6740" s="257" t="s">
        <v>7838</v>
      </c>
      <c r="B6740" s="9">
        <v>8</v>
      </c>
      <c r="C6740" s="257" t="s">
        <v>13519</v>
      </c>
      <c r="D6740" s="9">
        <v>0.10236846880285874</v>
      </c>
      <c r="E6740" s="9">
        <v>1724851.1857852936</v>
      </c>
      <c r="F6740" s="257" t="s">
        <v>17313</v>
      </c>
      <c r="G6740" s="9"/>
      <c r="H6740" s="257" t="s">
        <v>24744</v>
      </c>
      <c r="I6740" s="9">
        <v>4</v>
      </c>
    </row>
    <row r="6741" spans="1:9">
      <c r="A6741" s="257" t="s">
        <v>7839</v>
      </c>
      <c r="B6741" s="9">
        <v>8</v>
      </c>
      <c r="C6741" s="257" t="s">
        <v>13520</v>
      </c>
      <c r="D6741" s="9">
        <v>620.24667905254194</v>
      </c>
      <c r="E6741" s="9">
        <v>1724851.1857852936</v>
      </c>
      <c r="F6741" s="257" t="s">
        <v>17313</v>
      </c>
      <c r="G6741" s="9"/>
      <c r="H6741" s="257" t="s">
        <v>24745</v>
      </c>
      <c r="I6741" s="9">
        <v>4</v>
      </c>
    </row>
    <row r="6742" spans="1:9">
      <c r="A6742" s="257" t="s">
        <v>7840</v>
      </c>
      <c r="B6742" s="9">
        <v>9</v>
      </c>
      <c r="C6742" s="257" t="s">
        <v>13521</v>
      </c>
      <c r="D6742" s="9">
        <v>1539397.4216518402</v>
      </c>
      <c r="E6742" s="9">
        <v>1721642.4785900116</v>
      </c>
      <c r="F6742" s="257" t="s">
        <v>17314</v>
      </c>
      <c r="G6742" s="9"/>
      <c r="H6742" s="257" t="s">
        <v>24746</v>
      </c>
      <c r="I6742" s="9">
        <v>4</v>
      </c>
    </row>
    <row r="6743" spans="1:9">
      <c r="A6743" s="257" t="s">
        <v>7841</v>
      </c>
      <c r="B6743" s="9">
        <v>9</v>
      </c>
      <c r="C6743" s="257" t="s">
        <v>13522</v>
      </c>
      <c r="D6743" s="9">
        <v>10247644249.467258</v>
      </c>
      <c r="E6743" s="9">
        <v>1721642.4785900116</v>
      </c>
      <c r="F6743" s="257" t="s">
        <v>17314</v>
      </c>
      <c r="G6743" s="9"/>
      <c r="H6743" s="257" t="s">
        <v>24747</v>
      </c>
      <c r="I6743" s="9">
        <v>4</v>
      </c>
    </row>
    <row r="6744" spans="1:9">
      <c r="A6744" s="257" t="s">
        <v>7842</v>
      </c>
      <c r="B6744" s="9">
        <v>9</v>
      </c>
      <c r="C6744" s="257" t="s">
        <v>13523</v>
      </c>
      <c r="D6744" s="9">
        <v>0.89414465592912984</v>
      </c>
      <c r="E6744" s="9">
        <v>1721642.4785900116</v>
      </c>
      <c r="F6744" s="257" t="s">
        <v>17314</v>
      </c>
      <c r="G6744" s="9"/>
      <c r="H6744" s="257" t="s">
        <v>24748</v>
      </c>
      <c r="I6744" s="9">
        <v>4</v>
      </c>
    </row>
    <row r="6745" spans="1:9">
      <c r="A6745" s="257" t="s">
        <v>7843</v>
      </c>
      <c r="B6745" s="9">
        <v>9</v>
      </c>
      <c r="C6745" s="257" t="s">
        <v>13524</v>
      </c>
      <c r="D6745" s="9">
        <v>5952.2487257980883</v>
      </c>
      <c r="E6745" s="9">
        <v>1721642.4785900116</v>
      </c>
      <c r="F6745" s="257" t="s">
        <v>17314</v>
      </c>
      <c r="G6745" s="9"/>
      <c r="H6745" s="257" t="s">
        <v>24749</v>
      </c>
      <c r="I6745" s="9">
        <v>4</v>
      </c>
    </row>
    <row r="6746" spans="1:9">
      <c r="A6746" s="257" t="s">
        <v>7844</v>
      </c>
      <c r="B6746" s="9">
        <v>9</v>
      </c>
      <c r="C6746" s="257" t="s">
        <v>13525</v>
      </c>
      <c r="D6746" s="9">
        <v>0</v>
      </c>
      <c r="E6746" s="9">
        <v>1721642.4785900116</v>
      </c>
      <c r="F6746" s="257" t="s">
        <v>17315</v>
      </c>
      <c r="G6746" s="9"/>
      <c r="H6746" s="257" t="s">
        <v>24750</v>
      </c>
      <c r="I6746" s="9">
        <v>4</v>
      </c>
    </row>
    <row r="6747" spans="1:9">
      <c r="A6747" s="257" t="s">
        <v>7845</v>
      </c>
      <c r="B6747" s="9">
        <v>9</v>
      </c>
      <c r="C6747" s="257" t="s">
        <v>13526</v>
      </c>
      <c r="D6747" s="9">
        <v>0</v>
      </c>
      <c r="E6747" s="9">
        <v>1721642.4785900116</v>
      </c>
      <c r="F6747" s="257" t="s">
        <v>17315</v>
      </c>
      <c r="G6747" s="9"/>
      <c r="H6747" s="257" t="s">
        <v>24751</v>
      </c>
      <c r="I6747" s="9">
        <v>4</v>
      </c>
    </row>
    <row r="6748" spans="1:9">
      <c r="A6748" s="257" t="s">
        <v>7846</v>
      </c>
      <c r="B6748" s="9">
        <v>9</v>
      </c>
      <c r="C6748" s="257" t="s">
        <v>13527</v>
      </c>
      <c r="D6748" s="9">
        <v>0</v>
      </c>
      <c r="E6748" s="9">
        <v>1721642.4785900116</v>
      </c>
      <c r="F6748" s="257" t="s">
        <v>17315</v>
      </c>
      <c r="G6748" s="9"/>
      <c r="H6748" s="257" t="s">
        <v>24752</v>
      </c>
      <c r="I6748" s="9">
        <v>4</v>
      </c>
    </row>
    <row r="6749" spans="1:9">
      <c r="A6749" s="257" t="s">
        <v>7847</v>
      </c>
      <c r="B6749" s="9">
        <v>9</v>
      </c>
      <c r="C6749" s="257" t="s">
        <v>13528</v>
      </c>
      <c r="D6749" s="9">
        <v>0</v>
      </c>
      <c r="E6749" s="9">
        <v>1721642.4785900116</v>
      </c>
      <c r="F6749" s="257" t="s">
        <v>17315</v>
      </c>
      <c r="G6749" s="9"/>
      <c r="H6749" s="257" t="s">
        <v>24753</v>
      </c>
      <c r="I6749" s="9">
        <v>4</v>
      </c>
    </row>
    <row r="6750" spans="1:9">
      <c r="A6750" s="257" t="s">
        <v>7848</v>
      </c>
      <c r="B6750" s="9">
        <v>9</v>
      </c>
      <c r="C6750" s="257" t="s">
        <v>13529</v>
      </c>
      <c r="D6750" s="9">
        <v>1538705.5188293457</v>
      </c>
      <c r="E6750" s="9">
        <v>1721642.4785900116</v>
      </c>
      <c r="F6750" s="257" t="s">
        <v>17316</v>
      </c>
      <c r="G6750" s="9"/>
      <c r="H6750" s="257" t="s">
        <v>24754</v>
      </c>
      <c r="I6750" s="9">
        <v>4</v>
      </c>
    </row>
    <row r="6751" spans="1:9">
      <c r="A6751" s="257" t="s">
        <v>7849</v>
      </c>
      <c r="B6751" s="9">
        <v>9</v>
      </c>
      <c r="C6751" s="257" t="s">
        <v>13530</v>
      </c>
      <c r="D6751" s="9">
        <v>777338696.67647052</v>
      </c>
      <c r="E6751" s="9">
        <v>1721642.4785900116</v>
      </c>
      <c r="F6751" s="257" t="s">
        <v>17316</v>
      </c>
      <c r="G6751" s="9"/>
      <c r="H6751" s="257" t="s">
        <v>24755</v>
      </c>
      <c r="I6751" s="9">
        <v>4</v>
      </c>
    </row>
    <row r="6752" spans="1:9">
      <c r="A6752" s="257" t="s">
        <v>7850</v>
      </c>
      <c r="B6752" s="9">
        <v>9</v>
      </c>
      <c r="C6752" s="257" t="s">
        <v>13531</v>
      </c>
      <c r="D6752" s="9">
        <v>0.89374277061838803</v>
      </c>
      <c r="E6752" s="9">
        <v>1721642.4785900116</v>
      </c>
      <c r="F6752" s="257" t="s">
        <v>17316</v>
      </c>
      <c r="G6752" s="9"/>
      <c r="H6752" s="257" t="s">
        <v>24756</v>
      </c>
      <c r="I6752" s="9">
        <v>4</v>
      </c>
    </row>
    <row r="6753" spans="1:9">
      <c r="A6753" s="257" t="s">
        <v>7851</v>
      </c>
      <c r="B6753" s="9">
        <v>9</v>
      </c>
      <c r="C6753" s="257" t="s">
        <v>13532</v>
      </c>
      <c r="D6753" s="9">
        <v>451.5099425945242</v>
      </c>
      <c r="E6753" s="9">
        <v>1721642.4785900116</v>
      </c>
      <c r="F6753" s="257" t="s">
        <v>17316</v>
      </c>
      <c r="G6753" s="9"/>
      <c r="H6753" s="257" t="s">
        <v>24757</v>
      </c>
      <c r="I6753" s="9">
        <v>4</v>
      </c>
    </row>
    <row r="6754" spans="1:9">
      <c r="A6754" s="257" t="s">
        <v>7852</v>
      </c>
      <c r="B6754" s="9">
        <v>9</v>
      </c>
      <c r="C6754" s="257" t="s">
        <v>13533</v>
      </c>
      <c r="D6754" s="9">
        <v>1002060.2388458252</v>
      </c>
      <c r="E6754" s="9">
        <v>1721642.4785900116</v>
      </c>
      <c r="F6754" s="257" t="s">
        <v>17317</v>
      </c>
      <c r="G6754" s="9"/>
      <c r="H6754" s="257" t="s">
        <v>24758</v>
      </c>
      <c r="I6754" s="9">
        <v>4</v>
      </c>
    </row>
    <row r="6755" spans="1:9">
      <c r="A6755" s="257" t="s">
        <v>7853</v>
      </c>
      <c r="B6755" s="9">
        <v>9</v>
      </c>
      <c r="C6755" s="257" t="s">
        <v>13534</v>
      </c>
      <c r="D6755" s="9">
        <v>372915003.08371717</v>
      </c>
      <c r="E6755" s="9">
        <v>1721642.4785900116</v>
      </c>
      <c r="F6755" s="257" t="s">
        <v>17317</v>
      </c>
      <c r="G6755" s="9"/>
      <c r="H6755" s="257" t="s">
        <v>24759</v>
      </c>
      <c r="I6755" s="9">
        <v>4</v>
      </c>
    </row>
    <row r="6756" spans="1:9">
      <c r="A6756" s="257" t="s">
        <v>7854</v>
      </c>
      <c r="B6756" s="9">
        <v>9</v>
      </c>
      <c r="C6756" s="257" t="s">
        <v>13535</v>
      </c>
      <c r="D6756" s="9">
        <v>0.58203735752761576</v>
      </c>
      <c r="E6756" s="9">
        <v>1721642.4785900116</v>
      </c>
      <c r="F6756" s="257" t="s">
        <v>17317</v>
      </c>
      <c r="G6756" s="9"/>
      <c r="H6756" s="257" t="s">
        <v>24760</v>
      </c>
      <c r="I6756" s="9">
        <v>4</v>
      </c>
    </row>
    <row r="6757" spans="1:9">
      <c r="A6757" s="257" t="s">
        <v>7855</v>
      </c>
      <c r="B6757" s="9">
        <v>9</v>
      </c>
      <c r="C6757" s="257" t="s">
        <v>13536</v>
      </c>
      <c r="D6757" s="9">
        <v>216.60420657669098</v>
      </c>
      <c r="E6757" s="9">
        <v>1721642.4785900116</v>
      </c>
      <c r="F6757" s="257" t="s">
        <v>17317</v>
      </c>
      <c r="G6757" s="9"/>
      <c r="H6757" s="257" t="s">
        <v>24761</v>
      </c>
      <c r="I6757" s="9">
        <v>4</v>
      </c>
    </row>
    <row r="6758" spans="1:9">
      <c r="A6758" s="257" t="s">
        <v>7856</v>
      </c>
      <c r="B6758" s="9">
        <v>9</v>
      </c>
      <c r="C6758" s="257" t="s">
        <v>13537</v>
      </c>
      <c r="D6758" s="9">
        <v>130453.96267700195</v>
      </c>
      <c r="E6758" s="9">
        <v>1721642.4785900116</v>
      </c>
      <c r="F6758" s="257" t="s">
        <v>17318</v>
      </c>
      <c r="G6758" s="9"/>
      <c r="H6758" s="257" t="s">
        <v>24762</v>
      </c>
      <c r="I6758" s="9">
        <v>4</v>
      </c>
    </row>
    <row r="6759" spans="1:9">
      <c r="A6759" s="257" t="s">
        <v>7857</v>
      </c>
      <c r="B6759" s="9">
        <v>9</v>
      </c>
      <c r="C6759" s="257" t="s">
        <v>13538</v>
      </c>
      <c r="D6759" s="9">
        <v>571338800.59132087</v>
      </c>
      <c r="E6759" s="9">
        <v>1721642.4785900116</v>
      </c>
      <c r="F6759" s="257" t="s">
        <v>17318</v>
      </c>
      <c r="G6759" s="9"/>
      <c r="H6759" s="257" t="s">
        <v>24763</v>
      </c>
      <c r="I6759" s="9">
        <v>4</v>
      </c>
    </row>
    <row r="6760" spans="1:9">
      <c r="A6760" s="257" t="s">
        <v>7858</v>
      </c>
      <c r="B6760" s="9">
        <v>9</v>
      </c>
      <c r="C6760" s="257" t="s">
        <v>13539</v>
      </c>
      <c r="D6760" s="9">
        <v>7.577296930071159E-2</v>
      </c>
      <c r="E6760" s="9">
        <v>1721642.4785900116</v>
      </c>
      <c r="F6760" s="257" t="s">
        <v>17318</v>
      </c>
      <c r="G6760" s="9"/>
      <c r="H6760" s="257" t="s">
        <v>24764</v>
      </c>
      <c r="I6760" s="9">
        <v>4</v>
      </c>
    </row>
    <row r="6761" spans="1:9">
      <c r="A6761" s="257" t="s">
        <v>7859</v>
      </c>
      <c r="B6761" s="9">
        <v>9</v>
      </c>
      <c r="C6761" s="257" t="s">
        <v>13540</v>
      </c>
      <c r="D6761" s="9">
        <v>331.85682143439857</v>
      </c>
      <c r="E6761" s="9">
        <v>1721642.4785900116</v>
      </c>
      <c r="F6761" s="257" t="s">
        <v>17318</v>
      </c>
      <c r="G6761" s="9"/>
      <c r="H6761" s="257" t="s">
        <v>24765</v>
      </c>
      <c r="I6761" s="9">
        <v>4</v>
      </c>
    </row>
    <row r="6762" spans="1:9">
      <c r="A6762" s="257" t="s">
        <v>7860</v>
      </c>
      <c r="B6762" s="9">
        <v>9</v>
      </c>
      <c r="C6762" s="257" t="s">
        <v>13541</v>
      </c>
      <c r="D6762" s="9">
        <v>23267.396224975586</v>
      </c>
      <c r="E6762" s="9">
        <v>1721642.4785900116</v>
      </c>
      <c r="F6762" s="257" t="s">
        <v>17319</v>
      </c>
      <c r="G6762" s="9"/>
      <c r="H6762" s="257" t="s">
        <v>24766</v>
      </c>
      <c r="I6762" s="9">
        <v>4</v>
      </c>
    </row>
    <row r="6763" spans="1:9">
      <c r="A6763" s="257" t="s">
        <v>7861</v>
      </c>
      <c r="B6763" s="9">
        <v>9</v>
      </c>
      <c r="C6763" s="257" t="s">
        <v>13542</v>
      </c>
      <c r="D6763" s="9">
        <v>374059989.50776601</v>
      </c>
      <c r="E6763" s="9">
        <v>1721642.4785900116</v>
      </c>
      <c r="F6763" s="257" t="s">
        <v>17319</v>
      </c>
      <c r="G6763" s="9"/>
      <c r="H6763" s="257" t="s">
        <v>24767</v>
      </c>
      <c r="I6763" s="9">
        <v>4</v>
      </c>
    </row>
    <row r="6764" spans="1:9">
      <c r="A6764" s="257" t="s">
        <v>7862</v>
      </c>
      <c r="B6764" s="9">
        <v>9</v>
      </c>
      <c r="C6764" s="257" t="s">
        <v>13543</v>
      </c>
      <c r="D6764" s="9">
        <v>1.3514650407575379E-2</v>
      </c>
      <c r="E6764" s="9">
        <v>1721642.4785900116</v>
      </c>
      <c r="F6764" s="257" t="s">
        <v>17319</v>
      </c>
      <c r="G6764" s="9"/>
      <c r="H6764" s="257" t="s">
        <v>24768</v>
      </c>
      <c r="I6764" s="9">
        <v>4</v>
      </c>
    </row>
    <row r="6765" spans="1:9">
      <c r="A6765" s="257" t="s">
        <v>7863</v>
      </c>
      <c r="B6765" s="9">
        <v>9</v>
      </c>
      <c r="C6765" s="257" t="s">
        <v>13544</v>
      </c>
      <c r="D6765" s="9">
        <v>217.26926127781951</v>
      </c>
      <c r="E6765" s="9">
        <v>1721642.4785900116</v>
      </c>
      <c r="F6765" s="257" t="s">
        <v>17319</v>
      </c>
      <c r="G6765" s="9"/>
      <c r="H6765" s="257" t="s">
        <v>24769</v>
      </c>
      <c r="I6765" s="9">
        <v>4</v>
      </c>
    </row>
    <row r="6766" spans="1:9">
      <c r="A6766" s="257" t="s">
        <v>7864</v>
      </c>
      <c r="B6766" s="9">
        <v>9</v>
      </c>
      <c r="C6766" s="257" t="s">
        <v>13545</v>
      </c>
      <c r="D6766" s="9">
        <v>1623140.3733673096</v>
      </c>
      <c r="E6766" s="9">
        <v>1721642.4785900116</v>
      </c>
      <c r="F6766" s="257" t="s">
        <v>17320</v>
      </c>
      <c r="G6766" s="9"/>
      <c r="H6766" s="257" t="s">
        <v>24770</v>
      </c>
      <c r="I6766" s="9">
        <v>4</v>
      </c>
    </row>
    <row r="6767" spans="1:9">
      <c r="A6767" s="257" t="s">
        <v>7865</v>
      </c>
      <c r="B6767" s="9">
        <v>9</v>
      </c>
      <c r="C6767" s="257" t="s">
        <v>13546</v>
      </c>
      <c r="D6767" s="9">
        <v>2095652489.8592744</v>
      </c>
      <c r="E6767" s="9">
        <v>1721642.4785900116</v>
      </c>
      <c r="F6767" s="257" t="s">
        <v>17320</v>
      </c>
      <c r="G6767" s="9"/>
      <c r="H6767" s="257" t="s">
        <v>24771</v>
      </c>
      <c r="I6767" s="9">
        <v>4</v>
      </c>
    </row>
    <row r="6768" spans="1:9">
      <c r="A6768" s="257" t="s">
        <v>7866</v>
      </c>
      <c r="B6768" s="9">
        <v>9</v>
      </c>
      <c r="C6768" s="257" t="s">
        <v>13547</v>
      </c>
      <c r="D6768" s="9">
        <v>0.94278596953336491</v>
      </c>
      <c r="E6768" s="9">
        <v>1721642.4785900116</v>
      </c>
      <c r="F6768" s="257" t="s">
        <v>17320</v>
      </c>
      <c r="G6768" s="9"/>
      <c r="H6768" s="257" t="s">
        <v>24772</v>
      </c>
      <c r="I6768" s="9">
        <v>4</v>
      </c>
    </row>
    <row r="6769" spans="1:9">
      <c r="A6769" s="257" t="s">
        <v>7867</v>
      </c>
      <c r="B6769" s="9">
        <v>9</v>
      </c>
      <c r="C6769" s="257" t="s">
        <v>13548</v>
      </c>
      <c r="D6769" s="9">
        <v>1217.2402318834331</v>
      </c>
      <c r="E6769" s="9">
        <v>1721642.4785900116</v>
      </c>
      <c r="F6769" s="257" t="s">
        <v>17320</v>
      </c>
      <c r="G6769" s="9"/>
      <c r="H6769" s="257" t="s">
        <v>24773</v>
      </c>
      <c r="I6769" s="9">
        <v>4</v>
      </c>
    </row>
    <row r="6770" spans="1:9">
      <c r="A6770" s="257" t="s">
        <v>7868</v>
      </c>
      <c r="B6770" s="9">
        <v>9</v>
      </c>
      <c r="C6770" s="257" t="s">
        <v>13549</v>
      </c>
      <c r="D6770" s="9">
        <v>1050532.3600921631</v>
      </c>
      <c r="E6770" s="9">
        <v>1721642.4785900116</v>
      </c>
      <c r="F6770" s="257" t="s">
        <v>17321</v>
      </c>
      <c r="G6770" s="9"/>
      <c r="H6770" s="257" t="s">
        <v>24774</v>
      </c>
      <c r="I6770" s="9">
        <v>4</v>
      </c>
    </row>
    <row r="6771" spans="1:9">
      <c r="A6771" s="257" t="s">
        <v>7869</v>
      </c>
      <c r="B6771" s="9">
        <v>9</v>
      </c>
      <c r="C6771" s="257" t="s">
        <v>13550</v>
      </c>
      <c r="D6771" s="9">
        <v>1318313793.1828041</v>
      </c>
      <c r="E6771" s="9">
        <v>1721642.4785900116</v>
      </c>
      <c r="F6771" s="257" t="s">
        <v>17321</v>
      </c>
      <c r="G6771" s="9"/>
      <c r="H6771" s="257" t="s">
        <v>24775</v>
      </c>
      <c r="I6771" s="9">
        <v>4</v>
      </c>
    </row>
    <row r="6772" spans="1:9">
      <c r="A6772" s="257" t="s">
        <v>7870</v>
      </c>
      <c r="B6772" s="9">
        <v>9</v>
      </c>
      <c r="C6772" s="257" t="s">
        <v>13551</v>
      </c>
      <c r="D6772" s="9">
        <v>0.61019193773176805</v>
      </c>
      <c r="E6772" s="9">
        <v>1721642.4785900116</v>
      </c>
      <c r="F6772" s="257" t="s">
        <v>17321</v>
      </c>
      <c r="G6772" s="9"/>
      <c r="H6772" s="257" t="s">
        <v>24776</v>
      </c>
      <c r="I6772" s="9">
        <v>4</v>
      </c>
    </row>
    <row r="6773" spans="1:9">
      <c r="A6773" s="257" t="s">
        <v>7871</v>
      </c>
      <c r="B6773" s="9">
        <v>9</v>
      </c>
      <c r="C6773" s="257" t="s">
        <v>13552</v>
      </c>
      <c r="D6773" s="9">
        <v>765.73028928890915</v>
      </c>
      <c r="E6773" s="9">
        <v>1721642.4785900116</v>
      </c>
      <c r="F6773" s="257" t="s">
        <v>17321</v>
      </c>
      <c r="G6773" s="9"/>
      <c r="H6773" s="257" t="s">
        <v>24777</v>
      </c>
      <c r="I6773" s="9">
        <v>4</v>
      </c>
    </row>
    <row r="6774" spans="1:9">
      <c r="A6774" s="257" t="s">
        <v>7872</v>
      </c>
      <c r="B6774" s="9">
        <v>9</v>
      </c>
      <c r="C6774" s="257" t="s">
        <v>13553</v>
      </c>
      <c r="D6774" s="9">
        <v>1721642.4785900116</v>
      </c>
      <c r="E6774" s="9">
        <v>1721642.4785900116</v>
      </c>
      <c r="F6774" s="257" t="s">
        <v>17322</v>
      </c>
      <c r="G6774" s="9"/>
      <c r="H6774" s="257" t="s">
        <v>24778</v>
      </c>
      <c r="I6774" s="9">
        <v>4</v>
      </c>
    </row>
    <row r="6775" spans="1:9">
      <c r="A6775" s="257" t="s">
        <v>7873</v>
      </c>
      <c r="B6775" s="9">
        <v>9</v>
      </c>
      <c r="C6775" s="257" t="s">
        <v>13554</v>
      </c>
      <c r="D6775" s="9">
        <v>25022019975.286415</v>
      </c>
      <c r="E6775" s="9">
        <v>1721642.4785900116</v>
      </c>
      <c r="F6775" s="257" t="s">
        <v>17322</v>
      </c>
      <c r="G6775" s="9"/>
      <c r="H6775" s="257" t="s">
        <v>24779</v>
      </c>
      <c r="I6775" s="9">
        <v>4</v>
      </c>
    </row>
    <row r="6776" spans="1:9">
      <c r="A6776" s="257" t="s">
        <v>7874</v>
      </c>
      <c r="B6776" s="9">
        <v>9</v>
      </c>
      <c r="C6776" s="257" t="s">
        <v>13555</v>
      </c>
      <c r="D6776" s="9">
        <v>1</v>
      </c>
      <c r="E6776" s="9">
        <v>1721642.4785900116</v>
      </c>
      <c r="F6776" s="257" t="s">
        <v>17322</v>
      </c>
      <c r="G6776" s="9"/>
      <c r="H6776" s="257" t="s">
        <v>24780</v>
      </c>
      <c r="I6776" s="9">
        <v>4</v>
      </c>
    </row>
    <row r="6777" spans="1:9">
      <c r="A6777" s="257" t="s">
        <v>7875</v>
      </c>
      <c r="B6777" s="9">
        <v>9</v>
      </c>
      <c r="C6777" s="257" t="s">
        <v>13556</v>
      </c>
      <c r="D6777" s="9">
        <v>14533.807272099208</v>
      </c>
      <c r="E6777" s="9">
        <v>1721642.4785900116</v>
      </c>
      <c r="F6777" s="257" t="s">
        <v>17322</v>
      </c>
      <c r="G6777" s="9"/>
      <c r="H6777" s="257" t="s">
        <v>24781</v>
      </c>
      <c r="I6777" s="9">
        <v>4</v>
      </c>
    </row>
    <row r="6778" spans="1:9">
      <c r="A6778" s="257" t="s">
        <v>7876</v>
      </c>
      <c r="B6778" s="9">
        <v>9</v>
      </c>
      <c r="C6778" s="257" t="s">
        <v>13557</v>
      </c>
      <c r="D6778" s="9">
        <v>1721642.4785900116</v>
      </c>
      <c r="E6778" s="9">
        <v>1721642.4785900116</v>
      </c>
      <c r="F6778" s="257" t="s">
        <v>17323</v>
      </c>
      <c r="G6778" s="9"/>
      <c r="H6778" s="257" t="s">
        <v>24782</v>
      </c>
      <c r="I6778" s="9">
        <v>4</v>
      </c>
    </row>
    <row r="6779" spans="1:9">
      <c r="A6779" s="257" t="s">
        <v>7877</v>
      </c>
      <c r="B6779" s="9">
        <v>9</v>
      </c>
      <c r="C6779" s="257" t="s">
        <v>13558</v>
      </c>
      <c r="D6779" s="9">
        <v>22926367485.427139</v>
      </c>
      <c r="E6779" s="9">
        <v>1721642.4785900116</v>
      </c>
      <c r="F6779" s="257" t="s">
        <v>17323</v>
      </c>
      <c r="G6779" s="9"/>
      <c r="H6779" s="257" t="s">
        <v>24783</v>
      </c>
      <c r="I6779" s="9">
        <v>4</v>
      </c>
    </row>
    <row r="6780" spans="1:9">
      <c r="A6780" s="257" t="s">
        <v>7878</v>
      </c>
      <c r="B6780" s="9">
        <v>9</v>
      </c>
      <c r="C6780" s="257" t="s">
        <v>13559</v>
      </c>
      <c r="D6780" s="9">
        <v>1</v>
      </c>
      <c r="E6780" s="9">
        <v>1721642.4785900116</v>
      </c>
      <c r="F6780" s="257" t="s">
        <v>17323</v>
      </c>
      <c r="G6780" s="9"/>
      <c r="H6780" s="257" t="s">
        <v>24784</v>
      </c>
      <c r="I6780" s="9">
        <v>4</v>
      </c>
    </row>
    <row r="6781" spans="1:9">
      <c r="A6781" s="257" t="s">
        <v>7879</v>
      </c>
      <c r="B6781" s="9">
        <v>9</v>
      </c>
      <c r="C6781" s="257" t="s">
        <v>13560</v>
      </c>
      <c r="D6781" s="9">
        <v>13316.567040215774</v>
      </c>
      <c r="E6781" s="9">
        <v>1721642.4785900116</v>
      </c>
      <c r="F6781" s="257" t="s">
        <v>17323</v>
      </c>
      <c r="G6781" s="9"/>
      <c r="H6781" s="257" t="s">
        <v>24785</v>
      </c>
      <c r="I6781" s="9">
        <v>4</v>
      </c>
    </row>
    <row r="6782" spans="1:9">
      <c r="A6782" s="257" t="s">
        <v>7880</v>
      </c>
      <c r="B6782" s="9">
        <v>9</v>
      </c>
      <c r="C6782" s="257" t="s">
        <v>13561</v>
      </c>
      <c r="D6782" s="9">
        <v>1721642.4785900116</v>
      </c>
      <c r="E6782" s="9">
        <v>1721642.4785900116</v>
      </c>
      <c r="F6782" s="257" t="s">
        <v>17324</v>
      </c>
      <c r="G6782" s="9"/>
      <c r="H6782" s="257" t="s">
        <v>24786</v>
      </c>
      <c r="I6782" s="9">
        <v>4</v>
      </c>
    </row>
    <row r="6783" spans="1:9">
      <c r="A6783" s="257" t="s">
        <v>7881</v>
      </c>
      <c r="B6783" s="9">
        <v>9</v>
      </c>
      <c r="C6783" s="257" t="s">
        <v>13562</v>
      </c>
      <c r="D6783" s="9">
        <v>23703706182.103611</v>
      </c>
      <c r="E6783" s="9">
        <v>1721642.4785900116</v>
      </c>
      <c r="F6783" s="257" t="s">
        <v>17324</v>
      </c>
      <c r="G6783" s="9"/>
      <c r="H6783" s="257" t="s">
        <v>24787</v>
      </c>
      <c r="I6783" s="9">
        <v>4</v>
      </c>
    </row>
    <row r="6784" spans="1:9">
      <c r="A6784" s="257" t="s">
        <v>7882</v>
      </c>
      <c r="B6784" s="9">
        <v>9</v>
      </c>
      <c r="C6784" s="257" t="s">
        <v>13563</v>
      </c>
      <c r="D6784" s="9">
        <v>1</v>
      </c>
      <c r="E6784" s="9">
        <v>1721642.4785900116</v>
      </c>
      <c r="F6784" s="257" t="s">
        <v>17324</v>
      </c>
      <c r="G6784" s="9"/>
      <c r="H6784" s="257" t="s">
        <v>24788</v>
      </c>
      <c r="I6784" s="9">
        <v>4</v>
      </c>
    </row>
    <row r="6785" spans="1:9">
      <c r="A6785" s="257" t="s">
        <v>7883</v>
      </c>
      <c r="B6785" s="9">
        <v>9</v>
      </c>
      <c r="C6785" s="257" t="s">
        <v>13564</v>
      </c>
      <c r="D6785" s="9">
        <v>13768.076982810298</v>
      </c>
      <c r="E6785" s="9">
        <v>1721642.4785900116</v>
      </c>
      <c r="F6785" s="257" t="s">
        <v>17324</v>
      </c>
      <c r="G6785" s="9"/>
      <c r="H6785" s="257" t="s">
        <v>24789</v>
      </c>
      <c r="I6785" s="9">
        <v>4</v>
      </c>
    </row>
    <row r="6786" spans="1:9">
      <c r="A6786" s="257" t="s">
        <v>7884</v>
      </c>
      <c r="B6786" s="9">
        <v>9</v>
      </c>
      <c r="C6786" s="257" t="s">
        <v>13565</v>
      </c>
      <c r="D6786" s="9">
        <v>1721642.4785900116</v>
      </c>
      <c r="E6786" s="9">
        <v>1721642.4785900116</v>
      </c>
      <c r="F6786" s="257" t="s">
        <v>17325</v>
      </c>
      <c r="G6786" s="9"/>
      <c r="H6786" s="257" t="s">
        <v>24790</v>
      </c>
      <c r="I6786" s="9">
        <v>4</v>
      </c>
    </row>
    <row r="6787" spans="1:9">
      <c r="A6787" s="257" t="s">
        <v>7885</v>
      </c>
      <c r="B6787" s="9">
        <v>9</v>
      </c>
      <c r="C6787" s="257" t="s">
        <v>13566</v>
      </c>
      <c r="D6787" s="9">
        <v>3698515683.3379335</v>
      </c>
      <c r="E6787" s="9">
        <v>1721642.4785900116</v>
      </c>
      <c r="F6787" s="257" t="s">
        <v>17325</v>
      </c>
      <c r="G6787" s="9"/>
      <c r="H6787" s="257" t="s">
        <v>24791</v>
      </c>
      <c r="I6787" s="9">
        <v>4</v>
      </c>
    </row>
    <row r="6788" spans="1:9">
      <c r="A6788" s="257" t="s">
        <v>7886</v>
      </c>
      <c r="B6788" s="9">
        <v>9</v>
      </c>
      <c r="C6788" s="257" t="s">
        <v>13567</v>
      </c>
      <c r="D6788" s="9">
        <v>1</v>
      </c>
      <c r="E6788" s="9">
        <v>1721642.4785900116</v>
      </c>
      <c r="F6788" s="257" t="s">
        <v>17325</v>
      </c>
      <c r="G6788" s="9"/>
      <c r="H6788" s="257" t="s">
        <v>24792</v>
      </c>
      <c r="I6788" s="9">
        <v>4</v>
      </c>
    </row>
    <row r="6789" spans="1:9">
      <c r="A6789" s="257" t="s">
        <v>7887</v>
      </c>
      <c r="B6789" s="9">
        <v>9</v>
      </c>
      <c r="C6789" s="257" t="s">
        <v>13568</v>
      </c>
      <c r="D6789" s="9">
        <v>2148.248390320236</v>
      </c>
      <c r="E6789" s="9">
        <v>1721642.4785900116</v>
      </c>
      <c r="F6789" s="257" t="s">
        <v>17325</v>
      </c>
      <c r="G6789" s="9"/>
      <c r="H6789" s="257" t="s">
        <v>24793</v>
      </c>
      <c r="I6789" s="9">
        <v>4</v>
      </c>
    </row>
    <row r="6790" spans="1:9">
      <c r="A6790" s="257" t="s">
        <v>7888</v>
      </c>
      <c r="B6790" s="9">
        <v>9</v>
      </c>
      <c r="C6790" s="257" t="s">
        <v>13569</v>
      </c>
      <c r="D6790" s="9">
        <v>1559742.609960556</v>
      </c>
      <c r="E6790" s="9">
        <v>1721642.4785900116</v>
      </c>
      <c r="F6790" s="257" t="s">
        <v>17326</v>
      </c>
      <c r="G6790" s="9"/>
      <c r="H6790" s="257" t="s">
        <v>24794</v>
      </c>
      <c r="I6790" s="9">
        <v>4</v>
      </c>
    </row>
    <row r="6791" spans="1:9">
      <c r="A6791" s="257" t="s">
        <v>7889</v>
      </c>
      <c r="B6791" s="9">
        <v>9</v>
      </c>
      <c r="C6791" s="257" t="s">
        <v>13570</v>
      </c>
      <c r="D6791" s="9">
        <v>7299137835.5635614</v>
      </c>
      <c r="E6791" s="9">
        <v>1721642.4785900116</v>
      </c>
      <c r="F6791" s="257" t="s">
        <v>17326</v>
      </c>
      <c r="G6791" s="9"/>
      <c r="H6791" s="257" t="s">
        <v>24795</v>
      </c>
      <c r="I6791" s="9">
        <v>4</v>
      </c>
    </row>
    <row r="6792" spans="1:9">
      <c r="A6792" s="257" t="s">
        <v>7890</v>
      </c>
      <c r="B6792" s="9">
        <v>9</v>
      </c>
      <c r="C6792" s="257" t="s">
        <v>13571</v>
      </c>
      <c r="D6792" s="9">
        <v>0.90596196908312343</v>
      </c>
      <c r="E6792" s="9">
        <v>1721642.4785900116</v>
      </c>
      <c r="F6792" s="257" t="s">
        <v>17326</v>
      </c>
      <c r="G6792" s="9"/>
      <c r="H6792" s="257" t="s">
        <v>24796</v>
      </c>
      <c r="I6792" s="9">
        <v>4</v>
      </c>
    </row>
    <row r="6793" spans="1:9">
      <c r="A6793" s="257" t="s">
        <v>7891</v>
      </c>
      <c r="B6793" s="9">
        <v>9</v>
      </c>
      <c r="C6793" s="257" t="s">
        <v>13572</v>
      </c>
      <c r="D6793" s="9">
        <v>4239.6362347781978</v>
      </c>
      <c r="E6793" s="9">
        <v>1721642.4785900116</v>
      </c>
      <c r="F6793" s="257" t="s">
        <v>17326</v>
      </c>
      <c r="G6793" s="9"/>
      <c r="H6793" s="257" t="s">
        <v>24797</v>
      </c>
      <c r="I6793" s="9">
        <v>4</v>
      </c>
    </row>
    <row r="6794" spans="1:9">
      <c r="A6794" s="257" t="s">
        <v>7892</v>
      </c>
      <c r="B6794" s="9">
        <v>9</v>
      </c>
      <c r="C6794" s="257" t="s">
        <v>13573</v>
      </c>
      <c r="D6794" s="9">
        <v>1721642.4785900116</v>
      </c>
      <c r="E6794" s="9">
        <v>1721642.4785900116</v>
      </c>
      <c r="F6794" s="257" t="s">
        <v>17327</v>
      </c>
      <c r="G6794" s="9"/>
      <c r="H6794" s="257" t="s">
        <v>24798</v>
      </c>
      <c r="I6794" s="9">
        <v>4</v>
      </c>
    </row>
    <row r="6795" spans="1:9">
      <c r="A6795" s="257" t="s">
        <v>7893</v>
      </c>
      <c r="B6795" s="9">
        <v>9</v>
      </c>
      <c r="C6795" s="257" t="s">
        <v>13574</v>
      </c>
      <c r="D6795" s="9">
        <v>30225505320.9907</v>
      </c>
      <c r="E6795" s="9">
        <v>1721642.4785900116</v>
      </c>
      <c r="F6795" s="257" t="s">
        <v>17327</v>
      </c>
      <c r="G6795" s="9"/>
      <c r="H6795" s="257" t="s">
        <v>24799</v>
      </c>
      <c r="I6795" s="9">
        <v>4</v>
      </c>
    </row>
    <row r="6796" spans="1:9">
      <c r="A6796" s="257" t="s">
        <v>7894</v>
      </c>
      <c r="B6796" s="9">
        <v>9</v>
      </c>
      <c r="C6796" s="257" t="s">
        <v>13575</v>
      </c>
      <c r="D6796" s="9">
        <v>1</v>
      </c>
      <c r="E6796" s="9">
        <v>1721642.4785900116</v>
      </c>
      <c r="F6796" s="257" t="s">
        <v>17327</v>
      </c>
      <c r="G6796" s="9"/>
      <c r="H6796" s="257" t="s">
        <v>24800</v>
      </c>
      <c r="I6796" s="9">
        <v>4</v>
      </c>
    </row>
    <row r="6797" spans="1:9">
      <c r="A6797" s="257" t="s">
        <v>7895</v>
      </c>
      <c r="B6797" s="9">
        <v>9</v>
      </c>
      <c r="C6797" s="257" t="s">
        <v>13576</v>
      </c>
      <c r="D6797" s="9">
        <v>17556.203274993972</v>
      </c>
      <c r="E6797" s="9">
        <v>1721642.4785900116</v>
      </c>
      <c r="F6797" s="257" t="s">
        <v>17327</v>
      </c>
      <c r="G6797" s="9"/>
      <c r="H6797" s="257" t="s">
        <v>24801</v>
      </c>
      <c r="I6797" s="9">
        <v>4</v>
      </c>
    </row>
    <row r="6798" spans="1:9">
      <c r="A6798" s="257" t="s">
        <v>7896</v>
      </c>
      <c r="B6798" s="9">
        <v>9</v>
      </c>
      <c r="C6798" s="257" t="s">
        <v>13577</v>
      </c>
      <c r="D6798" s="9">
        <v>1721642.4785900116</v>
      </c>
      <c r="E6798" s="9">
        <v>1721642.4785900116</v>
      </c>
      <c r="F6798" s="257" t="s">
        <v>17328</v>
      </c>
      <c r="G6798" s="9"/>
      <c r="H6798" s="257" t="s">
        <v>24802</v>
      </c>
      <c r="I6798" s="9">
        <v>4</v>
      </c>
    </row>
    <row r="6799" spans="1:9">
      <c r="A6799" s="257" t="s">
        <v>7897</v>
      </c>
      <c r="B6799" s="9">
        <v>9</v>
      </c>
      <c r="C6799" s="257" t="s">
        <v>13578</v>
      </c>
      <c r="D6799" s="9">
        <v>31002844017.667171</v>
      </c>
      <c r="E6799" s="9">
        <v>1721642.4785900116</v>
      </c>
      <c r="F6799" s="257" t="s">
        <v>17328</v>
      </c>
      <c r="G6799" s="9"/>
      <c r="H6799" s="257" t="s">
        <v>24803</v>
      </c>
      <c r="I6799" s="9">
        <v>4</v>
      </c>
    </row>
    <row r="6800" spans="1:9">
      <c r="A6800" s="257" t="s">
        <v>7898</v>
      </c>
      <c r="B6800" s="9">
        <v>9</v>
      </c>
      <c r="C6800" s="257" t="s">
        <v>13579</v>
      </c>
      <c r="D6800" s="9">
        <v>1</v>
      </c>
      <c r="E6800" s="9">
        <v>1721642.4785900116</v>
      </c>
      <c r="F6800" s="257" t="s">
        <v>17328</v>
      </c>
      <c r="G6800" s="9"/>
      <c r="H6800" s="257" t="s">
        <v>24804</v>
      </c>
      <c r="I6800" s="9">
        <v>4</v>
      </c>
    </row>
    <row r="6801" spans="1:9">
      <c r="A6801" s="257" t="s">
        <v>7899</v>
      </c>
      <c r="B6801" s="9">
        <v>9</v>
      </c>
      <c r="C6801" s="257" t="s">
        <v>13580</v>
      </c>
      <c r="D6801" s="9">
        <v>18007.713217588494</v>
      </c>
      <c r="E6801" s="9">
        <v>1721642.4785900116</v>
      </c>
      <c r="F6801" s="257" t="s">
        <v>17328</v>
      </c>
      <c r="G6801" s="9"/>
      <c r="H6801" s="257" t="s">
        <v>24805</v>
      </c>
      <c r="I6801" s="9">
        <v>4</v>
      </c>
    </row>
    <row r="6802" spans="1:9">
      <c r="A6802" s="257" t="s">
        <v>7900</v>
      </c>
      <c r="B6802" s="9">
        <v>9</v>
      </c>
      <c r="C6802" s="257" t="s">
        <v>13581</v>
      </c>
      <c r="D6802" s="9">
        <v>1529271.85546875</v>
      </c>
      <c r="E6802" s="9">
        <v>1721642.4785900116</v>
      </c>
      <c r="F6802" s="257" t="s">
        <v>17329</v>
      </c>
      <c r="G6802" s="9"/>
      <c r="H6802" s="257" t="s">
        <v>24806</v>
      </c>
      <c r="I6802" s="9">
        <v>4</v>
      </c>
    </row>
    <row r="6803" spans="1:9">
      <c r="A6803" s="257" t="s">
        <v>7901</v>
      </c>
      <c r="B6803" s="9">
        <v>9</v>
      </c>
      <c r="C6803" s="257" t="s">
        <v>13582</v>
      </c>
      <c r="D6803" s="9">
        <v>15241987734.111622</v>
      </c>
      <c r="E6803" s="9">
        <v>1721642.4785900116</v>
      </c>
      <c r="F6803" s="257" t="s">
        <v>17329</v>
      </c>
      <c r="G6803" s="9"/>
      <c r="H6803" s="257" t="s">
        <v>24807</v>
      </c>
      <c r="I6803" s="9">
        <v>4</v>
      </c>
    </row>
    <row r="6804" spans="1:9">
      <c r="A6804" s="257" t="s">
        <v>7902</v>
      </c>
      <c r="B6804" s="9">
        <v>9</v>
      </c>
      <c r="C6804" s="257" t="s">
        <v>13583</v>
      </c>
      <c r="D6804" s="9">
        <v>0.88826331511127155</v>
      </c>
      <c r="E6804" s="9">
        <v>1721642.4785900116</v>
      </c>
      <c r="F6804" s="257" t="s">
        <v>17329</v>
      </c>
      <c r="G6804" s="9"/>
      <c r="H6804" s="257" t="s">
        <v>24808</v>
      </c>
      <c r="I6804" s="9">
        <v>4</v>
      </c>
    </row>
    <row r="6805" spans="1:9">
      <c r="A6805" s="257" t="s">
        <v>7903</v>
      </c>
      <c r="B6805" s="9">
        <v>9</v>
      </c>
      <c r="C6805" s="257" t="s">
        <v>13584</v>
      </c>
      <c r="D6805" s="9">
        <v>8853.1666264383093</v>
      </c>
      <c r="E6805" s="9">
        <v>1721642.4785900116</v>
      </c>
      <c r="F6805" s="257" t="s">
        <v>17329</v>
      </c>
      <c r="G6805" s="9"/>
      <c r="H6805" s="257" t="s">
        <v>24809</v>
      </c>
      <c r="I6805" s="9">
        <v>4</v>
      </c>
    </row>
    <row r="6806" spans="1:9">
      <c r="A6806" s="257" t="s">
        <v>7904</v>
      </c>
      <c r="B6806" s="9">
        <v>9</v>
      </c>
      <c r="C6806" s="257" t="s">
        <v>13585</v>
      </c>
      <c r="D6806" s="9">
        <v>1530077.2736816406</v>
      </c>
      <c r="E6806" s="9">
        <v>1721642.4785900116</v>
      </c>
      <c r="F6806" s="257" t="s">
        <v>17330</v>
      </c>
      <c r="G6806" s="9"/>
      <c r="H6806" s="257" t="s">
        <v>24810</v>
      </c>
      <c r="I6806" s="9">
        <v>4</v>
      </c>
    </row>
    <row r="6807" spans="1:9">
      <c r="A6807" s="257" t="s">
        <v>7905</v>
      </c>
      <c r="B6807" s="9">
        <v>9</v>
      </c>
      <c r="C6807" s="257" t="s">
        <v>13586</v>
      </c>
      <c r="D6807" s="9">
        <v>16019326430.788092</v>
      </c>
      <c r="E6807" s="9">
        <v>1721642.4785900116</v>
      </c>
      <c r="F6807" s="257" t="s">
        <v>17330</v>
      </c>
      <c r="G6807" s="9"/>
      <c r="H6807" s="257" t="s">
        <v>24811</v>
      </c>
      <c r="I6807" s="9">
        <v>4</v>
      </c>
    </row>
    <row r="6808" spans="1:9">
      <c r="A6808" s="257" t="s">
        <v>7906</v>
      </c>
      <c r="B6808" s="9">
        <v>9</v>
      </c>
      <c r="C6808" s="257" t="s">
        <v>13587</v>
      </c>
      <c r="D6808" s="9">
        <v>0.88873113477935395</v>
      </c>
      <c r="E6808" s="9">
        <v>1721642.4785900116</v>
      </c>
      <c r="F6808" s="257" t="s">
        <v>17330</v>
      </c>
      <c r="G6808" s="9"/>
      <c r="H6808" s="257" t="s">
        <v>24812</v>
      </c>
      <c r="I6808" s="9">
        <v>4</v>
      </c>
    </row>
    <row r="6809" spans="1:9">
      <c r="A6809" s="257" t="s">
        <v>7907</v>
      </c>
      <c r="B6809" s="9">
        <v>9</v>
      </c>
      <c r="C6809" s="257" t="s">
        <v>13588</v>
      </c>
      <c r="D6809" s="9">
        <v>9304.676569032832</v>
      </c>
      <c r="E6809" s="9">
        <v>1721642.4785900116</v>
      </c>
      <c r="F6809" s="257" t="s">
        <v>17330</v>
      </c>
      <c r="G6809" s="9"/>
      <c r="H6809" s="257" t="s">
        <v>24813</v>
      </c>
      <c r="I6809" s="9">
        <v>4</v>
      </c>
    </row>
    <row r="6810" spans="1:9">
      <c r="A6810" s="257" t="s">
        <v>7908</v>
      </c>
      <c r="B6810" s="9">
        <v>9</v>
      </c>
      <c r="C6810" s="257" t="s">
        <v>13589</v>
      </c>
      <c r="D6810" s="9">
        <v>1721642.4785900116</v>
      </c>
      <c r="E6810" s="9">
        <v>1721642.4785900116</v>
      </c>
      <c r="F6810" s="257" t="s">
        <v>17331</v>
      </c>
      <c r="G6810" s="9"/>
      <c r="H6810" s="257" t="s">
        <v>24814</v>
      </c>
      <c r="I6810" s="9">
        <v>4</v>
      </c>
    </row>
    <row r="6811" spans="1:9">
      <c r="A6811" s="257" t="s">
        <v>7909</v>
      </c>
      <c r="B6811" s="9">
        <v>9</v>
      </c>
      <c r="C6811" s="257" t="s">
        <v>13590</v>
      </c>
      <c r="D6811" s="9">
        <v>7684379751.3155184</v>
      </c>
      <c r="E6811" s="9">
        <v>1721642.4785900116</v>
      </c>
      <c r="F6811" s="257" t="s">
        <v>17331</v>
      </c>
      <c r="G6811" s="9"/>
      <c r="H6811" s="257" t="s">
        <v>24815</v>
      </c>
      <c r="I6811" s="9">
        <v>4</v>
      </c>
    </row>
    <row r="6812" spans="1:9">
      <c r="A6812" s="257" t="s">
        <v>7910</v>
      </c>
      <c r="B6812" s="9">
        <v>9</v>
      </c>
      <c r="C6812" s="257" t="s">
        <v>13591</v>
      </c>
      <c r="D6812" s="9">
        <v>1</v>
      </c>
      <c r="E6812" s="9">
        <v>1721642.4785900116</v>
      </c>
      <c r="F6812" s="257" t="s">
        <v>17331</v>
      </c>
      <c r="G6812" s="9"/>
      <c r="H6812" s="257" t="s">
        <v>24816</v>
      </c>
      <c r="I6812" s="9">
        <v>4</v>
      </c>
    </row>
    <row r="6813" spans="1:9">
      <c r="A6813" s="257" t="s">
        <v>7911</v>
      </c>
      <c r="B6813" s="9">
        <v>9</v>
      </c>
      <c r="C6813" s="257" t="s">
        <v>13592</v>
      </c>
      <c r="D6813" s="9">
        <v>4463.4004137774655</v>
      </c>
      <c r="E6813" s="9">
        <v>1721642.4785900116</v>
      </c>
      <c r="F6813" s="257" t="s">
        <v>17331</v>
      </c>
      <c r="G6813" s="9"/>
      <c r="H6813" s="257" t="s">
        <v>24817</v>
      </c>
      <c r="I6813" s="9">
        <v>4</v>
      </c>
    </row>
    <row r="6814" spans="1:9">
      <c r="A6814" s="257" t="s">
        <v>7912</v>
      </c>
      <c r="B6814" s="9">
        <v>9</v>
      </c>
      <c r="C6814" s="257" t="s">
        <v>13593</v>
      </c>
      <c r="D6814" s="9">
        <v>1721642.4785900116</v>
      </c>
      <c r="E6814" s="9">
        <v>1721642.4785900116</v>
      </c>
      <c r="F6814" s="257" t="s">
        <v>17332</v>
      </c>
      <c r="G6814" s="9"/>
      <c r="H6814" s="257" t="s">
        <v>24818</v>
      </c>
      <c r="I6814" s="9">
        <v>4</v>
      </c>
    </row>
    <row r="6815" spans="1:9">
      <c r="A6815" s="257" t="s">
        <v>7913</v>
      </c>
      <c r="B6815" s="9">
        <v>9</v>
      </c>
      <c r="C6815" s="257" t="s">
        <v>13594</v>
      </c>
      <c r="D6815" s="9">
        <v>13946159932.805191</v>
      </c>
      <c r="E6815" s="9">
        <v>1721642.4785900116</v>
      </c>
      <c r="F6815" s="257" t="s">
        <v>17332</v>
      </c>
      <c r="G6815" s="9"/>
      <c r="H6815" s="257" t="s">
        <v>24819</v>
      </c>
      <c r="I6815" s="9">
        <v>4</v>
      </c>
    </row>
    <row r="6816" spans="1:9">
      <c r="A6816" s="257" t="s">
        <v>7914</v>
      </c>
      <c r="B6816" s="9">
        <v>9</v>
      </c>
      <c r="C6816" s="257" t="s">
        <v>13595</v>
      </c>
      <c r="D6816" s="9">
        <v>1</v>
      </c>
      <c r="E6816" s="9">
        <v>1721642.4785900116</v>
      </c>
      <c r="F6816" s="257" t="s">
        <v>17332</v>
      </c>
      <c r="G6816" s="9"/>
      <c r="H6816" s="257" t="s">
        <v>24820</v>
      </c>
      <c r="I6816" s="9">
        <v>4</v>
      </c>
    </row>
    <row r="6817" spans="1:9">
      <c r="A6817" s="257" t="s">
        <v>7915</v>
      </c>
      <c r="B6817" s="9">
        <v>9</v>
      </c>
      <c r="C6817" s="257" t="s">
        <v>13596</v>
      </c>
      <c r="D6817" s="9">
        <v>8100.497116118323</v>
      </c>
      <c r="E6817" s="9">
        <v>1721642.4785900116</v>
      </c>
      <c r="F6817" s="257" t="s">
        <v>17332</v>
      </c>
      <c r="G6817" s="9"/>
      <c r="H6817" s="257" t="s">
        <v>24821</v>
      </c>
      <c r="I6817" s="9">
        <v>4</v>
      </c>
    </row>
    <row r="6818" spans="1:9">
      <c r="A6818" s="257" t="s">
        <v>7916</v>
      </c>
      <c r="B6818" s="9">
        <v>9</v>
      </c>
      <c r="C6818" s="257" t="s">
        <v>13597</v>
      </c>
      <c r="D6818" s="9">
        <v>1545424.5445251465</v>
      </c>
      <c r="E6818" s="9">
        <v>1721642.4785900116</v>
      </c>
      <c r="F6818" s="257" t="s">
        <v>17333</v>
      </c>
      <c r="G6818" s="9"/>
      <c r="H6818" s="257" t="s">
        <v>24822</v>
      </c>
      <c r="I6818" s="9">
        <v>4</v>
      </c>
    </row>
    <row r="6819" spans="1:9">
      <c r="A6819" s="257" t="s">
        <v>7917</v>
      </c>
      <c r="B6819" s="9">
        <v>9</v>
      </c>
      <c r="C6819" s="257" t="s">
        <v>13598</v>
      </c>
      <c r="D6819" s="9">
        <v>18681268185.874756</v>
      </c>
      <c r="E6819" s="9">
        <v>1721642.4785900116</v>
      </c>
      <c r="F6819" s="257" t="s">
        <v>17333</v>
      </c>
      <c r="G6819" s="9"/>
      <c r="H6819" s="257" t="s">
        <v>24823</v>
      </c>
      <c r="I6819" s="9">
        <v>4</v>
      </c>
    </row>
    <row r="6820" spans="1:9">
      <c r="A6820" s="257" t="s">
        <v>7918</v>
      </c>
      <c r="B6820" s="9">
        <v>9</v>
      </c>
      <c r="C6820" s="257" t="s">
        <v>13599</v>
      </c>
      <c r="D6820" s="9">
        <v>0.89764545411938035</v>
      </c>
      <c r="E6820" s="9">
        <v>1721642.4785900116</v>
      </c>
      <c r="F6820" s="257" t="s">
        <v>17333</v>
      </c>
      <c r="G6820" s="9"/>
      <c r="H6820" s="257" t="s">
        <v>24824</v>
      </c>
      <c r="I6820" s="9">
        <v>4</v>
      </c>
    </row>
    <row r="6821" spans="1:9">
      <c r="A6821" s="257" t="s">
        <v>7919</v>
      </c>
      <c r="B6821" s="9">
        <v>9</v>
      </c>
      <c r="C6821" s="257" t="s">
        <v>13600</v>
      </c>
      <c r="D6821" s="9">
        <v>10850.840646760944</v>
      </c>
      <c r="E6821" s="9">
        <v>1721642.4785900116</v>
      </c>
      <c r="F6821" s="257" t="s">
        <v>17333</v>
      </c>
      <c r="G6821" s="9"/>
      <c r="H6821" s="257" t="s">
        <v>24825</v>
      </c>
      <c r="I6821" s="9">
        <v>4</v>
      </c>
    </row>
    <row r="6822" spans="1:9">
      <c r="A6822" s="257" t="s">
        <v>7920</v>
      </c>
      <c r="B6822" s="9">
        <v>9</v>
      </c>
      <c r="C6822" s="257" t="s">
        <v>13601</v>
      </c>
      <c r="D6822" s="9">
        <v>0</v>
      </c>
      <c r="E6822" s="9">
        <v>1721642.4785900116</v>
      </c>
      <c r="F6822" s="257" t="s">
        <v>17334</v>
      </c>
      <c r="G6822" s="9"/>
      <c r="H6822" s="257" t="s">
        <v>24826</v>
      </c>
      <c r="I6822" s="9">
        <v>4</v>
      </c>
    </row>
    <row r="6823" spans="1:9">
      <c r="A6823" s="257" t="s">
        <v>7921</v>
      </c>
      <c r="B6823" s="9">
        <v>9</v>
      </c>
      <c r="C6823" s="257" t="s">
        <v>13602</v>
      </c>
      <c r="D6823" s="9">
        <v>-1624584101.0127769</v>
      </c>
      <c r="E6823" s="9">
        <v>1721642.4785900116</v>
      </c>
      <c r="F6823" s="257" t="s">
        <v>17334</v>
      </c>
      <c r="G6823" s="9"/>
      <c r="H6823" s="257" t="s">
        <v>24827</v>
      </c>
      <c r="I6823" s="9">
        <v>4</v>
      </c>
    </row>
    <row r="6824" spans="1:9">
      <c r="A6824" s="257" t="s">
        <v>7922</v>
      </c>
      <c r="B6824" s="9">
        <v>9</v>
      </c>
      <c r="C6824" s="257" t="s">
        <v>13603</v>
      </c>
      <c r="D6824" s="9">
        <v>0</v>
      </c>
      <c r="E6824" s="9">
        <v>1721642.4785900116</v>
      </c>
      <c r="F6824" s="257" t="s">
        <v>17334</v>
      </c>
      <c r="G6824" s="9"/>
      <c r="H6824" s="257" t="s">
        <v>24828</v>
      </c>
      <c r="I6824" s="9">
        <v>4</v>
      </c>
    </row>
    <row r="6825" spans="1:9">
      <c r="A6825" s="257" t="s">
        <v>7923</v>
      </c>
      <c r="B6825" s="9">
        <v>9</v>
      </c>
      <c r="C6825" s="257" t="s">
        <v>13604</v>
      </c>
      <c r="D6825" s="9">
        <v>-943.62454529077172</v>
      </c>
      <c r="E6825" s="9">
        <v>1721642.4785900116</v>
      </c>
      <c r="F6825" s="257" t="s">
        <v>17334</v>
      </c>
      <c r="G6825" s="9"/>
      <c r="H6825" s="257" t="s">
        <v>24829</v>
      </c>
      <c r="I6825" s="9">
        <v>4</v>
      </c>
    </row>
    <row r="6826" spans="1:9">
      <c r="A6826" s="257" t="s">
        <v>7924</v>
      </c>
      <c r="B6826" s="9">
        <v>9</v>
      </c>
      <c r="C6826" s="257" t="s">
        <v>13605</v>
      </c>
      <c r="D6826" s="9">
        <v>1532204.875</v>
      </c>
      <c r="E6826" s="9">
        <v>1721642.4785900116</v>
      </c>
      <c r="F6826" s="257" t="s">
        <v>17335</v>
      </c>
      <c r="G6826" s="9"/>
      <c r="H6826" s="257" t="s">
        <v>24830</v>
      </c>
      <c r="I6826" s="9">
        <v>4</v>
      </c>
    </row>
    <row r="6827" spans="1:9">
      <c r="A6827" s="257" t="s">
        <v>7925</v>
      </c>
      <c r="B6827" s="9">
        <v>9</v>
      </c>
      <c r="C6827" s="257" t="s">
        <v>13606</v>
      </c>
      <c r="D6827" s="9">
        <v>17056684084.86198</v>
      </c>
      <c r="E6827" s="9">
        <v>1721642.4785900116</v>
      </c>
      <c r="F6827" s="257" t="s">
        <v>17335</v>
      </c>
      <c r="G6827" s="9"/>
      <c r="H6827" s="257" t="s">
        <v>24831</v>
      </c>
      <c r="I6827" s="9">
        <v>4</v>
      </c>
    </row>
    <row r="6828" spans="1:9">
      <c r="A6828" s="257" t="s">
        <v>7926</v>
      </c>
      <c r="B6828" s="9">
        <v>9</v>
      </c>
      <c r="C6828" s="257" t="s">
        <v>13607</v>
      </c>
      <c r="D6828" s="9">
        <v>0.88996693219073164</v>
      </c>
      <c r="E6828" s="9">
        <v>1721642.4785900116</v>
      </c>
      <c r="F6828" s="257" t="s">
        <v>17335</v>
      </c>
      <c r="G6828" s="9"/>
      <c r="H6828" s="257" t="s">
        <v>24832</v>
      </c>
      <c r="I6828" s="9">
        <v>4</v>
      </c>
    </row>
    <row r="6829" spans="1:9">
      <c r="A6829" s="257" t="s">
        <v>7927</v>
      </c>
      <c r="B6829" s="9">
        <v>9</v>
      </c>
      <c r="C6829" s="257" t="s">
        <v>13608</v>
      </c>
      <c r="D6829" s="9">
        <v>9907.2161014701724</v>
      </c>
      <c r="E6829" s="9">
        <v>1721642.4785900116</v>
      </c>
      <c r="F6829" s="257" t="s">
        <v>17335</v>
      </c>
      <c r="G6829" s="9"/>
      <c r="H6829" s="257" t="s">
        <v>24833</v>
      </c>
      <c r="I6829" s="9">
        <v>4</v>
      </c>
    </row>
    <row r="6830" spans="1:9">
      <c r="A6830" s="257" t="s">
        <v>7928</v>
      </c>
      <c r="B6830" s="9">
        <v>9</v>
      </c>
      <c r="C6830" s="257" t="s">
        <v>13609</v>
      </c>
      <c r="D6830" s="9">
        <v>526238.63017272949</v>
      </c>
      <c r="E6830" s="9">
        <v>1721642.4785900116</v>
      </c>
      <c r="F6830" s="257" t="s">
        <v>17336</v>
      </c>
      <c r="G6830" s="9"/>
      <c r="H6830" s="257" t="s">
        <v>24834</v>
      </c>
      <c r="I6830" s="9">
        <v>4</v>
      </c>
    </row>
    <row r="6831" spans="1:9">
      <c r="A6831" s="257" t="s">
        <v>7929</v>
      </c>
      <c r="B6831" s="9">
        <v>9</v>
      </c>
      <c r="C6831" s="257" t="s">
        <v>13610</v>
      </c>
      <c r="D6831" s="9">
        <v>1037357654.0738885</v>
      </c>
      <c r="E6831" s="9">
        <v>1721642.4785900116</v>
      </c>
      <c r="F6831" s="257" t="s">
        <v>17336</v>
      </c>
      <c r="G6831" s="9"/>
      <c r="H6831" s="257" t="s">
        <v>24835</v>
      </c>
      <c r="I6831" s="9">
        <v>4</v>
      </c>
    </row>
    <row r="6832" spans="1:9">
      <c r="A6832" s="257" t="s">
        <v>7930</v>
      </c>
      <c r="B6832" s="9">
        <v>9</v>
      </c>
      <c r="C6832" s="257" t="s">
        <v>13611</v>
      </c>
      <c r="D6832" s="9">
        <v>0.30566080746550101</v>
      </c>
      <c r="E6832" s="9">
        <v>1721642.4785900116</v>
      </c>
      <c r="F6832" s="257" t="s">
        <v>17336</v>
      </c>
      <c r="G6832" s="9"/>
      <c r="H6832" s="257" t="s">
        <v>24836</v>
      </c>
      <c r="I6832" s="9">
        <v>4</v>
      </c>
    </row>
    <row r="6833" spans="1:9">
      <c r="A6833" s="257" t="s">
        <v>7931</v>
      </c>
      <c r="B6833" s="9">
        <v>9</v>
      </c>
      <c r="C6833" s="257" t="s">
        <v>13612</v>
      </c>
      <c r="D6833" s="9">
        <v>602.53953243733986</v>
      </c>
      <c r="E6833" s="9">
        <v>1721642.4785900116</v>
      </c>
      <c r="F6833" s="257" t="s">
        <v>17336</v>
      </c>
      <c r="G6833" s="9"/>
      <c r="H6833" s="257" t="s">
        <v>24837</v>
      </c>
      <c r="I6833" s="9">
        <v>4</v>
      </c>
    </row>
    <row r="6834" spans="1:9">
      <c r="A6834" s="257" t="s">
        <v>7932</v>
      </c>
      <c r="B6834" s="9">
        <v>9</v>
      </c>
      <c r="C6834" s="257" t="s">
        <v>13613</v>
      </c>
      <c r="D6834" s="9">
        <v>1539397.4216518402</v>
      </c>
      <c r="E6834" s="9">
        <v>1721642.4785900116</v>
      </c>
      <c r="F6834" s="257" t="s">
        <v>17337</v>
      </c>
      <c r="G6834" s="9"/>
      <c r="H6834" s="257" t="s">
        <v>24838</v>
      </c>
      <c r="I6834" s="9">
        <v>4</v>
      </c>
    </row>
    <row r="6835" spans="1:9">
      <c r="A6835" s="257" t="s">
        <v>7933</v>
      </c>
      <c r="B6835" s="9">
        <v>9</v>
      </c>
      <c r="C6835" s="257" t="s">
        <v>13614</v>
      </c>
      <c r="D6835" s="9">
        <v>6261780181.4896736</v>
      </c>
      <c r="E6835" s="9">
        <v>1721642.4785900116</v>
      </c>
      <c r="F6835" s="257" t="s">
        <v>17337</v>
      </c>
      <c r="G6835" s="9"/>
      <c r="H6835" s="257" t="s">
        <v>24839</v>
      </c>
      <c r="I6835" s="9">
        <v>4</v>
      </c>
    </row>
    <row r="6836" spans="1:9">
      <c r="A6836" s="257" t="s">
        <v>7934</v>
      </c>
      <c r="B6836" s="9">
        <v>9</v>
      </c>
      <c r="C6836" s="257" t="s">
        <v>13615</v>
      </c>
      <c r="D6836" s="9">
        <v>0.89414465592912984</v>
      </c>
      <c r="E6836" s="9">
        <v>1721642.4785900116</v>
      </c>
      <c r="F6836" s="257" t="s">
        <v>17337</v>
      </c>
      <c r="G6836" s="9"/>
      <c r="H6836" s="257" t="s">
        <v>24840</v>
      </c>
      <c r="I6836" s="9">
        <v>4</v>
      </c>
    </row>
    <row r="6837" spans="1:9">
      <c r="A6837" s="257" t="s">
        <v>7935</v>
      </c>
      <c r="B6837" s="9">
        <v>9</v>
      </c>
      <c r="C6837" s="257" t="s">
        <v>13616</v>
      </c>
      <c r="D6837" s="9">
        <v>3637.0967023408589</v>
      </c>
      <c r="E6837" s="9">
        <v>1721642.4785900116</v>
      </c>
      <c r="F6837" s="257" t="s">
        <v>17337</v>
      </c>
      <c r="G6837" s="9"/>
      <c r="H6837" s="257" t="s">
        <v>24841</v>
      </c>
      <c r="I6837" s="9">
        <v>4</v>
      </c>
    </row>
    <row r="6838" spans="1:9">
      <c r="A6838" s="257" t="s">
        <v>7936</v>
      </c>
      <c r="B6838" s="9">
        <v>9</v>
      </c>
      <c r="C6838" s="257" t="s">
        <v>13617</v>
      </c>
      <c r="D6838" s="9">
        <v>130453.96267700195</v>
      </c>
      <c r="E6838" s="9">
        <v>1721642.4785900116</v>
      </c>
      <c r="F6838" s="257" t="s">
        <v>17338</v>
      </c>
      <c r="G6838" s="9"/>
      <c r="H6838" s="257" t="s">
        <v>24842</v>
      </c>
      <c r="I6838" s="9">
        <v>4</v>
      </c>
    </row>
    <row r="6839" spans="1:9">
      <c r="A6839" s="257" t="s">
        <v>7937</v>
      </c>
      <c r="B6839" s="9">
        <v>9</v>
      </c>
      <c r="C6839" s="257" t="s">
        <v>13618</v>
      </c>
      <c r="D6839" s="9">
        <v>945398790.09908676</v>
      </c>
      <c r="E6839" s="9">
        <v>1721642.4785900116</v>
      </c>
      <c r="F6839" s="257" t="s">
        <v>17338</v>
      </c>
      <c r="G6839" s="9"/>
      <c r="H6839" s="257" t="s">
        <v>24843</v>
      </c>
      <c r="I6839" s="9">
        <v>4</v>
      </c>
    </row>
    <row r="6840" spans="1:9">
      <c r="A6840" s="257" t="s">
        <v>7938</v>
      </c>
      <c r="B6840" s="9">
        <v>9</v>
      </c>
      <c r="C6840" s="257" t="s">
        <v>13619</v>
      </c>
      <c r="D6840" s="9">
        <v>7.577296930071159E-2</v>
      </c>
      <c r="E6840" s="9">
        <v>1721642.4785900116</v>
      </c>
      <c r="F6840" s="257" t="s">
        <v>17338</v>
      </c>
      <c r="G6840" s="9"/>
      <c r="H6840" s="257" t="s">
        <v>24844</v>
      </c>
      <c r="I6840" s="9">
        <v>4</v>
      </c>
    </row>
    <row r="6841" spans="1:9">
      <c r="A6841" s="257" t="s">
        <v>7939</v>
      </c>
      <c r="B6841" s="9">
        <v>9</v>
      </c>
      <c r="C6841" s="257" t="s">
        <v>13620</v>
      </c>
      <c r="D6841" s="9">
        <v>549.12608271221802</v>
      </c>
      <c r="E6841" s="9">
        <v>1721642.4785900116</v>
      </c>
      <c r="F6841" s="257" t="s">
        <v>17338</v>
      </c>
      <c r="G6841" s="9"/>
      <c r="H6841" s="257" t="s">
        <v>24845</v>
      </c>
      <c r="I6841" s="9">
        <v>4</v>
      </c>
    </row>
    <row r="6842" spans="1:9">
      <c r="A6842" s="257" t="s">
        <v>7940</v>
      </c>
      <c r="B6842" s="9">
        <v>10</v>
      </c>
      <c r="C6842" s="257" t="s">
        <v>13621</v>
      </c>
      <c r="D6842" s="9">
        <v>1585486.8079090118</v>
      </c>
      <c r="E6842" s="9">
        <v>1732307.5169143677</v>
      </c>
      <c r="F6842" s="257" t="s">
        <v>17339</v>
      </c>
      <c r="G6842" s="9"/>
      <c r="H6842" s="257" t="s">
        <v>24846</v>
      </c>
      <c r="I6842" s="9">
        <v>4</v>
      </c>
    </row>
    <row r="6843" spans="1:9">
      <c r="A6843" s="257" t="s">
        <v>7941</v>
      </c>
      <c r="B6843" s="9">
        <v>10</v>
      </c>
      <c r="C6843" s="257" t="s">
        <v>13622</v>
      </c>
      <c r="D6843" s="9">
        <v>24274121047.014233</v>
      </c>
      <c r="E6843" s="9">
        <v>1732307.5169143677</v>
      </c>
      <c r="F6843" s="257" t="s">
        <v>17339</v>
      </c>
      <c r="G6843" s="9"/>
      <c r="H6843" s="257" t="s">
        <v>24847</v>
      </c>
      <c r="I6843" s="9">
        <v>4</v>
      </c>
    </row>
    <row r="6844" spans="1:9">
      <c r="A6844" s="257" t="s">
        <v>7942</v>
      </c>
      <c r="B6844" s="9">
        <v>10</v>
      </c>
      <c r="C6844" s="257" t="s">
        <v>13623</v>
      </c>
      <c r="D6844" s="9">
        <v>0.91524558568742065</v>
      </c>
      <c r="E6844" s="9">
        <v>1732307.5169143677</v>
      </c>
      <c r="F6844" s="257" t="s">
        <v>17339</v>
      </c>
      <c r="G6844" s="9"/>
      <c r="H6844" s="257" t="s">
        <v>24848</v>
      </c>
      <c r="I6844" s="9">
        <v>4</v>
      </c>
    </row>
    <row r="6845" spans="1:9">
      <c r="A6845" s="257" t="s">
        <v>7943</v>
      </c>
      <c r="B6845" s="9">
        <v>10</v>
      </c>
      <c r="C6845" s="257" t="s">
        <v>13624</v>
      </c>
      <c r="D6845" s="9">
        <v>14012.593497401631</v>
      </c>
      <c r="E6845" s="9">
        <v>1732307.5169143677</v>
      </c>
      <c r="F6845" s="257" t="s">
        <v>17339</v>
      </c>
      <c r="G6845" s="9"/>
      <c r="H6845" s="257" t="s">
        <v>24849</v>
      </c>
      <c r="I6845" s="9">
        <v>4</v>
      </c>
    </row>
    <row r="6846" spans="1:9">
      <c r="A6846" s="257" t="s">
        <v>7944</v>
      </c>
      <c r="B6846" s="9">
        <v>10</v>
      </c>
      <c r="C6846" s="257" t="s">
        <v>13625</v>
      </c>
      <c r="D6846" s="9">
        <v>0</v>
      </c>
      <c r="E6846" s="9">
        <v>1732307.5169143677</v>
      </c>
      <c r="F6846" s="257" t="s">
        <v>17340</v>
      </c>
      <c r="G6846" s="9"/>
      <c r="H6846" s="257" t="s">
        <v>24850</v>
      </c>
      <c r="I6846" s="9">
        <v>4</v>
      </c>
    </row>
    <row r="6847" spans="1:9">
      <c r="A6847" s="257" t="s">
        <v>7945</v>
      </c>
      <c r="B6847" s="9">
        <v>10</v>
      </c>
      <c r="C6847" s="257" t="s">
        <v>13626</v>
      </c>
      <c r="D6847" s="9">
        <v>0</v>
      </c>
      <c r="E6847" s="9">
        <v>1732307.5169143677</v>
      </c>
      <c r="F6847" s="257" t="s">
        <v>17340</v>
      </c>
      <c r="G6847" s="9"/>
      <c r="H6847" s="257" t="s">
        <v>24851</v>
      </c>
      <c r="I6847" s="9">
        <v>4</v>
      </c>
    </row>
    <row r="6848" spans="1:9">
      <c r="A6848" s="257" t="s">
        <v>7946</v>
      </c>
      <c r="B6848" s="9">
        <v>10</v>
      </c>
      <c r="C6848" s="257" t="s">
        <v>13627</v>
      </c>
      <c r="D6848" s="9">
        <v>0</v>
      </c>
      <c r="E6848" s="9">
        <v>1732307.5169143677</v>
      </c>
      <c r="F6848" s="257" t="s">
        <v>17340</v>
      </c>
      <c r="G6848" s="9"/>
      <c r="H6848" s="257" t="s">
        <v>24852</v>
      </c>
      <c r="I6848" s="9">
        <v>4</v>
      </c>
    </row>
    <row r="6849" spans="1:9">
      <c r="A6849" s="257" t="s">
        <v>7947</v>
      </c>
      <c r="B6849" s="9">
        <v>10</v>
      </c>
      <c r="C6849" s="257" t="s">
        <v>13628</v>
      </c>
      <c r="D6849" s="9">
        <v>0</v>
      </c>
      <c r="E6849" s="9">
        <v>1732307.5169143677</v>
      </c>
      <c r="F6849" s="257" t="s">
        <v>17340</v>
      </c>
      <c r="G6849" s="9"/>
      <c r="H6849" s="257" t="s">
        <v>24853</v>
      </c>
      <c r="I6849" s="9">
        <v>4</v>
      </c>
    </row>
    <row r="6850" spans="1:9">
      <c r="A6850" s="257" t="s">
        <v>7948</v>
      </c>
      <c r="B6850" s="9">
        <v>10</v>
      </c>
      <c r="C6850" s="257" t="s">
        <v>13629</v>
      </c>
      <c r="D6850" s="9">
        <v>1597492.4035892487</v>
      </c>
      <c r="E6850" s="9">
        <v>1732307.5169143677</v>
      </c>
      <c r="F6850" s="257" t="s">
        <v>17341</v>
      </c>
      <c r="G6850" s="9"/>
      <c r="H6850" s="257" t="s">
        <v>24854</v>
      </c>
      <c r="I6850" s="9">
        <v>4</v>
      </c>
    </row>
    <row r="6851" spans="1:9">
      <c r="A6851" s="257" t="s">
        <v>7949</v>
      </c>
      <c r="B6851" s="9">
        <v>10</v>
      </c>
      <c r="C6851" s="257" t="s">
        <v>13630</v>
      </c>
      <c r="D6851" s="9">
        <v>1298413407.8624628</v>
      </c>
      <c r="E6851" s="9">
        <v>1732307.5169143677</v>
      </c>
      <c r="F6851" s="257" t="s">
        <v>17341</v>
      </c>
      <c r="G6851" s="9"/>
      <c r="H6851" s="257" t="s">
        <v>24855</v>
      </c>
      <c r="I6851" s="9">
        <v>4</v>
      </c>
    </row>
    <row r="6852" spans="1:9">
      <c r="A6852" s="257" t="s">
        <v>7950</v>
      </c>
      <c r="B6852" s="9">
        <v>10</v>
      </c>
      <c r="C6852" s="257" t="s">
        <v>13631</v>
      </c>
      <c r="D6852" s="9">
        <v>0.92217599242122128</v>
      </c>
      <c r="E6852" s="9">
        <v>1732307.5169143677</v>
      </c>
      <c r="F6852" s="257" t="s">
        <v>17341</v>
      </c>
      <c r="G6852" s="9"/>
      <c r="H6852" s="257" t="s">
        <v>24856</v>
      </c>
      <c r="I6852" s="9">
        <v>4</v>
      </c>
    </row>
    <row r="6853" spans="1:9">
      <c r="A6853" s="257" t="s">
        <v>7951</v>
      </c>
      <c r="B6853" s="9">
        <v>10</v>
      </c>
      <c r="C6853" s="257" t="s">
        <v>13632</v>
      </c>
      <c r="D6853" s="9">
        <v>749.52824206133528</v>
      </c>
      <c r="E6853" s="9">
        <v>1732307.5169143677</v>
      </c>
      <c r="F6853" s="257" t="s">
        <v>17341</v>
      </c>
      <c r="G6853" s="9"/>
      <c r="H6853" s="257" t="s">
        <v>24857</v>
      </c>
      <c r="I6853" s="9">
        <v>4</v>
      </c>
    </row>
    <row r="6854" spans="1:9">
      <c r="A6854" s="257" t="s">
        <v>7952</v>
      </c>
      <c r="B6854" s="9">
        <v>10</v>
      </c>
      <c r="C6854" s="257" t="s">
        <v>13633</v>
      </c>
      <c r="D6854" s="9">
        <v>1096356.8731536865</v>
      </c>
      <c r="E6854" s="9">
        <v>1732307.5169143677</v>
      </c>
      <c r="F6854" s="257" t="s">
        <v>17342</v>
      </c>
      <c r="G6854" s="9"/>
      <c r="H6854" s="257" t="s">
        <v>24858</v>
      </c>
      <c r="I6854" s="9">
        <v>4</v>
      </c>
    </row>
    <row r="6855" spans="1:9">
      <c r="A6855" s="257" t="s">
        <v>7953</v>
      </c>
      <c r="B6855" s="9">
        <v>10</v>
      </c>
      <c r="C6855" s="257" t="s">
        <v>13634</v>
      </c>
      <c r="D6855" s="9">
        <v>660943875.33798707</v>
      </c>
      <c r="E6855" s="9">
        <v>1732307.5169143677</v>
      </c>
      <c r="F6855" s="257" t="s">
        <v>17342</v>
      </c>
      <c r="G6855" s="9"/>
      <c r="H6855" s="257" t="s">
        <v>24859</v>
      </c>
      <c r="I6855" s="9">
        <v>4</v>
      </c>
    </row>
    <row r="6856" spans="1:9">
      <c r="A6856" s="257" t="s">
        <v>7954</v>
      </c>
      <c r="B6856" s="9">
        <v>10</v>
      </c>
      <c r="C6856" s="257" t="s">
        <v>13635</v>
      </c>
      <c r="D6856" s="9">
        <v>0.63288813472711047</v>
      </c>
      <c r="E6856" s="9">
        <v>1732307.5169143677</v>
      </c>
      <c r="F6856" s="257" t="s">
        <v>17342</v>
      </c>
      <c r="G6856" s="9"/>
      <c r="H6856" s="257" t="s">
        <v>24860</v>
      </c>
      <c r="I6856" s="9">
        <v>4</v>
      </c>
    </row>
    <row r="6857" spans="1:9">
      <c r="A6857" s="257" t="s">
        <v>7955</v>
      </c>
      <c r="B6857" s="9">
        <v>10</v>
      </c>
      <c r="C6857" s="257" t="s">
        <v>13636</v>
      </c>
      <c r="D6857" s="9">
        <v>381.53957590351968</v>
      </c>
      <c r="E6857" s="9">
        <v>1732307.5169143677</v>
      </c>
      <c r="F6857" s="257" t="s">
        <v>17342</v>
      </c>
      <c r="G6857" s="9"/>
      <c r="H6857" s="257" t="s">
        <v>24861</v>
      </c>
      <c r="I6857" s="9">
        <v>4</v>
      </c>
    </row>
    <row r="6858" spans="1:9">
      <c r="A6858" s="257" t="s">
        <v>7956</v>
      </c>
      <c r="B6858" s="9">
        <v>10</v>
      </c>
      <c r="C6858" s="257" t="s">
        <v>13637</v>
      </c>
      <c r="D6858" s="9">
        <v>28805.863124847412</v>
      </c>
      <c r="E6858" s="9">
        <v>1732307.5169143677</v>
      </c>
      <c r="F6858" s="257" t="s">
        <v>17343</v>
      </c>
      <c r="G6858" s="9"/>
      <c r="H6858" s="257" t="s">
        <v>24862</v>
      </c>
      <c r="I6858" s="9">
        <v>4</v>
      </c>
    </row>
    <row r="6859" spans="1:9">
      <c r="A6859" s="257" t="s">
        <v>7957</v>
      </c>
      <c r="B6859" s="9">
        <v>10</v>
      </c>
      <c r="C6859" s="257" t="s">
        <v>13638</v>
      </c>
      <c r="D6859" s="9">
        <v>291464091.33734983</v>
      </c>
      <c r="E6859" s="9">
        <v>1732307.5169143677</v>
      </c>
      <c r="F6859" s="257" t="s">
        <v>17343</v>
      </c>
      <c r="G6859" s="9"/>
      <c r="H6859" s="257" t="s">
        <v>24863</v>
      </c>
      <c r="I6859" s="9">
        <v>4</v>
      </c>
    </row>
    <row r="6860" spans="1:9">
      <c r="A6860" s="257" t="s">
        <v>7958</v>
      </c>
      <c r="B6860" s="9">
        <v>10</v>
      </c>
      <c r="C6860" s="257" t="s">
        <v>13639</v>
      </c>
      <c r="D6860" s="9">
        <v>1.6628608283220513E-2</v>
      </c>
      <c r="E6860" s="9">
        <v>1732307.5169143677</v>
      </c>
      <c r="F6860" s="257" t="s">
        <v>17343</v>
      </c>
      <c r="G6860" s="9"/>
      <c r="H6860" s="257" t="s">
        <v>24864</v>
      </c>
      <c r="I6860" s="9">
        <v>4</v>
      </c>
    </row>
    <row r="6861" spans="1:9">
      <c r="A6861" s="257" t="s">
        <v>7959</v>
      </c>
      <c r="B6861" s="9">
        <v>10</v>
      </c>
      <c r="C6861" s="257" t="s">
        <v>13640</v>
      </c>
      <c r="D6861" s="9">
        <v>168.2519347699382</v>
      </c>
      <c r="E6861" s="9">
        <v>1732307.5169143677</v>
      </c>
      <c r="F6861" s="257" t="s">
        <v>17343</v>
      </c>
      <c r="G6861" s="9"/>
      <c r="H6861" s="257" t="s">
        <v>24865</v>
      </c>
      <c r="I6861" s="9">
        <v>4</v>
      </c>
    </row>
    <row r="6862" spans="1:9">
      <c r="A6862" s="257" t="s">
        <v>7960</v>
      </c>
      <c r="B6862" s="9">
        <v>10</v>
      </c>
      <c r="C6862" s="257" t="s">
        <v>13641</v>
      </c>
      <c r="D6862" s="9">
        <v>20413.297294616699</v>
      </c>
      <c r="E6862" s="9">
        <v>1732307.5169143677</v>
      </c>
      <c r="F6862" s="257" t="s">
        <v>17344</v>
      </c>
      <c r="G6862" s="9"/>
      <c r="H6862" s="257" t="s">
        <v>24866</v>
      </c>
      <c r="I6862" s="9">
        <v>4</v>
      </c>
    </row>
    <row r="6863" spans="1:9">
      <c r="A6863" s="257" t="s">
        <v>7961</v>
      </c>
      <c r="B6863" s="9">
        <v>10</v>
      </c>
      <c r="C6863" s="257" t="s">
        <v>13642</v>
      </c>
      <c r="D6863" s="9">
        <v>470169634.49673563</v>
      </c>
      <c r="E6863" s="9">
        <v>1732307.5169143677</v>
      </c>
      <c r="F6863" s="257" t="s">
        <v>17344</v>
      </c>
      <c r="G6863" s="9"/>
      <c r="H6863" s="257" t="s">
        <v>24867</v>
      </c>
      <c r="I6863" s="9">
        <v>4</v>
      </c>
    </row>
    <row r="6864" spans="1:9">
      <c r="A6864" s="257" t="s">
        <v>7962</v>
      </c>
      <c r="B6864" s="9">
        <v>10</v>
      </c>
      <c r="C6864" s="257" t="s">
        <v>13643</v>
      </c>
      <c r="D6864" s="9">
        <v>1.1783876185550131E-2</v>
      </c>
      <c r="E6864" s="9">
        <v>1732307.5169143677</v>
      </c>
      <c r="F6864" s="257" t="s">
        <v>17344</v>
      </c>
      <c r="G6864" s="9"/>
      <c r="H6864" s="257" t="s">
        <v>24868</v>
      </c>
      <c r="I6864" s="9">
        <v>4</v>
      </c>
    </row>
    <row r="6865" spans="1:9">
      <c r="A6865" s="257" t="s">
        <v>7963</v>
      </c>
      <c r="B6865" s="9">
        <v>10</v>
      </c>
      <c r="C6865" s="257" t="s">
        <v>13644</v>
      </c>
      <c r="D6865" s="9">
        <v>271.41233869042736</v>
      </c>
      <c r="E6865" s="9">
        <v>1732307.5169143677</v>
      </c>
      <c r="F6865" s="257" t="s">
        <v>17344</v>
      </c>
      <c r="G6865" s="9"/>
      <c r="H6865" s="257" t="s">
        <v>24869</v>
      </c>
      <c r="I6865" s="9">
        <v>4</v>
      </c>
    </row>
    <row r="6866" spans="1:9">
      <c r="A6866" s="257" t="s">
        <v>7964</v>
      </c>
      <c r="B6866" s="9">
        <v>10</v>
      </c>
      <c r="C6866" s="257" t="s">
        <v>13645</v>
      </c>
      <c r="D6866" s="9">
        <v>1669363.8147068024</v>
      </c>
      <c r="E6866" s="9">
        <v>1732307.5169143677</v>
      </c>
      <c r="F6866" s="257" t="s">
        <v>17345</v>
      </c>
      <c r="G6866" s="9"/>
      <c r="H6866" s="257" t="s">
        <v>24870</v>
      </c>
      <c r="I6866" s="9">
        <v>4</v>
      </c>
    </row>
    <row r="6867" spans="1:9">
      <c r="A6867" s="257" t="s">
        <v>7965</v>
      </c>
      <c r="B6867" s="9">
        <v>10</v>
      </c>
      <c r="C6867" s="257" t="s">
        <v>13646</v>
      </c>
      <c r="D6867" s="9">
        <v>2720991009.0345354</v>
      </c>
      <c r="E6867" s="9">
        <v>1732307.5169143677</v>
      </c>
      <c r="F6867" s="257" t="s">
        <v>17345</v>
      </c>
      <c r="G6867" s="9"/>
      <c r="H6867" s="257" t="s">
        <v>24871</v>
      </c>
      <c r="I6867" s="9">
        <v>4</v>
      </c>
    </row>
    <row r="6868" spans="1:9">
      <c r="A6868" s="257" t="s">
        <v>7966</v>
      </c>
      <c r="B6868" s="9">
        <v>10</v>
      </c>
      <c r="C6868" s="257" t="s">
        <v>13647</v>
      </c>
      <c r="D6868" s="9">
        <v>0.96366482186737701</v>
      </c>
      <c r="E6868" s="9">
        <v>1732307.5169143677</v>
      </c>
      <c r="F6868" s="257" t="s">
        <v>17345</v>
      </c>
      <c r="G6868" s="9"/>
      <c r="H6868" s="257" t="s">
        <v>24872</v>
      </c>
      <c r="I6868" s="9">
        <v>4</v>
      </c>
    </row>
    <row r="6869" spans="1:9">
      <c r="A6869" s="257" t="s">
        <v>7967</v>
      </c>
      <c r="B6869" s="9">
        <v>10</v>
      </c>
      <c r="C6869" s="257" t="s">
        <v>13648</v>
      </c>
      <c r="D6869" s="9">
        <v>1570.7320914252207</v>
      </c>
      <c r="E6869" s="9">
        <v>1732307.5169143677</v>
      </c>
      <c r="F6869" s="257" t="s">
        <v>17345</v>
      </c>
      <c r="G6869" s="9"/>
      <c r="H6869" s="257" t="s">
        <v>24873</v>
      </c>
      <c r="I6869" s="9">
        <v>4</v>
      </c>
    </row>
    <row r="6870" spans="1:9">
      <c r="A6870" s="257" t="s">
        <v>7968</v>
      </c>
      <c r="B6870" s="9">
        <v>10</v>
      </c>
      <c r="C6870" s="257" t="s">
        <v>13649</v>
      </c>
      <c r="D6870" s="9">
        <v>1106482.4392814636</v>
      </c>
      <c r="E6870" s="9">
        <v>1732307.5169143677</v>
      </c>
      <c r="F6870" s="257" t="s">
        <v>17346</v>
      </c>
      <c r="G6870" s="9"/>
      <c r="H6870" s="257" t="s">
        <v>24874</v>
      </c>
      <c r="I6870" s="9">
        <v>4</v>
      </c>
    </row>
    <row r="6871" spans="1:9">
      <c r="A6871" s="257" t="s">
        <v>7969</v>
      </c>
      <c r="B6871" s="9">
        <v>10</v>
      </c>
      <c r="C6871" s="257" t="s">
        <v>13650</v>
      </c>
      <c r="D6871" s="9">
        <v>1422577601.1720726</v>
      </c>
      <c r="E6871" s="9">
        <v>1732307.5169143677</v>
      </c>
      <c r="F6871" s="257" t="s">
        <v>17346</v>
      </c>
      <c r="G6871" s="9"/>
      <c r="H6871" s="257" t="s">
        <v>24875</v>
      </c>
      <c r="I6871" s="9">
        <v>4</v>
      </c>
    </row>
    <row r="6872" spans="1:9">
      <c r="A6872" s="257" t="s">
        <v>7970</v>
      </c>
      <c r="B6872" s="9">
        <v>10</v>
      </c>
      <c r="C6872" s="257" t="s">
        <v>13651</v>
      </c>
      <c r="D6872" s="9">
        <v>0.6387332667425929</v>
      </c>
      <c r="E6872" s="9">
        <v>1732307.5169143677</v>
      </c>
      <c r="F6872" s="257" t="s">
        <v>17346</v>
      </c>
      <c r="G6872" s="9"/>
      <c r="H6872" s="257" t="s">
        <v>24876</v>
      </c>
      <c r="I6872" s="9">
        <v>4</v>
      </c>
    </row>
    <row r="6873" spans="1:9">
      <c r="A6873" s="257" t="s">
        <v>7971</v>
      </c>
      <c r="B6873" s="9">
        <v>10</v>
      </c>
      <c r="C6873" s="257" t="s">
        <v>13652</v>
      </c>
      <c r="D6873" s="9">
        <v>821.2038493638853</v>
      </c>
      <c r="E6873" s="9">
        <v>1732307.5169143677</v>
      </c>
      <c r="F6873" s="257" t="s">
        <v>17346</v>
      </c>
      <c r="G6873" s="9"/>
      <c r="H6873" s="257" t="s">
        <v>24877</v>
      </c>
      <c r="I6873" s="9">
        <v>4</v>
      </c>
    </row>
    <row r="6874" spans="1:9">
      <c r="A6874" s="257" t="s">
        <v>7972</v>
      </c>
      <c r="B6874" s="9">
        <v>10</v>
      </c>
      <c r="C6874" s="257" t="s">
        <v>13653</v>
      </c>
      <c r="D6874" s="9">
        <v>1730067.4812698364</v>
      </c>
      <c r="E6874" s="9">
        <v>1732307.5169143677</v>
      </c>
      <c r="F6874" s="257" t="s">
        <v>17347</v>
      </c>
      <c r="G6874" s="9"/>
      <c r="H6874" s="257" t="s">
        <v>24878</v>
      </c>
      <c r="I6874" s="9">
        <v>4</v>
      </c>
    </row>
    <row r="6875" spans="1:9">
      <c r="A6875" s="257" t="s">
        <v>7973</v>
      </c>
      <c r="B6875" s="9">
        <v>10</v>
      </c>
      <c r="C6875" s="257" t="s">
        <v>13654</v>
      </c>
      <c r="D6875" s="9">
        <v>42063950160.687546</v>
      </c>
      <c r="E6875" s="9">
        <v>1732307.5169143677</v>
      </c>
      <c r="F6875" s="257" t="s">
        <v>17347</v>
      </c>
      <c r="G6875" s="9"/>
      <c r="H6875" s="257" t="s">
        <v>24879</v>
      </c>
      <c r="I6875" s="9">
        <v>4</v>
      </c>
    </row>
    <row r="6876" spans="1:9">
      <c r="A6876" s="257" t="s">
        <v>7974</v>
      </c>
      <c r="B6876" s="9">
        <v>10</v>
      </c>
      <c r="C6876" s="257" t="s">
        <v>13655</v>
      </c>
      <c r="D6876" s="9">
        <v>0.99870690646859206</v>
      </c>
      <c r="E6876" s="9">
        <v>1732307.5169143677</v>
      </c>
      <c r="F6876" s="257" t="s">
        <v>17347</v>
      </c>
      <c r="G6876" s="9"/>
      <c r="H6876" s="257" t="s">
        <v>24880</v>
      </c>
      <c r="I6876" s="9">
        <v>4</v>
      </c>
    </row>
    <row r="6877" spans="1:9">
      <c r="A6877" s="257" t="s">
        <v>7975</v>
      </c>
      <c r="B6877" s="9">
        <v>10</v>
      </c>
      <c r="C6877" s="257" t="s">
        <v>13656</v>
      </c>
      <c r="D6877" s="9">
        <v>24282.034078806617</v>
      </c>
      <c r="E6877" s="9">
        <v>1732307.5169143677</v>
      </c>
      <c r="F6877" s="257" t="s">
        <v>17347</v>
      </c>
      <c r="G6877" s="9"/>
      <c r="H6877" s="257" t="s">
        <v>24881</v>
      </c>
      <c r="I6877" s="9">
        <v>4</v>
      </c>
    </row>
    <row r="6878" spans="1:9">
      <c r="A6878" s="257" t="s">
        <v>7976</v>
      </c>
      <c r="B6878" s="9">
        <v>10</v>
      </c>
      <c r="C6878" s="257" t="s">
        <v>13657</v>
      </c>
      <c r="D6878" s="9">
        <v>1730067.4812698364</v>
      </c>
      <c r="E6878" s="9">
        <v>1732307.5169143677</v>
      </c>
      <c r="F6878" s="257" t="s">
        <v>17348</v>
      </c>
      <c r="G6878" s="9"/>
      <c r="H6878" s="257" t="s">
        <v>24882</v>
      </c>
      <c r="I6878" s="9">
        <v>4</v>
      </c>
    </row>
    <row r="6879" spans="1:9">
      <c r="A6879" s="257" t="s">
        <v>7977</v>
      </c>
      <c r="B6879" s="9">
        <v>10</v>
      </c>
      <c r="C6879" s="257" t="s">
        <v>13658</v>
      </c>
      <c r="D6879" s="9">
        <v>39342959151.653008</v>
      </c>
      <c r="E6879" s="9">
        <v>1732307.5169143677</v>
      </c>
      <c r="F6879" s="257" t="s">
        <v>17348</v>
      </c>
      <c r="G6879" s="9"/>
      <c r="H6879" s="257" t="s">
        <v>24883</v>
      </c>
      <c r="I6879" s="9">
        <v>4</v>
      </c>
    </row>
    <row r="6880" spans="1:9">
      <c r="A6880" s="257" t="s">
        <v>7978</v>
      </c>
      <c r="B6880" s="9">
        <v>10</v>
      </c>
      <c r="C6880" s="257" t="s">
        <v>13659</v>
      </c>
      <c r="D6880" s="9">
        <v>0.99870690646859206</v>
      </c>
      <c r="E6880" s="9">
        <v>1732307.5169143677</v>
      </c>
      <c r="F6880" s="257" t="s">
        <v>17348</v>
      </c>
      <c r="G6880" s="9"/>
      <c r="H6880" s="257" t="s">
        <v>24884</v>
      </c>
      <c r="I6880" s="9">
        <v>4</v>
      </c>
    </row>
    <row r="6881" spans="1:9">
      <c r="A6881" s="257" t="s">
        <v>7979</v>
      </c>
      <c r="B6881" s="9">
        <v>10</v>
      </c>
      <c r="C6881" s="257" t="s">
        <v>13660</v>
      </c>
      <c r="D6881" s="9">
        <v>22711.301987381394</v>
      </c>
      <c r="E6881" s="9">
        <v>1732307.5169143677</v>
      </c>
      <c r="F6881" s="257" t="s">
        <v>17348</v>
      </c>
      <c r="G6881" s="9"/>
      <c r="H6881" s="257" t="s">
        <v>24885</v>
      </c>
      <c r="I6881" s="9">
        <v>4</v>
      </c>
    </row>
    <row r="6882" spans="1:9">
      <c r="A6882" s="257" t="s">
        <v>7980</v>
      </c>
      <c r="B6882" s="9">
        <v>10</v>
      </c>
      <c r="C6882" s="257" t="s">
        <v>13661</v>
      </c>
      <c r="D6882" s="9">
        <v>1730067.4812698364</v>
      </c>
      <c r="E6882" s="9">
        <v>1732307.5169143677</v>
      </c>
      <c r="F6882" s="257" t="s">
        <v>17349</v>
      </c>
      <c r="G6882" s="9"/>
      <c r="H6882" s="257" t="s">
        <v>24886</v>
      </c>
      <c r="I6882" s="9">
        <v>4</v>
      </c>
    </row>
    <row r="6883" spans="1:9">
      <c r="A6883" s="257" t="s">
        <v>7981</v>
      </c>
      <c r="B6883" s="9">
        <v>10</v>
      </c>
      <c r="C6883" s="257" t="s">
        <v>13662</v>
      </c>
      <c r="D6883" s="9">
        <v>40641372559.515472</v>
      </c>
      <c r="E6883" s="9">
        <v>1732307.5169143677</v>
      </c>
      <c r="F6883" s="257" t="s">
        <v>17349</v>
      </c>
      <c r="G6883" s="9"/>
      <c r="H6883" s="257" t="s">
        <v>24887</v>
      </c>
      <c r="I6883" s="9">
        <v>4</v>
      </c>
    </row>
    <row r="6884" spans="1:9">
      <c r="A6884" s="257" t="s">
        <v>7982</v>
      </c>
      <c r="B6884" s="9">
        <v>10</v>
      </c>
      <c r="C6884" s="257" t="s">
        <v>13663</v>
      </c>
      <c r="D6884" s="9">
        <v>0.99870690646859206</v>
      </c>
      <c r="E6884" s="9">
        <v>1732307.5169143677</v>
      </c>
      <c r="F6884" s="257" t="s">
        <v>17349</v>
      </c>
      <c r="G6884" s="9"/>
      <c r="H6884" s="257" t="s">
        <v>24888</v>
      </c>
      <c r="I6884" s="9">
        <v>4</v>
      </c>
    </row>
    <row r="6885" spans="1:9">
      <c r="A6885" s="257" t="s">
        <v>7983</v>
      </c>
      <c r="B6885" s="9">
        <v>10</v>
      </c>
      <c r="C6885" s="257" t="s">
        <v>13664</v>
      </c>
      <c r="D6885" s="9">
        <v>23460.83022944273</v>
      </c>
      <c r="E6885" s="9">
        <v>1732307.5169143677</v>
      </c>
      <c r="F6885" s="257" t="s">
        <v>17349</v>
      </c>
      <c r="G6885" s="9"/>
      <c r="H6885" s="257" t="s">
        <v>24889</v>
      </c>
      <c r="I6885" s="9">
        <v>4</v>
      </c>
    </row>
    <row r="6886" spans="1:9">
      <c r="A6886" s="257" t="s">
        <v>7984</v>
      </c>
      <c r="B6886" s="9">
        <v>10</v>
      </c>
      <c r="C6886" s="257" t="s">
        <v>13665</v>
      </c>
      <c r="D6886" s="9">
        <v>1732307.5169143677</v>
      </c>
      <c r="E6886" s="9">
        <v>1732307.5169143677</v>
      </c>
      <c r="F6886" s="257" t="s">
        <v>17350</v>
      </c>
      <c r="G6886" s="9"/>
      <c r="H6886" s="257" t="s">
        <v>24890</v>
      </c>
      <c r="I6886" s="9">
        <v>4</v>
      </c>
    </row>
    <row r="6887" spans="1:9">
      <c r="A6887" s="257" t="s">
        <v>7985</v>
      </c>
      <c r="B6887" s="9">
        <v>10</v>
      </c>
      <c r="C6887" s="257" t="s">
        <v>13666</v>
      </c>
      <c r="D6887" s="9">
        <v>7261489986.4833231</v>
      </c>
      <c r="E6887" s="9">
        <v>1732307.5169143677</v>
      </c>
      <c r="F6887" s="257" t="s">
        <v>17350</v>
      </c>
      <c r="G6887" s="9"/>
      <c r="H6887" s="257" t="s">
        <v>24891</v>
      </c>
      <c r="I6887" s="9">
        <v>4</v>
      </c>
    </row>
    <row r="6888" spans="1:9">
      <c r="A6888" s="257" t="s">
        <v>7986</v>
      </c>
      <c r="B6888" s="9">
        <v>10</v>
      </c>
      <c r="C6888" s="257" t="s">
        <v>13667</v>
      </c>
      <c r="D6888" s="9">
        <v>1</v>
      </c>
      <c r="E6888" s="9">
        <v>1732307.5169143677</v>
      </c>
      <c r="F6888" s="257" t="s">
        <v>17350</v>
      </c>
      <c r="G6888" s="9"/>
      <c r="H6888" s="257" t="s">
        <v>24892</v>
      </c>
      <c r="I6888" s="9">
        <v>4</v>
      </c>
    </row>
    <row r="6889" spans="1:9">
      <c r="A6889" s="257" t="s">
        <v>7987</v>
      </c>
      <c r="B6889" s="9">
        <v>10</v>
      </c>
      <c r="C6889" s="257" t="s">
        <v>13668</v>
      </c>
      <c r="D6889" s="9">
        <v>4191.8019263794931</v>
      </c>
      <c r="E6889" s="9">
        <v>1732307.5169143677</v>
      </c>
      <c r="F6889" s="257" t="s">
        <v>17350</v>
      </c>
      <c r="G6889" s="9"/>
      <c r="H6889" s="257" t="s">
        <v>24893</v>
      </c>
      <c r="I6889" s="9">
        <v>4</v>
      </c>
    </row>
    <row r="6890" spans="1:9">
      <c r="A6890" s="257" t="s">
        <v>7988</v>
      </c>
      <c r="B6890" s="9">
        <v>10</v>
      </c>
      <c r="C6890" s="257" t="s">
        <v>13669</v>
      </c>
      <c r="D6890" s="9">
        <v>1613816.9870243073</v>
      </c>
      <c r="E6890" s="9">
        <v>1732307.5169143677</v>
      </c>
      <c r="F6890" s="257" t="s">
        <v>17351</v>
      </c>
      <c r="G6890" s="9"/>
      <c r="H6890" s="257" t="s">
        <v>24894</v>
      </c>
      <c r="I6890" s="9">
        <v>4</v>
      </c>
    </row>
    <row r="6891" spans="1:9">
      <c r="A6891" s="257" t="s">
        <v>7989</v>
      </c>
      <c r="B6891" s="9">
        <v>10</v>
      </c>
      <c r="C6891" s="257" t="s">
        <v>13670</v>
      </c>
      <c r="D6891" s="9">
        <v>21293276052.341278</v>
      </c>
      <c r="E6891" s="9">
        <v>1732307.5169143677</v>
      </c>
      <c r="F6891" s="257" t="s">
        <v>17351</v>
      </c>
      <c r="G6891" s="9"/>
      <c r="H6891" s="257" t="s">
        <v>24895</v>
      </c>
      <c r="I6891" s="9">
        <v>4</v>
      </c>
    </row>
    <row r="6892" spans="1:9">
      <c r="A6892" s="257" t="s">
        <v>7990</v>
      </c>
      <c r="B6892" s="9">
        <v>10</v>
      </c>
      <c r="C6892" s="257" t="s">
        <v>13671</v>
      </c>
      <c r="D6892" s="9">
        <v>0.93159959837782214</v>
      </c>
      <c r="E6892" s="9">
        <v>1732307.5169143677</v>
      </c>
      <c r="F6892" s="257" t="s">
        <v>17351</v>
      </c>
      <c r="G6892" s="9"/>
      <c r="H6892" s="257" t="s">
        <v>24896</v>
      </c>
      <c r="I6892" s="9">
        <v>4</v>
      </c>
    </row>
    <row r="6893" spans="1:9">
      <c r="A6893" s="257" t="s">
        <v>7991</v>
      </c>
      <c r="B6893" s="9">
        <v>10</v>
      </c>
      <c r="C6893" s="257" t="s">
        <v>13672</v>
      </c>
      <c r="D6893" s="9">
        <v>12291.856869771846</v>
      </c>
      <c r="E6893" s="9">
        <v>1732307.5169143677</v>
      </c>
      <c r="F6893" s="257" t="s">
        <v>17351</v>
      </c>
      <c r="G6893" s="9"/>
      <c r="H6893" s="257" t="s">
        <v>24897</v>
      </c>
      <c r="I6893" s="9">
        <v>4</v>
      </c>
    </row>
    <row r="6894" spans="1:9">
      <c r="A6894" s="257" t="s">
        <v>7992</v>
      </c>
      <c r="B6894" s="9">
        <v>10</v>
      </c>
      <c r="C6894" s="257" t="s">
        <v>13673</v>
      </c>
      <c r="D6894" s="9">
        <v>1732307.5169143677</v>
      </c>
      <c r="E6894" s="9">
        <v>1732307.5169143677</v>
      </c>
      <c r="F6894" s="257" t="s">
        <v>17352</v>
      </c>
      <c r="G6894" s="9"/>
      <c r="H6894" s="257" t="s">
        <v>24898</v>
      </c>
      <c r="I6894" s="9">
        <v>4</v>
      </c>
    </row>
    <row r="6895" spans="1:9">
      <c r="A6895" s="257" t="s">
        <v>7993</v>
      </c>
      <c r="B6895" s="9">
        <v>10</v>
      </c>
      <c r="C6895" s="257" t="s">
        <v>13674</v>
      </c>
      <c r="D6895" s="9">
        <v>60636235203.994286</v>
      </c>
      <c r="E6895" s="9">
        <v>1732307.5169143677</v>
      </c>
      <c r="F6895" s="257" t="s">
        <v>17352</v>
      </c>
      <c r="G6895" s="9"/>
      <c r="H6895" s="257" t="s">
        <v>24899</v>
      </c>
      <c r="I6895" s="9">
        <v>4</v>
      </c>
    </row>
    <row r="6896" spans="1:9">
      <c r="A6896" s="257" t="s">
        <v>7994</v>
      </c>
      <c r="B6896" s="9">
        <v>10</v>
      </c>
      <c r="C6896" s="257" t="s">
        <v>13675</v>
      </c>
      <c r="D6896" s="9">
        <v>1</v>
      </c>
      <c r="E6896" s="9">
        <v>1732307.5169143677</v>
      </c>
      <c r="F6896" s="257" t="s">
        <v>17352</v>
      </c>
      <c r="G6896" s="9"/>
      <c r="H6896" s="257" t="s">
        <v>24900</v>
      </c>
      <c r="I6896" s="9">
        <v>4</v>
      </c>
    </row>
    <row r="6897" spans="1:9">
      <c r="A6897" s="257" t="s">
        <v>7995</v>
      </c>
      <c r="B6897" s="9">
        <v>10</v>
      </c>
      <c r="C6897" s="257" t="s">
        <v>13676</v>
      </c>
      <c r="D6897" s="9">
        <v>35003.158857153241</v>
      </c>
      <c r="E6897" s="9">
        <v>1732307.5169143677</v>
      </c>
      <c r="F6897" s="257" t="s">
        <v>17352</v>
      </c>
      <c r="G6897" s="9"/>
      <c r="H6897" s="257" t="s">
        <v>24901</v>
      </c>
      <c r="I6897" s="9">
        <v>4</v>
      </c>
    </row>
    <row r="6898" spans="1:9">
      <c r="A6898" s="257" t="s">
        <v>7996</v>
      </c>
      <c r="B6898" s="9">
        <v>10</v>
      </c>
      <c r="C6898" s="257" t="s">
        <v>13677</v>
      </c>
      <c r="D6898" s="9">
        <v>1732307.5169143677</v>
      </c>
      <c r="E6898" s="9">
        <v>1732307.5169143677</v>
      </c>
      <c r="F6898" s="257" t="s">
        <v>17353</v>
      </c>
      <c r="G6898" s="9"/>
      <c r="H6898" s="257" t="s">
        <v>24902</v>
      </c>
      <c r="I6898" s="9">
        <v>4</v>
      </c>
    </row>
    <row r="6899" spans="1:9">
      <c r="A6899" s="257" t="s">
        <v>7997</v>
      </c>
      <c r="B6899" s="9">
        <v>10</v>
      </c>
      <c r="C6899" s="257" t="s">
        <v>13678</v>
      </c>
      <c r="D6899" s="9">
        <v>61934648611.85675</v>
      </c>
      <c r="E6899" s="9">
        <v>1732307.5169143677</v>
      </c>
      <c r="F6899" s="257" t="s">
        <v>17353</v>
      </c>
      <c r="G6899" s="9"/>
      <c r="H6899" s="257" t="s">
        <v>24903</v>
      </c>
      <c r="I6899" s="9">
        <v>4</v>
      </c>
    </row>
    <row r="6900" spans="1:9">
      <c r="A6900" s="257" t="s">
        <v>7998</v>
      </c>
      <c r="B6900" s="9">
        <v>10</v>
      </c>
      <c r="C6900" s="257" t="s">
        <v>13679</v>
      </c>
      <c r="D6900" s="9">
        <v>1</v>
      </c>
      <c r="E6900" s="9">
        <v>1732307.5169143677</v>
      </c>
      <c r="F6900" s="257" t="s">
        <v>17353</v>
      </c>
      <c r="G6900" s="9"/>
      <c r="H6900" s="257" t="s">
        <v>24904</v>
      </c>
      <c r="I6900" s="9">
        <v>4</v>
      </c>
    </row>
    <row r="6901" spans="1:9">
      <c r="A6901" s="257" t="s">
        <v>7999</v>
      </c>
      <c r="B6901" s="9">
        <v>10</v>
      </c>
      <c r="C6901" s="257" t="s">
        <v>13680</v>
      </c>
      <c r="D6901" s="9">
        <v>35752.687099214578</v>
      </c>
      <c r="E6901" s="9">
        <v>1732307.5169143677</v>
      </c>
      <c r="F6901" s="257" t="s">
        <v>17353</v>
      </c>
      <c r="G6901" s="9"/>
      <c r="H6901" s="257" t="s">
        <v>24905</v>
      </c>
      <c r="I6901" s="9">
        <v>4</v>
      </c>
    </row>
    <row r="6902" spans="1:9">
      <c r="A6902" s="257" t="s">
        <v>8000</v>
      </c>
      <c r="B6902" s="9">
        <v>10</v>
      </c>
      <c r="C6902" s="257" t="s">
        <v>13681</v>
      </c>
      <c r="D6902" s="9">
        <v>1627888.5609302521</v>
      </c>
      <c r="E6902" s="9">
        <v>1732307.5169143677</v>
      </c>
      <c r="F6902" s="257" t="s">
        <v>17354</v>
      </c>
      <c r="G6902" s="9"/>
      <c r="H6902" s="257" t="s">
        <v>24906</v>
      </c>
      <c r="I6902" s="9">
        <v>4</v>
      </c>
    </row>
    <row r="6903" spans="1:9">
      <c r="A6903" s="257" t="s">
        <v>8001</v>
      </c>
      <c r="B6903" s="9">
        <v>10</v>
      </c>
      <c r="C6903" s="257" t="s">
        <v>13682</v>
      </c>
      <c r="D6903" s="9">
        <v>23818493156.638382</v>
      </c>
      <c r="E6903" s="9">
        <v>1732307.5169143677</v>
      </c>
      <c r="F6903" s="257" t="s">
        <v>17354</v>
      </c>
      <c r="G6903" s="9"/>
      <c r="H6903" s="257" t="s">
        <v>24907</v>
      </c>
      <c r="I6903" s="9">
        <v>4</v>
      </c>
    </row>
    <row r="6904" spans="1:9">
      <c r="A6904" s="257" t="s">
        <v>8002</v>
      </c>
      <c r="B6904" s="9">
        <v>10</v>
      </c>
      <c r="C6904" s="257" t="s">
        <v>13683</v>
      </c>
      <c r="D6904" s="9">
        <v>0.93972262143726681</v>
      </c>
      <c r="E6904" s="9">
        <v>1732307.5169143677</v>
      </c>
      <c r="F6904" s="257" t="s">
        <v>17354</v>
      </c>
      <c r="G6904" s="9"/>
      <c r="H6904" s="257" t="s">
        <v>24908</v>
      </c>
      <c r="I6904" s="9">
        <v>4</v>
      </c>
    </row>
    <row r="6905" spans="1:9">
      <c r="A6905" s="257" t="s">
        <v>8003</v>
      </c>
      <c r="B6905" s="9">
        <v>10</v>
      </c>
      <c r="C6905" s="257" t="s">
        <v>13684</v>
      </c>
      <c r="D6905" s="9">
        <v>13749.575594444408</v>
      </c>
      <c r="E6905" s="9">
        <v>1732307.5169143677</v>
      </c>
      <c r="F6905" s="257" t="s">
        <v>17354</v>
      </c>
      <c r="G6905" s="9"/>
      <c r="H6905" s="257" t="s">
        <v>24909</v>
      </c>
      <c r="I6905" s="9">
        <v>4</v>
      </c>
    </row>
    <row r="6906" spans="1:9">
      <c r="A6906" s="257" t="s">
        <v>8004</v>
      </c>
      <c r="B6906" s="9">
        <v>10</v>
      </c>
      <c r="C6906" s="257" t="s">
        <v>13685</v>
      </c>
      <c r="D6906" s="9">
        <v>1629617.237077713</v>
      </c>
      <c r="E6906" s="9">
        <v>1732307.5169143677</v>
      </c>
      <c r="F6906" s="257" t="s">
        <v>17355</v>
      </c>
      <c r="G6906" s="9"/>
      <c r="H6906" s="257" t="s">
        <v>24910</v>
      </c>
      <c r="I6906" s="9">
        <v>4</v>
      </c>
    </row>
    <row r="6907" spans="1:9">
      <c r="A6907" s="257" t="s">
        <v>8005</v>
      </c>
      <c r="B6907" s="9">
        <v>10</v>
      </c>
      <c r="C6907" s="257" t="s">
        <v>13686</v>
      </c>
      <c r="D6907" s="9">
        <v>25116906564.500843</v>
      </c>
      <c r="E6907" s="9">
        <v>1732307.5169143677</v>
      </c>
      <c r="F6907" s="257" t="s">
        <v>17355</v>
      </c>
      <c r="G6907" s="9"/>
      <c r="H6907" s="257" t="s">
        <v>24911</v>
      </c>
      <c r="I6907" s="9">
        <v>4</v>
      </c>
    </row>
    <row r="6908" spans="1:9">
      <c r="A6908" s="257" t="s">
        <v>8006</v>
      </c>
      <c r="B6908" s="9">
        <v>10</v>
      </c>
      <c r="C6908" s="257" t="s">
        <v>13687</v>
      </c>
      <c r="D6908" s="9">
        <v>0.94072052517582483</v>
      </c>
      <c r="E6908" s="9">
        <v>1732307.5169143677</v>
      </c>
      <c r="F6908" s="257" t="s">
        <v>17355</v>
      </c>
      <c r="G6908" s="9"/>
      <c r="H6908" s="257" t="s">
        <v>24912</v>
      </c>
      <c r="I6908" s="9">
        <v>4</v>
      </c>
    </row>
    <row r="6909" spans="1:9">
      <c r="A6909" s="257" t="s">
        <v>8007</v>
      </c>
      <c r="B6909" s="9">
        <v>10</v>
      </c>
      <c r="C6909" s="257" t="s">
        <v>13688</v>
      </c>
      <c r="D6909" s="9">
        <v>14499.103836505741</v>
      </c>
      <c r="E6909" s="9">
        <v>1732307.5169143677</v>
      </c>
      <c r="F6909" s="257" t="s">
        <v>17355</v>
      </c>
      <c r="G6909" s="9"/>
      <c r="H6909" s="257" t="s">
        <v>24913</v>
      </c>
      <c r="I6909" s="9">
        <v>4</v>
      </c>
    </row>
    <row r="6910" spans="1:9">
      <c r="A6910" s="257" t="s">
        <v>8008</v>
      </c>
      <c r="B6910" s="9">
        <v>10</v>
      </c>
      <c r="C6910" s="257" t="s">
        <v>13689</v>
      </c>
      <c r="D6910" s="9">
        <v>1732307.5169143677</v>
      </c>
      <c r="E6910" s="9">
        <v>1732307.5169143677</v>
      </c>
      <c r="F6910" s="257" t="s">
        <v>17356</v>
      </c>
      <c r="G6910" s="9"/>
      <c r="H6910" s="257" t="s">
        <v>24914</v>
      </c>
      <c r="I6910" s="9">
        <v>4</v>
      </c>
    </row>
    <row r="6911" spans="1:9">
      <c r="A6911" s="257" t="s">
        <v>8009</v>
      </c>
      <c r="B6911" s="9">
        <v>10</v>
      </c>
      <c r="C6911" s="257" t="s">
        <v>13690</v>
      </c>
      <c r="D6911" s="9">
        <v>15524465995.014627</v>
      </c>
      <c r="E6911" s="9">
        <v>1732307.5169143677</v>
      </c>
      <c r="F6911" s="257" t="s">
        <v>17356</v>
      </c>
      <c r="G6911" s="9"/>
      <c r="H6911" s="257" t="s">
        <v>24915</v>
      </c>
      <c r="I6911" s="9">
        <v>4</v>
      </c>
    </row>
    <row r="6912" spans="1:9">
      <c r="A6912" s="257" t="s">
        <v>8010</v>
      </c>
      <c r="B6912" s="9">
        <v>10</v>
      </c>
      <c r="C6912" s="257" t="s">
        <v>13691</v>
      </c>
      <c r="D6912" s="9">
        <v>1</v>
      </c>
      <c r="E6912" s="9">
        <v>1732307.5169143677</v>
      </c>
      <c r="F6912" s="257" t="s">
        <v>17356</v>
      </c>
      <c r="G6912" s="9"/>
      <c r="H6912" s="257" t="s">
        <v>24916</v>
      </c>
      <c r="I6912" s="9">
        <v>4</v>
      </c>
    </row>
    <row r="6913" spans="1:9">
      <c r="A6913" s="257" t="s">
        <v>8011</v>
      </c>
      <c r="B6913" s="9">
        <v>10</v>
      </c>
      <c r="C6913" s="257" t="s">
        <v>13692</v>
      </c>
      <c r="D6913" s="9">
        <v>8961.7263929369892</v>
      </c>
      <c r="E6913" s="9">
        <v>1732307.5169143677</v>
      </c>
      <c r="F6913" s="257" t="s">
        <v>17356</v>
      </c>
      <c r="G6913" s="9"/>
      <c r="H6913" s="257" t="s">
        <v>24917</v>
      </c>
      <c r="I6913" s="9">
        <v>4</v>
      </c>
    </row>
    <row r="6914" spans="1:9">
      <c r="A6914" s="257" t="s">
        <v>8012</v>
      </c>
      <c r="B6914" s="9">
        <v>10</v>
      </c>
      <c r="C6914" s="257" t="s">
        <v>13693</v>
      </c>
      <c r="D6914" s="9">
        <v>1732307.5169143677</v>
      </c>
      <c r="E6914" s="9">
        <v>1732307.5169143677</v>
      </c>
      <c r="F6914" s="257" t="s">
        <v>17357</v>
      </c>
      <c r="G6914" s="9"/>
      <c r="H6914" s="257" t="s">
        <v>24918</v>
      </c>
      <c r="I6914" s="9">
        <v>4</v>
      </c>
    </row>
    <row r="6915" spans="1:9">
      <c r="A6915" s="257" t="s">
        <v>8013</v>
      </c>
      <c r="B6915" s="9">
        <v>10</v>
      </c>
      <c r="C6915" s="257" t="s">
        <v>13694</v>
      </c>
      <c r="D6915" s="9">
        <v>31535611033.497555</v>
      </c>
      <c r="E6915" s="9">
        <v>1732307.5169143677</v>
      </c>
      <c r="F6915" s="257" t="s">
        <v>17357</v>
      </c>
      <c r="G6915" s="9"/>
      <c r="H6915" s="257" t="s">
        <v>24919</v>
      </c>
      <c r="I6915" s="9">
        <v>4</v>
      </c>
    </row>
    <row r="6916" spans="1:9">
      <c r="A6916" s="257" t="s">
        <v>8014</v>
      </c>
      <c r="B6916" s="9">
        <v>10</v>
      </c>
      <c r="C6916" s="257" t="s">
        <v>13695</v>
      </c>
      <c r="D6916" s="9">
        <v>1</v>
      </c>
      <c r="E6916" s="9">
        <v>1732307.5169143677</v>
      </c>
      <c r="F6916" s="257" t="s">
        <v>17357</v>
      </c>
      <c r="G6916" s="9"/>
      <c r="H6916" s="257" t="s">
        <v>24920</v>
      </c>
      <c r="I6916" s="9">
        <v>4</v>
      </c>
    </row>
    <row r="6917" spans="1:9">
      <c r="A6917" s="257" t="s">
        <v>8015</v>
      </c>
      <c r="B6917" s="9">
        <v>10</v>
      </c>
      <c r="C6917" s="257" t="s">
        <v>13696</v>
      </c>
      <c r="D6917" s="9">
        <v>18204.395423781123</v>
      </c>
      <c r="E6917" s="9">
        <v>1732307.5169143677</v>
      </c>
      <c r="F6917" s="257" t="s">
        <v>17357</v>
      </c>
      <c r="G6917" s="9"/>
      <c r="H6917" s="257" t="s">
        <v>24921</v>
      </c>
      <c r="I6917" s="9">
        <v>4</v>
      </c>
    </row>
    <row r="6918" spans="1:9">
      <c r="A6918" s="257" t="s">
        <v>8016</v>
      </c>
      <c r="B6918" s="9">
        <v>10</v>
      </c>
      <c r="C6918" s="257" t="s">
        <v>13697</v>
      </c>
      <c r="D6918" s="9">
        <v>1650453.2440738678</v>
      </c>
      <c r="E6918" s="9">
        <v>1732307.5169143677</v>
      </c>
      <c r="F6918" s="257" t="s">
        <v>17358</v>
      </c>
      <c r="G6918" s="9"/>
      <c r="H6918" s="257" t="s">
        <v>24922</v>
      </c>
      <c r="I6918" s="9">
        <v>4</v>
      </c>
    </row>
    <row r="6919" spans="1:9">
      <c r="A6919" s="257" t="s">
        <v>8017</v>
      </c>
      <c r="B6919" s="9">
        <v>10</v>
      </c>
      <c r="C6919" s="257" t="s">
        <v>13698</v>
      </c>
      <c r="D6919" s="9">
        <v>33537243154.939873</v>
      </c>
      <c r="E6919" s="9">
        <v>1732307.5169143677</v>
      </c>
      <c r="F6919" s="257" t="s">
        <v>17358</v>
      </c>
      <c r="G6919" s="9"/>
      <c r="H6919" s="257" t="s">
        <v>24923</v>
      </c>
      <c r="I6919" s="9">
        <v>4</v>
      </c>
    </row>
    <row r="6920" spans="1:9">
      <c r="A6920" s="257" t="s">
        <v>8018</v>
      </c>
      <c r="B6920" s="9">
        <v>10</v>
      </c>
      <c r="C6920" s="257" t="s">
        <v>13699</v>
      </c>
      <c r="D6920" s="9">
        <v>0.95274841675553024</v>
      </c>
      <c r="E6920" s="9">
        <v>1732307.5169143677</v>
      </c>
      <c r="F6920" s="257" t="s">
        <v>17358</v>
      </c>
      <c r="G6920" s="9"/>
      <c r="H6920" s="257" t="s">
        <v>24924</v>
      </c>
      <c r="I6920" s="9">
        <v>4</v>
      </c>
    </row>
    <row r="6921" spans="1:9">
      <c r="A6921" s="257" t="s">
        <v>8019</v>
      </c>
      <c r="B6921" s="9">
        <v>10</v>
      </c>
      <c r="C6921" s="257" t="s">
        <v>13700</v>
      </c>
      <c r="D6921" s="9">
        <v>19359.86701407225</v>
      </c>
      <c r="E6921" s="9">
        <v>1732307.5169143677</v>
      </c>
      <c r="F6921" s="257" t="s">
        <v>17358</v>
      </c>
      <c r="G6921" s="9"/>
      <c r="H6921" s="257" t="s">
        <v>24925</v>
      </c>
      <c r="I6921" s="9">
        <v>4</v>
      </c>
    </row>
    <row r="6922" spans="1:9">
      <c r="A6922" s="257" t="s">
        <v>8020</v>
      </c>
      <c r="B6922" s="9">
        <v>10</v>
      </c>
      <c r="C6922" s="257" t="s">
        <v>13701</v>
      </c>
      <c r="D6922" s="9">
        <v>0</v>
      </c>
      <c r="E6922" s="9">
        <v>1732307.5169143677</v>
      </c>
      <c r="F6922" s="257" t="s">
        <v>17359</v>
      </c>
      <c r="G6922" s="9"/>
      <c r="H6922" s="257" t="s">
        <v>24926</v>
      </c>
      <c r="I6922" s="9">
        <v>4</v>
      </c>
    </row>
    <row r="6923" spans="1:9">
      <c r="A6923" s="257" t="s">
        <v>8021</v>
      </c>
      <c r="B6923" s="9">
        <v>10</v>
      </c>
      <c r="C6923" s="257" t="s">
        <v>13702</v>
      </c>
      <c r="D6923" s="9">
        <v>-3138205576.580678</v>
      </c>
      <c r="E6923" s="9">
        <v>1732307.5169143677</v>
      </c>
      <c r="F6923" s="257" t="s">
        <v>17359</v>
      </c>
      <c r="G6923" s="9"/>
      <c r="H6923" s="257" t="s">
        <v>24927</v>
      </c>
      <c r="I6923" s="9">
        <v>4</v>
      </c>
    </row>
    <row r="6924" spans="1:9">
      <c r="A6924" s="257" t="s">
        <v>8022</v>
      </c>
      <c r="B6924" s="9">
        <v>10</v>
      </c>
      <c r="C6924" s="257" t="s">
        <v>13703</v>
      </c>
      <c r="D6924" s="9">
        <v>0</v>
      </c>
      <c r="E6924" s="9">
        <v>1732307.5169143677</v>
      </c>
      <c r="F6924" s="257" t="s">
        <v>17359</v>
      </c>
      <c r="G6924" s="9"/>
      <c r="H6924" s="257" t="s">
        <v>24928</v>
      </c>
      <c r="I6924" s="9">
        <v>4</v>
      </c>
    </row>
    <row r="6925" spans="1:9">
      <c r="A6925" s="257" t="s">
        <v>8023</v>
      </c>
      <c r="B6925" s="9">
        <v>10</v>
      </c>
      <c r="C6925" s="257" t="s">
        <v>13704</v>
      </c>
      <c r="D6925" s="9">
        <v>-1811.5753386387962</v>
      </c>
      <c r="E6925" s="9">
        <v>1732307.5169143677</v>
      </c>
      <c r="F6925" s="257" t="s">
        <v>17359</v>
      </c>
      <c r="G6925" s="9"/>
      <c r="H6925" s="257" t="s">
        <v>24929</v>
      </c>
      <c r="I6925" s="9">
        <v>4</v>
      </c>
    </row>
    <row r="6926" spans="1:9">
      <c r="A6926" s="257" t="s">
        <v>8024</v>
      </c>
      <c r="B6926" s="9">
        <v>10</v>
      </c>
      <c r="C6926" s="257" t="s">
        <v>13705</v>
      </c>
      <c r="D6926" s="9">
        <v>1641412.0193653107</v>
      </c>
      <c r="E6926" s="9">
        <v>1732307.5169143677</v>
      </c>
      <c r="F6926" s="257" t="s">
        <v>17360</v>
      </c>
      <c r="G6926" s="9"/>
      <c r="H6926" s="257" t="s">
        <v>24930</v>
      </c>
      <c r="I6926" s="9">
        <v>4</v>
      </c>
    </row>
    <row r="6927" spans="1:9">
      <c r="A6927" s="257" t="s">
        <v>8025</v>
      </c>
      <c r="B6927" s="9">
        <v>10</v>
      </c>
      <c r="C6927" s="257" t="s">
        <v>13706</v>
      </c>
      <c r="D6927" s="9">
        <v>30399037578.359196</v>
      </c>
      <c r="E6927" s="9">
        <v>1732307.5169143677</v>
      </c>
      <c r="F6927" s="257" t="s">
        <v>17360</v>
      </c>
      <c r="G6927" s="9"/>
      <c r="H6927" s="257" t="s">
        <v>24931</v>
      </c>
      <c r="I6927" s="9">
        <v>4</v>
      </c>
    </row>
    <row r="6928" spans="1:9">
      <c r="A6928" s="257" t="s">
        <v>8026</v>
      </c>
      <c r="B6928" s="9">
        <v>10</v>
      </c>
      <c r="C6928" s="257" t="s">
        <v>13707</v>
      </c>
      <c r="D6928" s="9">
        <v>0.94752923677721923</v>
      </c>
      <c r="E6928" s="9">
        <v>1732307.5169143677</v>
      </c>
      <c r="F6928" s="257" t="s">
        <v>17360</v>
      </c>
      <c r="G6928" s="9"/>
      <c r="H6928" s="257" t="s">
        <v>24932</v>
      </c>
      <c r="I6928" s="9">
        <v>4</v>
      </c>
    </row>
    <row r="6929" spans="1:9">
      <c r="A6929" s="257" t="s">
        <v>8027</v>
      </c>
      <c r="B6929" s="9">
        <v>10</v>
      </c>
      <c r="C6929" s="257" t="s">
        <v>13708</v>
      </c>
      <c r="D6929" s="9">
        <v>17548.291675433455</v>
      </c>
      <c r="E6929" s="9">
        <v>1732307.5169143677</v>
      </c>
      <c r="F6929" s="257" t="s">
        <v>17360</v>
      </c>
      <c r="G6929" s="9"/>
      <c r="H6929" s="257" t="s">
        <v>24933</v>
      </c>
      <c r="I6929" s="9">
        <v>4</v>
      </c>
    </row>
    <row r="6930" spans="1:9">
      <c r="A6930" s="257" t="s">
        <v>8028</v>
      </c>
      <c r="B6930" s="9">
        <v>10</v>
      </c>
      <c r="C6930" s="257" t="s">
        <v>13709</v>
      </c>
      <c r="D6930" s="9">
        <v>773112.82204818726</v>
      </c>
      <c r="E6930" s="9">
        <v>1732307.5169143677</v>
      </c>
      <c r="F6930" s="257" t="s">
        <v>17361</v>
      </c>
      <c r="G6930" s="9"/>
      <c r="H6930" s="257" t="s">
        <v>24934</v>
      </c>
      <c r="I6930" s="9">
        <v>4</v>
      </c>
    </row>
    <row r="6931" spans="1:9">
      <c r="A6931" s="257" t="s">
        <v>8029</v>
      </c>
      <c r="B6931" s="9">
        <v>10</v>
      </c>
      <c r="C6931" s="257" t="s">
        <v>13710</v>
      </c>
      <c r="D6931" s="9">
        <v>5282131013.8583517</v>
      </c>
      <c r="E6931" s="9">
        <v>1732307.5169143677</v>
      </c>
      <c r="F6931" s="257" t="s">
        <v>17361</v>
      </c>
      <c r="G6931" s="9"/>
      <c r="H6931" s="257" t="s">
        <v>24935</v>
      </c>
      <c r="I6931" s="9">
        <v>4</v>
      </c>
    </row>
    <row r="6932" spans="1:9">
      <c r="A6932" s="257" t="s">
        <v>8030</v>
      </c>
      <c r="B6932" s="9">
        <v>10</v>
      </c>
      <c r="C6932" s="257" t="s">
        <v>13711</v>
      </c>
      <c r="D6932" s="9">
        <v>0.44629075063143314</v>
      </c>
      <c r="E6932" s="9">
        <v>1732307.5169143677</v>
      </c>
      <c r="F6932" s="257" t="s">
        <v>17361</v>
      </c>
      <c r="G6932" s="9"/>
      <c r="H6932" s="257" t="s">
        <v>24936</v>
      </c>
      <c r="I6932" s="9">
        <v>4</v>
      </c>
    </row>
    <row r="6933" spans="1:9">
      <c r="A6933" s="257" t="s">
        <v>8031</v>
      </c>
      <c r="B6933" s="9">
        <v>10</v>
      </c>
      <c r="C6933" s="257" t="s">
        <v>13712</v>
      </c>
      <c r="D6933" s="9">
        <v>3049.1878389277122</v>
      </c>
      <c r="E6933" s="9">
        <v>1732307.5169143677</v>
      </c>
      <c r="F6933" s="257" t="s">
        <v>17361</v>
      </c>
      <c r="G6933" s="9"/>
      <c r="H6933" s="257" t="s">
        <v>24937</v>
      </c>
      <c r="I6933" s="9">
        <v>4</v>
      </c>
    </row>
    <row r="6934" spans="1:9">
      <c r="A6934" s="257" t="s">
        <v>8032</v>
      </c>
      <c r="B6934" s="9">
        <v>10</v>
      </c>
      <c r="C6934" s="257" t="s">
        <v>13713</v>
      </c>
      <c r="D6934" s="9">
        <v>1585486.8079090118</v>
      </c>
      <c r="E6934" s="9">
        <v>1732307.5169143677</v>
      </c>
      <c r="F6934" s="257" t="s">
        <v>17362</v>
      </c>
      <c r="G6934" s="9"/>
      <c r="H6934" s="257" t="s">
        <v>24938</v>
      </c>
      <c r="I6934" s="9">
        <v>4</v>
      </c>
    </row>
    <row r="6935" spans="1:9">
      <c r="A6935" s="257" t="s">
        <v>8033</v>
      </c>
      <c r="B6935" s="9">
        <v>10</v>
      </c>
      <c r="C6935" s="257" t="s">
        <v>13714</v>
      </c>
      <c r="D6935" s="9">
        <v>16011145038.482927</v>
      </c>
      <c r="E6935" s="9">
        <v>1732307.5169143677</v>
      </c>
      <c r="F6935" s="257" t="s">
        <v>17362</v>
      </c>
      <c r="G6935" s="9"/>
      <c r="H6935" s="257" t="s">
        <v>24939</v>
      </c>
      <c r="I6935" s="9">
        <v>4</v>
      </c>
    </row>
    <row r="6936" spans="1:9">
      <c r="A6936" s="257" t="s">
        <v>8034</v>
      </c>
      <c r="B6936" s="9">
        <v>10</v>
      </c>
      <c r="C6936" s="257" t="s">
        <v>13715</v>
      </c>
      <c r="D6936" s="9">
        <v>0.91524558568742065</v>
      </c>
      <c r="E6936" s="9">
        <v>1732307.5169143677</v>
      </c>
      <c r="F6936" s="257" t="s">
        <v>17362</v>
      </c>
      <c r="G6936" s="9"/>
      <c r="H6936" s="257" t="s">
        <v>24940</v>
      </c>
      <c r="I6936" s="9">
        <v>4</v>
      </c>
    </row>
    <row r="6937" spans="1:9">
      <c r="A6937" s="257" t="s">
        <v>8035</v>
      </c>
      <c r="B6937" s="9">
        <v>10</v>
      </c>
      <c r="C6937" s="257" t="s">
        <v>13716</v>
      </c>
      <c r="D6937" s="9">
        <v>9242.6690308441339</v>
      </c>
      <c r="E6937" s="9">
        <v>1732307.5169143677</v>
      </c>
      <c r="F6937" s="257" t="s">
        <v>17362</v>
      </c>
      <c r="G6937" s="9"/>
      <c r="H6937" s="257" t="s">
        <v>24941</v>
      </c>
      <c r="I6937" s="9">
        <v>4</v>
      </c>
    </row>
    <row r="6938" spans="1:9">
      <c r="A6938" s="257" t="s">
        <v>8036</v>
      </c>
      <c r="B6938" s="9">
        <v>10</v>
      </c>
      <c r="C6938" s="257" t="s">
        <v>13717</v>
      </c>
      <c r="D6938" s="9">
        <v>28805.863124847412</v>
      </c>
      <c r="E6938" s="9">
        <v>1732307.5169143677</v>
      </c>
      <c r="F6938" s="257" t="s">
        <v>17363</v>
      </c>
      <c r="G6938" s="9"/>
      <c r="H6938" s="257" t="s">
        <v>24942</v>
      </c>
      <c r="I6938" s="9">
        <v>4</v>
      </c>
    </row>
    <row r="6939" spans="1:9">
      <c r="A6939" s="257" t="s">
        <v>8037</v>
      </c>
      <c r="B6939" s="9">
        <v>10</v>
      </c>
      <c r="C6939" s="257" t="s">
        <v>13718</v>
      </c>
      <c r="D6939" s="9">
        <v>761633725.83408546</v>
      </c>
      <c r="E6939" s="9">
        <v>1732307.5169143677</v>
      </c>
      <c r="F6939" s="257" t="s">
        <v>17363</v>
      </c>
      <c r="G6939" s="9"/>
      <c r="H6939" s="257" t="s">
        <v>24943</v>
      </c>
      <c r="I6939" s="9">
        <v>4</v>
      </c>
    </row>
    <row r="6940" spans="1:9">
      <c r="A6940" s="257" t="s">
        <v>8038</v>
      </c>
      <c r="B6940" s="9">
        <v>10</v>
      </c>
      <c r="C6940" s="257" t="s">
        <v>13719</v>
      </c>
      <c r="D6940" s="9">
        <v>1.6628608283220513E-2</v>
      </c>
      <c r="E6940" s="9">
        <v>1732307.5169143677</v>
      </c>
      <c r="F6940" s="257" t="s">
        <v>17363</v>
      </c>
      <c r="G6940" s="9"/>
      <c r="H6940" s="257" t="s">
        <v>24944</v>
      </c>
      <c r="I6940" s="9">
        <v>4</v>
      </c>
    </row>
    <row r="6941" spans="1:9">
      <c r="A6941" s="257" t="s">
        <v>8039</v>
      </c>
      <c r="B6941" s="9">
        <v>10</v>
      </c>
      <c r="C6941" s="257" t="s">
        <v>13720</v>
      </c>
      <c r="D6941" s="9">
        <v>439.66427346036562</v>
      </c>
      <c r="E6941" s="9">
        <v>1732307.5169143677</v>
      </c>
      <c r="F6941" s="257" t="s">
        <v>17363</v>
      </c>
      <c r="G6941" s="9"/>
      <c r="H6941" s="257" t="s">
        <v>24945</v>
      </c>
      <c r="I6941" s="9">
        <v>4</v>
      </c>
    </row>
    <row r="6942" spans="1:9">
      <c r="A6942" s="257" t="s">
        <v>8040</v>
      </c>
      <c r="B6942" s="9">
        <v>1</v>
      </c>
      <c r="C6942" s="257" t="s">
        <v>13721</v>
      </c>
      <c r="D6942" s="9">
        <v>1.9764980969256378E-3</v>
      </c>
      <c r="E6942" s="9"/>
      <c r="F6942" s="257" t="s">
        <v>17364</v>
      </c>
      <c r="G6942" s="9"/>
      <c r="H6942" s="257" t="s">
        <v>24946</v>
      </c>
      <c r="I6942" s="9">
        <v>4</v>
      </c>
    </row>
    <row r="6943" spans="1:9">
      <c r="A6943" s="257" t="s">
        <v>8041</v>
      </c>
      <c r="B6943" s="9">
        <v>1</v>
      </c>
      <c r="C6943" s="257" t="s">
        <v>13721</v>
      </c>
      <c r="D6943" s="9">
        <v>2.1106273089406815E-3</v>
      </c>
      <c r="E6943" s="9"/>
      <c r="F6943" s="257" t="s">
        <v>17365</v>
      </c>
      <c r="G6943" s="9"/>
      <c r="H6943" s="257" t="s">
        <v>24947</v>
      </c>
      <c r="I6943" s="9">
        <v>4</v>
      </c>
    </row>
    <row r="6944" spans="1:9">
      <c r="A6944" s="257" t="s">
        <v>8042</v>
      </c>
      <c r="B6944" s="9">
        <v>1</v>
      </c>
      <c r="C6944" s="257" t="s">
        <v>13721</v>
      </c>
      <c r="D6944" s="9">
        <v>2.4232546992600931E-3</v>
      </c>
      <c r="E6944" s="9"/>
      <c r="F6944" s="257" t="s">
        <v>17366</v>
      </c>
      <c r="G6944" s="9"/>
      <c r="H6944" s="257" t="s">
        <v>24948</v>
      </c>
      <c r="I6944" s="9">
        <v>4</v>
      </c>
    </row>
    <row r="6945" spans="1:9">
      <c r="A6945" s="257" t="s">
        <v>8043</v>
      </c>
      <c r="B6945" s="9">
        <v>1</v>
      </c>
      <c r="C6945" s="257" t="s">
        <v>13721</v>
      </c>
      <c r="D6945" s="9">
        <v>1.5878534631594467E-2</v>
      </c>
      <c r="E6945" s="9"/>
      <c r="F6945" s="257" t="s">
        <v>17367</v>
      </c>
      <c r="G6945" s="9"/>
      <c r="H6945" s="257" t="s">
        <v>24949</v>
      </c>
      <c r="I6945" s="9">
        <v>4</v>
      </c>
    </row>
    <row r="6946" spans="1:9">
      <c r="A6946" s="257" t="s">
        <v>8044</v>
      </c>
      <c r="B6946" s="9">
        <v>1</v>
      </c>
      <c r="C6946" s="257" t="s">
        <v>13721</v>
      </c>
      <c r="D6946" s="9">
        <v>1.6012663843609509E-2</v>
      </c>
      <c r="E6946" s="9"/>
      <c r="F6946" s="257" t="s">
        <v>17368</v>
      </c>
      <c r="G6946" s="9"/>
      <c r="H6946" s="257" t="s">
        <v>24950</v>
      </c>
      <c r="I6946" s="9">
        <v>4</v>
      </c>
    </row>
    <row r="6947" spans="1:9">
      <c r="A6947" s="257" t="s">
        <v>8045</v>
      </c>
      <c r="B6947" s="9">
        <v>1</v>
      </c>
      <c r="C6947" s="257" t="s">
        <v>13721</v>
      </c>
      <c r="D6947" s="9">
        <v>2.0412416639795244E-2</v>
      </c>
      <c r="E6947" s="9"/>
      <c r="F6947" s="257" t="s">
        <v>17369</v>
      </c>
      <c r="G6947" s="9"/>
      <c r="H6947" s="257" t="s">
        <v>24951</v>
      </c>
      <c r="I6947" s="9">
        <v>4</v>
      </c>
    </row>
    <row r="6948" spans="1:9">
      <c r="A6948" s="257" t="s">
        <v>8046</v>
      </c>
      <c r="B6948" s="9">
        <v>1</v>
      </c>
      <c r="C6948" s="257" t="s">
        <v>13721</v>
      </c>
      <c r="D6948" s="9">
        <v>4.3997527961857309E-3</v>
      </c>
      <c r="E6948" s="9"/>
      <c r="F6948" s="257" t="s">
        <v>17370</v>
      </c>
      <c r="G6948" s="9"/>
      <c r="H6948" s="257" t="s">
        <v>24952</v>
      </c>
      <c r="I6948" s="9">
        <v>4</v>
      </c>
    </row>
    <row r="6949" spans="1:9">
      <c r="A6949" s="257" t="s">
        <v>8047</v>
      </c>
      <c r="B6949" s="9">
        <v>1</v>
      </c>
      <c r="C6949" s="257" t="s">
        <v>13721</v>
      </c>
      <c r="D6949" s="9">
        <v>4.5338820082007755E-3</v>
      </c>
      <c r="E6949" s="9"/>
      <c r="F6949" s="257" t="s">
        <v>17371</v>
      </c>
      <c r="G6949" s="9"/>
      <c r="H6949" s="257" t="s">
        <v>24953</v>
      </c>
      <c r="I6949" s="9">
        <v>4</v>
      </c>
    </row>
    <row r="6950" spans="1:9">
      <c r="A6950" s="257" t="s">
        <v>8048</v>
      </c>
      <c r="B6950" s="9">
        <v>1</v>
      </c>
      <c r="C6950" s="257" t="s">
        <v>13721</v>
      </c>
      <c r="D6950" s="9">
        <v>5.8260644026284199E-3</v>
      </c>
      <c r="E6950" s="9"/>
      <c r="F6950" s="257" t="s">
        <v>17372</v>
      </c>
      <c r="G6950" s="9"/>
      <c r="H6950" s="257" t="s">
        <v>24954</v>
      </c>
      <c r="I6950" s="9">
        <v>4</v>
      </c>
    </row>
    <row r="6951" spans="1:9">
      <c r="A6951" s="257" t="s">
        <v>8049</v>
      </c>
      <c r="B6951" s="9">
        <v>1</v>
      </c>
      <c r="C6951" s="257" t="s">
        <v>13721</v>
      </c>
      <c r="D6951" s="9">
        <v>5.9601936146434628E-3</v>
      </c>
      <c r="E6951" s="9"/>
      <c r="F6951" s="257" t="s">
        <v>17373</v>
      </c>
      <c r="G6951" s="9"/>
      <c r="H6951" s="257" t="s">
        <v>24955</v>
      </c>
      <c r="I6951" s="9">
        <v>4</v>
      </c>
    </row>
    <row r="6952" spans="1:9">
      <c r="A6952" s="257" t="s">
        <v>8050</v>
      </c>
      <c r="B6952" s="9">
        <v>1</v>
      </c>
      <c r="C6952" s="257" t="s">
        <v>13721</v>
      </c>
      <c r="D6952" s="9">
        <v>-1.4263116064426882E-3</v>
      </c>
      <c r="E6952" s="9"/>
      <c r="F6952" s="257" t="s">
        <v>17374</v>
      </c>
      <c r="G6952" s="9"/>
      <c r="H6952" s="257" t="s">
        <v>24956</v>
      </c>
      <c r="I6952" s="9">
        <v>4</v>
      </c>
    </row>
    <row r="6953" spans="1:9">
      <c r="A6953" s="257" t="s">
        <v>8051</v>
      </c>
      <c r="B6953" s="9">
        <v>1</v>
      </c>
      <c r="C6953" s="257" t="s">
        <v>13721</v>
      </c>
      <c r="D6953" s="9">
        <v>0</v>
      </c>
      <c r="E6953" s="9"/>
      <c r="F6953" s="257" t="s">
        <v>17375</v>
      </c>
      <c r="G6953" s="9"/>
      <c r="H6953" s="257" t="s">
        <v>24957</v>
      </c>
      <c r="I6953" s="9">
        <v>4</v>
      </c>
    </row>
    <row r="6954" spans="1:9">
      <c r="A6954" s="257" t="s">
        <v>8052</v>
      </c>
      <c r="B6954" s="9">
        <v>1</v>
      </c>
      <c r="C6954" s="257" t="s">
        <v>13721</v>
      </c>
      <c r="D6954" s="9">
        <v>1.5851559236507468E-2</v>
      </c>
      <c r="E6954" s="9"/>
      <c r="F6954" s="257" t="s">
        <v>17376</v>
      </c>
      <c r="G6954" s="9"/>
      <c r="H6954" s="257" t="s">
        <v>24958</v>
      </c>
      <c r="I6954" s="9">
        <v>4</v>
      </c>
    </row>
    <row r="6955" spans="1:9">
      <c r="A6955" s="257" t="s">
        <v>8053</v>
      </c>
      <c r="B6955" s="9">
        <v>1</v>
      </c>
      <c r="C6955" s="257" t="s">
        <v>13721</v>
      </c>
      <c r="D6955" s="9">
        <v>3.598472563865157E-3</v>
      </c>
      <c r="E6955" s="9"/>
      <c r="F6955" s="257" t="s">
        <v>17377</v>
      </c>
      <c r="G6955" s="9"/>
      <c r="H6955" s="257" t="s">
        <v>24959</v>
      </c>
      <c r="I6955" s="9">
        <v>4</v>
      </c>
    </row>
    <row r="6956" spans="1:9">
      <c r="A6956" s="257" t="s">
        <v>8054</v>
      </c>
      <c r="B6956" s="9">
        <v>1</v>
      </c>
      <c r="C6956" s="257" t="s">
        <v>13721</v>
      </c>
      <c r="D6956" s="9">
        <v>1.225308667264231E-2</v>
      </c>
      <c r="E6956" s="9"/>
      <c r="F6956" s="257" t="s">
        <v>17378</v>
      </c>
      <c r="G6956" s="9"/>
      <c r="H6956" s="257" t="s">
        <v>24960</v>
      </c>
      <c r="I6956" s="9">
        <v>4</v>
      </c>
    </row>
    <row r="6957" spans="1:9">
      <c r="A6957" s="257" t="s">
        <v>8055</v>
      </c>
      <c r="B6957" s="9">
        <v>1</v>
      </c>
      <c r="C6957" s="257" t="s">
        <v>13721</v>
      </c>
      <c r="D6957" s="9">
        <v>1.341292120150436E-4</v>
      </c>
      <c r="E6957" s="9"/>
      <c r="F6957" s="257" t="s">
        <v>17379</v>
      </c>
      <c r="G6957" s="9"/>
      <c r="H6957" s="257" t="s">
        <v>24961</v>
      </c>
      <c r="I6957" s="9">
        <v>4</v>
      </c>
    </row>
    <row r="6958" spans="1:9">
      <c r="A6958" s="257" t="s">
        <v>8056</v>
      </c>
      <c r="B6958" s="9">
        <v>1</v>
      </c>
      <c r="C6958" s="257" t="s">
        <v>13721</v>
      </c>
      <c r="D6958" s="9">
        <v>2.69753950869996E-5</v>
      </c>
      <c r="E6958" s="9"/>
      <c r="F6958" s="257" t="s">
        <v>17380</v>
      </c>
      <c r="G6958" s="9"/>
      <c r="H6958" s="257" t="s">
        <v>24962</v>
      </c>
      <c r="I6958" s="9">
        <v>4</v>
      </c>
    </row>
    <row r="6959" spans="1:9">
      <c r="A6959" s="257" t="s">
        <v>8057</v>
      </c>
      <c r="B6959" s="9">
        <v>1</v>
      </c>
      <c r="C6959" s="257" t="s">
        <v>13721</v>
      </c>
      <c r="D6959" s="9">
        <v>2.9637684958593105E-3</v>
      </c>
      <c r="E6959" s="9"/>
      <c r="F6959" s="257" t="s">
        <v>17381</v>
      </c>
      <c r="G6959" s="9"/>
      <c r="H6959" s="257" t="s">
        <v>24963</v>
      </c>
      <c r="I6959" s="9">
        <v>4</v>
      </c>
    </row>
    <row r="6960" spans="1:9">
      <c r="A6960" s="257" t="s">
        <v>8058</v>
      </c>
      <c r="B6960" s="9">
        <v>1</v>
      </c>
      <c r="C6960" s="257" t="s">
        <v>13721</v>
      </c>
      <c r="D6960" s="9">
        <v>-8.2106312216385544E-4</v>
      </c>
      <c r="E6960" s="9"/>
      <c r="F6960" s="257" t="s">
        <v>17382</v>
      </c>
      <c r="G6960" s="9"/>
      <c r="H6960" s="257" t="s">
        <v>24964</v>
      </c>
      <c r="I6960" s="9">
        <v>4</v>
      </c>
    </row>
    <row r="6961" spans="1:9">
      <c r="A6961" s="257" t="s">
        <v>8059</v>
      </c>
      <c r="B6961" s="9">
        <v>1</v>
      </c>
      <c r="C6961" s="257" t="s">
        <v>13721</v>
      </c>
      <c r="D6961" s="9">
        <v>2.1427053736954547E-3</v>
      </c>
      <c r="E6961" s="9"/>
      <c r="F6961" s="257" t="s">
        <v>17383</v>
      </c>
      <c r="G6961" s="9"/>
      <c r="H6961" s="257" t="s">
        <v>24965</v>
      </c>
      <c r="I6961" s="9">
        <v>4</v>
      </c>
    </row>
    <row r="6962" spans="1:9">
      <c r="A6962" s="257" t="s">
        <v>8060</v>
      </c>
      <c r="B6962" s="9">
        <v>1</v>
      </c>
      <c r="C6962" s="257" t="s">
        <v>13721</v>
      </c>
      <c r="D6962" s="9">
        <v>1.935870185192383E-3</v>
      </c>
      <c r="E6962" s="9"/>
      <c r="F6962" s="257" t="s">
        <v>17384</v>
      </c>
      <c r="G6962" s="9"/>
      <c r="H6962" s="257" t="s">
        <v>24966</v>
      </c>
      <c r="I6962" s="9">
        <v>4</v>
      </c>
    </row>
    <row r="6963" spans="1:9">
      <c r="A6963" s="257" t="s">
        <v>8061</v>
      </c>
      <c r="B6963" s="9">
        <v>1</v>
      </c>
      <c r="C6963" s="257" t="s">
        <v>13721</v>
      </c>
      <c r="D6963" s="9">
        <v>1.8816180557556252E-3</v>
      </c>
      <c r="E6963" s="9"/>
      <c r="F6963" s="257" t="s">
        <v>17385</v>
      </c>
      <c r="G6963" s="9"/>
      <c r="H6963" s="257" t="s">
        <v>24967</v>
      </c>
      <c r="I6963" s="9">
        <v>4</v>
      </c>
    </row>
    <row r="6964" spans="1:9">
      <c r="A6964" s="257" t="s">
        <v>8062</v>
      </c>
      <c r="B6964" s="9">
        <v>1</v>
      </c>
      <c r="C6964" s="257" t="s">
        <v>13721</v>
      </c>
      <c r="D6964" s="9">
        <v>3.8174882409480085E-3</v>
      </c>
      <c r="E6964" s="9"/>
      <c r="F6964" s="257" t="s">
        <v>17386</v>
      </c>
      <c r="G6964" s="9"/>
      <c r="H6964" s="257" t="s">
        <v>24968</v>
      </c>
      <c r="I6964" s="9">
        <v>4</v>
      </c>
    </row>
    <row r="6965" spans="1:9">
      <c r="A6965" s="257" t="s">
        <v>8063</v>
      </c>
      <c r="B6965" s="9">
        <v>1</v>
      </c>
      <c r="C6965" s="257" t="s">
        <v>13721</v>
      </c>
      <c r="D6965" s="9">
        <v>-3.2078064754773199E-5</v>
      </c>
      <c r="E6965" s="9"/>
      <c r="F6965" s="257" t="s">
        <v>17387</v>
      </c>
      <c r="G6965" s="9"/>
      <c r="H6965" s="257" t="s">
        <v>24969</v>
      </c>
      <c r="I6965" s="9">
        <v>4</v>
      </c>
    </row>
    <row r="6966" spans="1:9">
      <c r="A6966" s="257" t="s">
        <v>8064</v>
      </c>
      <c r="B6966" s="9">
        <v>1</v>
      </c>
      <c r="C6966" s="257" t="s">
        <v>13721</v>
      </c>
      <c r="D6966" s="9">
        <v>-1.3942335416879149E-3</v>
      </c>
      <c r="E6966" s="9"/>
      <c r="F6966" s="257" t="s">
        <v>17388</v>
      </c>
      <c r="G6966" s="9"/>
      <c r="H6966" s="257" t="s">
        <v>24970</v>
      </c>
      <c r="I6966" s="9">
        <v>4</v>
      </c>
    </row>
    <row r="6967" spans="1:9">
      <c r="A6967" s="257" t="s">
        <v>8065</v>
      </c>
      <c r="B6967" s="9">
        <v>2</v>
      </c>
      <c r="C6967" s="257" t="s">
        <v>13721</v>
      </c>
      <c r="D6967" s="9">
        <v>2.7813114261299753E-3</v>
      </c>
      <c r="E6967" s="9"/>
      <c r="F6967" s="257" t="s">
        <v>17389</v>
      </c>
      <c r="G6967" s="9"/>
      <c r="H6967" s="257" t="s">
        <v>24971</v>
      </c>
      <c r="I6967" s="9">
        <v>4</v>
      </c>
    </row>
    <row r="6968" spans="1:9">
      <c r="A6968" s="257" t="s">
        <v>8066</v>
      </c>
      <c r="B6968" s="9">
        <v>2</v>
      </c>
      <c r="C6968" s="257" t="s">
        <v>13721</v>
      </c>
      <c r="D6968" s="9">
        <v>2.9572171706611985E-3</v>
      </c>
      <c r="E6968" s="9"/>
      <c r="F6968" s="257" t="s">
        <v>17390</v>
      </c>
      <c r="G6968" s="9"/>
      <c r="H6968" s="257" t="s">
        <v>24972</v>
      </c>
      <c r="I6968" s="9">
        <v>4</v>
      </c>
    </row>
    <row r="6969" spans="1:9">
      <c r="A6969" s="257" t="s">
        <v>8067</v>
      </c>
      <c r="B6969" s="9">
        <v>2</v>
      </c>
      <c r="C6969" s="257" t="s">
        <v>13721</v>
      </c>
      <c r="D6969" s="9">
        <v>2.9511846795462243E-3</v>
      </c>
      <c r="E6969" s="9"/>
      <c r="F6969" s="257" t="s">
        <v>17391</v>
      </c>
      <c r="G6969" s="9"/>
      <c r="H6969" s="257" t="s">
        <v>24973</v>
      </c>
      <c r="I6969" s="9">
        <v>4</v>
      </c>
    </row>
    <row r="6970" spans="1:9">
      <c r="A6970" s="257" t="s">
        <v>8068</v>
      </c>
      <c r="B6970" s="9">
        <v>2</v>
      </c>
      <c r="C6970" s="257" t="s">
        <v>13721</v>
      </c>
      <c r="D6970" s="9">
        <v>1.0601104276887045E-2</v>
      </c>
      <c r="E6970" s="9"/>
      <c r="F6970" s="257" t="s">
        <v>17392</v>
      </c>
      <c r="G6970" s="9"/>
      <c r="H6970" s="257" t="s">
        <v>24974</v>
      </c>
      <c r="I6970" s="9">
        <v>4</v>
      </c>
    </row>
    <row r="6971" spans="1:9">
      <c r="A6971" s="257" t="s">
        <v>8069</v>
      </c>
      <c r="B6971" s="9">
        <v>2</v>
      </c>
      <c r="C6971" s="257" t="s">
        <v>13721</v>
      </c>
      <c r="D6971" s="9">
        <v>1.0777010021418267E-2</v>
      </c>
      <c r="E6971" s="9"/>
      <c r="F6971" s="257" t="s">
        <v>17393</v>
      </c>
      <c r="G6971" s="9"/>
      <c r="H6971" s="257" t="s">
        <v>24975</v>
      </c>
      <c r="I6971" s="9">
        <v>4</v>
      </c>
    </row>
    <row r="6972" spans="1:9">
      <c r="A6972" s="257" t="s">
        <v>8070</v>
      </c>
      <c r="B6972" s="9">
        <v>2</v>
      </c>
      <c r="C6972" s="257" t="s">
        <v>13721</v>
      </c>
      <c r="D6972" s="9">
        <v>1.6509506127094467E-2</v>
      </c>
      <c r="E6972" s="9"/>
      <c r="F6972" s="257" t="s">
        <v>17394</v>
      </c>
      <c r="G6972" s="9"/>
      <c r="H6972" s="257" t="s">
        <v>24976</v>
      </c>
      <c r="I6972" s="9">
        <v>4</v>
      </c>
    </row>
    <row r="6973" spans="1:9">
      <c r="A6973" s="257" t="s">
        <v>8071</v>
      </c>
      <c r="B6973" s="9">
        <v>2</v>
      </c>
      <c r="C6973" s="257" t="s">
        <v>13721</v>
      </c>
      <c r="D6973" s="9">
        <v>5.7324961056761997E-3</v>
      </c>
      <c r="E6973" s="9"/>
      <c r="F6973" s="257" t="s">
        <v>17395</v>
      </c>
      <c r="G6973" s="9"/>
      <c r="H6973" s="257" t="s">
        <v>24977</v>
      </c>
      <c r="I6973" s="9">
        <v>4</v>
      </c>
    </row>
    <row r="6974" spans="1:9">
      <c r="A6974" s="257" t="s">
        <v>8072</v>
      </c>
      <c r="B6974" s="9">
        <v>2</v>
      </c>
      <c r="C6974" s="257" t="s">
        <v>13721</v>
      </c>
      <c r="D6974" s="9">
        <v>5.9084018502074233E-3</v>
      </c>
      <c r="E6974" s="9"/>
      <c r="F6974" s="257" t="s">
        <v>17396</v>
      </c>
      <c r="G6974" s="9"/>
      <c r="H6974" s="257" t="s">
        <v>24978</v>
      </c>
      <c r="I6974" s="9">
        <v>4</v>
      </c>
    </row>
    <row r="6975" spans="1:9">
      <c r="A6975" s="257" t="s">
        <v>8073</v>
      </c>
      <c r="B6975" s="9">
        <v>2</v>
      </c>
      <c r="C6975" s="257" t="s">
        <v>13721</v>
      </c>
      <c r="D6975" s="9">
        <v>7.8395020184062383E-3</v>
      </c>
      <c r="E6975" s="9"/>
      <c r="F6975" s="257" t="s">
        <v>17397</v>
      </c>
      <c r="G6975" s="9"/>
      <c r="H6975" s="257" t="s">
        <v>24979</v>
      </c>
      <c r="I6975" s="9">
        <v>4</v>
      </c>
    </row>
    <row r="6976" spans="1:9">
      <c r="A6976" s="257" t="s">
        <v>8074</v>
      </c>
      <c r="B6976" s="9">
        <v>2</v>
      </c>
      <c r="C6976" s="257" t="s">
        <v>13721</v>
      </c>
      <c r="D6976" s="9">
        <v>8.0154077629374619E-3</v>
      </c>
      <c r="E6976" s="9"/>
      <c r="F6976" s="257" t="s">
        <v>17398</v>
      </c>
      <c r="G6976" s="9"/>
      <c r="H6976" s="257" t="s">
        <v>24980</v>
      </c>
      <c r="I6976" s="9">
        <v>4</v>
      </c>
    </row>
    <row r="6977" spans="1:9">
      <c r="A6977" s="257" t="s">
        <v>8075</v>
      </c>
      <c r="B6977" s="9">
        <v>2</v>
      </c>
      <c r="C6977" s="257" t="s">
        <v>13721</v>
      </c>
      <c r="D6977" s="9">
        <v>-2.1070059127300382E-3</v>
      </c>
      <c r="E6977" s="9"/>
      <c r="F6977" s="257" t="s">
        <v>17399</v>
      </c>
      <c r="G6977" s="9"/>
      <c r="H6977" s="257" t="s">
        <v>24981</v>
      </c>
      <c r="I6977" s="9">
        <v>4</v>
      </c>
    </row>
    <row r="6978" spans="1:9">
      <c r="A6978" s="257" t="s">
        <v>8076</v>
      </c>
      <c r="B6978" s="9">
        <v>2</v>
      </c>
      <c r="C6978" s="257" t="s">
        <v>13721</v>
      </c>
      <c r="D6978" s="9">
        <v>0</v>
      </c>
      <c r="E6978" s="9"/>
      <c r="F6978" s="257" t="s">
        <v>17400</v>
      </c>
      <c r="G6978" s="9"/>
      <c r="H6978" s="257" t="s">
        <v>24982</v>
      </c>
      <c r="I6978" s="9">
        <v>4</v>
      </c>
    </row>
    <row r="6979" spans="1:9">
      <c r="A6979" s="257" t="s">
        <v>8077</v>
      </c>
      <c r="B6979" s="9">
        <v>2</v>
      </c>
      <c r="C6979" s="257" t="s">
        <v>13721</v>
      </c>
      <c r="D6979" s="9">
        <v>1.0553140090392415E-2</v>
      </c>
      <c r="E6979" s="9"/>
      <c r="F6979" s="257" t="s">
        <v>17401</v>
      </c>
      <c r="G6979" s="9"/>
      <c r="H6979" s="257" t="s">
        <v>24983</v>
      </c>
      <c r="I6979" s="9">
        <v>4</v>
      </c>
    </row>
    <row r="6980" spans="1:9">
      <c r="A6980" s="257" t="s">
        <v>8078</v>
      </c>
      <c r="B6980" s="9">
        <v>2</v>
      </c>
      <c r="C6980" s="257" t="s">
        <v>13721</v>
      </c>
      <c r="D6980" s="9">
        <v>3.9745910530844236E-3</v>
      </c>
      <c r="E6980" s="9"/>
      <c r="F6980" s="257" t="s">
        <v>17402</v>
      </c>
      <c r="G6980" s="9"/>
      <c r="H6980" s="257" t="s">
        <v>24984</v>
      </c>
      <c r="I6980" s="9">
        <v>4</v>
      </c>
    </row>
    <row r="6981" spans="1:9">
      <c r="A6981" s="257" t="s">
        <v>8079</v>
      </c>
      <c r="B6981" s="9">
        <v>2</v>
      </c>
      <c r="C6981" s="257" t="s">
        <v>13721</v>
      </c>
      <c r="D6981" s="9">
        <v>6.5785490373079921E-3</v>
      </c>
      <c r="E6981" s="9"/>
      <c r="F6981" s="257" t="s">
        <v>17403</v>
      </c>
      <c r="G6981" s="9"/>
      <c r="H6981" s="257" t="s">
        <v>24985</v>
      </c>
      <c r="I6981" s="9">
        <v>4</v>
      </c>
    </row>
    <row r="6982" spans="1:9">
      <c r="A6982" s="257" t="s">
        <v>8080</v>
      </c>
      <c r="B6982" s="9">
        <v>2</v>
      </c>
      <c r="C6982" s="257" t="s">
        <v>13721</v>
      </c>
      <c r="D6982" s="9">
        <v>1.7590574453122358E-4</v>
      </c>
      <c r="E6982" s="9"/>
      <c r="F6982" s="257" t="s">
        <v>17404</v>
      </c>
      <c r="G6982" s="9"/>
      <c r="H6982" s="257" t="s">
        <v>24986</v>
      </c>
      <c r="I6982" s="9">
        <v>4</v>
      </c>
    </row>
    <row r="6983" spans="1:9">
      <c r="A6983" s="257" t="s">
        <v>8081</v>
      </c>
      <c r="B6983" s="9">
        <v>2</v>
      </c>
      <c r="C6983" s="257" t="s">
        <v>13721</v>
      </c>
      <c r="D6983" s="9">
        <v>4.7964186494628161E-5</v>
      </c>
      <c r="E6983" s="9"/>
      <c r="F6983" s="257" t="s">
        <v>17405</v>
      </c>
      <c r="G6983" s="9"/>
      <c r="H6983" s="257" t="s">
        <v>24987</v>
      </c>
      <c r="I6983" s="9">
        <v>4</v>
      </c>
    </row>
    <row r="6984" spans="1:9">
      <c r="A6984" s="257" t="s">
        <v>8082</v>
      </c>
      <c r="B6984" s="9">
        <v>2</v>
      </c>
      <c r="C6984" s="257" t="s">
        <v>13721</v>
      </c>
      <c r="D6984" s="9">
        <v>4.0050521392123737E-3</v>
      </c>
      <c r="E6984" s="9"/>
      <c r="F6984" s="257" t="s">
        <v>17406</v>
      </c>
      <c r="G6984" s="9"/>
      <c r="H6984" s="257" t="s">
        <v>24988</v>
      </c>
      <c r="I6984" s="9">
        <v>4</v>
      </c>
    </row>
    <row r="6985" spans="1:9">
      <c r="A6985" s="257" t="s">
        <v>8083</v>
      </c>
      <c r="B6985" s="9">
        <v>2</v>
      </c>
      <c r="C6985" s="257" t="s">
        <v>13721</v>
      </c>
      <c r="D6985" s="9">
        <v>-8.8912283985990786E-4</v>
      </c>
      <c r="E6985" s="9"/>
      <c r="F6985" s="257" t="s">
        <v>17407</v>
      </c>
      <c r="G6985" s="9"/>
      <c r="H6985" s="257" t="s">
        <v>24989</v>
      </c>
      <c r="I6985" s="9">
        <v>4</v>
      </c>
    </row>
    <row r="6986" spans="1:9">
      <c r="A6986" s="257" t="s">
        <v>8084</v>
      </c>
      <c r="B6986" s="9">
        <v>2</v>
      </c>
      <c r="C6986" s="257" t="s">
        <v>13721</v>
      </c>
      <c r="D6986" s="9">
        <v>3.1159292993524655E-3</v>
      </c>
      <c r="E6986" s="9"/>
      <c r="F6986" s="257" t="s">
        <v>17408</v>
      </c>
      <c r="G6986" s="9"/>
      <c r="H6986" s="257" t="s">
        <v>24990</v>
      </c>
      <c r="I6986" s="9">
        <v>4</v>
      </c>
    </row>
    <row r="6987" spans="1:9">
      <c r="A6987" s="257" t="s">
        <v>8085</v>
      </c>
      <c r="B6987" s="9">
        <v>2</v>
      </c>
      <c r="C6987" s="257" t="s">
        <v>13721</v>
      </c>
      <c r="D6987" s="9">
        <v>2.8384549789996832E-3</v>
      </c>
      <c r="E6987" s="9"/>
      <c r="F6987" s="257" t="s">
        <v>17409</v>
      </c>
      <c r="G6987" s="9"/>
      <c r="H6987" s="257" t="s">
        <v>24991</v>
      </c>
      <c r="I6987" s="9">
        <v>4</v>
      </c>
    </row>
    <row r="6988" spans="1:9">
      <c r="A6988" s="257" t="s">
        <v>8086</v>
      </c>
      <c r="B6988" s="9">
        <v>2</v>
      </c>
      <c r="C6988" s="257" t="s">
        <v>13721</v>
      </c>
      <c r="D6988" s="9">
        <v>2.0610234845853132E-3</v>
      </c>
      <c r="E6988" s="9"/>
      <c r="F6988" s="257" t="s">
        <v>17410</v>
      </c>
      <c r="G6988" s="9"/>
      <c r="H6988" s="257" t="s">
        <v>24992</v>
      </c>
      <c r="I6988" s="9">
        <v>4</v>
      </c>
    </row>
    <row r="6989" spans="1:9">
      <c r="A6989" s="257" t="s">
        <v>8087</v>
      </c>
      <c r="B6989" s="9">
        <v>2</v>
      </c>
      <c r="C6989" s="257" t="s">
        <v>13721</v>
      </c>
      <c r="D6989" s="9">
        <v>4.8994784635849964E-3</v>
      </c>
      <c r="E6989" s="9"/>
      <c r="F6989" s="257" t="s">
        <v>17411</v>
      </c>
      <c r="G6989" s="9"/>
      <c r="H6989" s="257" t="s">
        <v>24993</v>
      </c>
      <c r="I6989" s="9">
        <v>4</v>
      </c>
    </row>
    <row r="6990" spans="1:9">
      <c r="A6990" s="257" t="s">
        <v>8088</v>
      </c>
      <c r="B6990" s="9">
        <v>2</v>
      </c>
      <c r="C6990" s="257" t="s">
        <v>13721</v>
      </c>
      <c r="D6990" s="9">
        <v>-1.587121286912665E-4</v>
      </c>
      <c r="E6990" s="9"/>
      <c r="F6990" s="257" t="s">
        <v>17412</v>
      </c>
      <c r="G6990" s="9"/>
      <c r="H6990" s="257" t="s">
        <v>24994</v>
      </c>
      <c r="I6990" s="9">
        <v>4</v>
      </c>
    </row>
    <row r="6991" spans="1:9">
      <c r="A6991" s="257" t="s">
        <v>8089</v>
      </c>
      <c r="B6991" s="9">
        <v>2</v>
      </c>
      <c r="C6991" s="257" t="s">
        <v>13721</v>
      </c>
      <c r="D6991" s="9">
        <v>-1.9482937840387717E-3</v>
      </c>
      <c r="E6991" s="9"/>
      <c r="F6991" s="257" t="s">
        <v>17413</v>
      </c>
      <c r="G6991" s="9"/>
      <c r="H6991" s="257" t="s">
        <v>24995</v>
      </c>
      <c r="I6991" s="9">
        <v>4</v>
      </c>
    </row>
    <row r="6992" spans="1:9">
      <c r="A6992" s="257" t="s">
        <v>8090</v>
      </c>
      <c r="B6992" s="9">
        <v>3</v>
      </c>
      <c r="C6992" s="257" t="s">
        <v>13721</v>
      </c>
      <c r="D6992" s="9">
        <v>3.899709480543231E-3</v>
      </c>
      <c r="E6992" s="9"/>
      <c r="F6992" s="257" t="s">
        <v>17414</v>
      </c>
      <c r="G6992" s="9"/>
      <c r="H6992" s="257" t="s">
        <v>24996</v>
      </c>
      <c r="I6992" s="9">
        <v>4</v>
      </c>
    </row>
    <row r="6993" spans="1:9">
      <c r="A6993" s="257" t="s">
        <v>8091</v>
      </c>
      <c r="B6993" s="9">
        <v>3</v>
      </c>
      <c r="C6993" s="257" t="s">
        <v>13721</v>
      </c>
      <c r="D6993" s="9">
        <v>4.1264241545953427E-3</v>
      </c>
      <c r="E6993" s="9"/>
      <c r="F6993" s="257" t="s">
        <v>17415</v>
      </c>
      <c r="G6993" s="9"/>
      <c r="H6993" s="257" t="s">
        <v>24997</v>
      </c>
      <c r="I6993" s="9">
        <v>4</v>
      </c>
    </row>
    <row r="6994" spans="1:9">
      <c r="A6994" s="257" t="s">
        <v>8092</v>
      </c>
      <c r="B6994" s="9">
        <v>3</v>
      </c>
      <c r="C6994" s="257" t="s">
        <v>13721</v>
      </c>
      <c r="D6994" s="9">
        <v>2.9871158285149357E-3</v>
      </c>
      <c r="E6994" s="9"/>
      <c r="F6994" s="257" t="s">
        <v>17416</v>
      </c>
      <c r="G6994" s="9"/>
      <c r="H6994" s="257" t="s">
        <v>24998</v>
      </c>
      <c r="I6994" s="9">
        <v>4</v>
      </c>
    </row>
    <row r="6995" spans="1:9">
      <c r="A6995" s="257" t="s">
        <v>8093</v>
      </c>
      <c r="B6995" s="9">
        <v>3</v>
      </c>
      <c r="C6995" s="257" t="s">
        <v>13721</v>
      </c>
      <c r="D6995" s="9">
        <v>7.7048284836024267E-3</v>
      </c>
      <c r="E6995" s="9"/>
      <c r="F6995" s="257" t="s">
        <v>17417</v>
      </c>
      <c r="G6995" s="9"/>
      <c r="H6995" s="257" t="s">
        <v>24999</v>
      </c>
      <c r="I6995" s="9">
        <v>4</v>
      </c>
    </row>
    <row r="6996" spans="1:9">
      <c r="A6996" s="257" t="s">
        <v>8094</v>
      </c>
      <c r="B6996" s="9">
        <v>3</v>
      </c>
      <c r="C6996" s="257" t="s">
        <v>13721</v>
      </c>
      <c r="D6996" s="9">
        <v>7.931543157654538E-3</v>
      </c>
      <c r="E6996" s="9"/>
      <c r="F6996" s="257" t="s">
        <v>17418</v>
      </c>
      <c r="G6996" s="9"/>
      <c r="H6996" s="257" t="s">
        <v>25000</v>
      </c>
      <c r="I6996" s="9">
        <v>4</v>
      </c>
    </row>
    <row r="6997" spans="1:9">
      <c r="A6997" s="257" t="s">
        <v>8095</v>
      </c>
      <c r="B6997" s="9">
        <v>3</v>
      </c>
      <c r="C6997" s="257" t="s">
        <v>13721</v>
      </c>
      <c r="D6997" s="9">
        <v>1.4818368466712705E-2</v>
      </c>
      <c r="E6997" s="9"/>
      <c r="F6997" s="257" t="s">
        <v>17419</v>
      </c>
      <c r="G6997" s="9"/>
      <c r="H6997" s="257" t="s">
        <v>25001</v>
      </c>
      <c r="I6997" s="9">
        <v>4</v>
      </c>
    </row>
    <row r="6998" spans="1:9">
      <c r="A6998" s="257" t="s">
        <v>8096</v>
      </c>
      <c r="B6998" s="9">
        <v>3</v>
      </c>
      <c r="C6998" s="257" t="s">
        <v>13721</v>
      </c>
      <c r="D6998" s="9">
        <v>6.8868253090581671E-3</v>
      </c>
      <c r="E6998" s="9"/>
      <c r="F6998" s="257" t="s">
        <v>17420</v>
      </c>
      <c r="G6998" s="9"/>
      <c r="H6998" s="257" t="s">
        <v>25002</v>
      </c>
      <c r="I6998" s="9">
        <v>4</v>
      </c>
    </row>
    <row r="6999" spans="1:9">
      <c r="A6999" s="257" t="s">
        <v>8097</v>
      </c>
      <c r="B6999" s="9">
        <v>3</v>
      </c>
      <c r="C6999" s="257" t="s">
        <v>13721</v>
      </c>
      <c r="D6999" s="9">
        <v>7.1135399831102775E-3</v>
      </c>
      <c r="E6999" s="9"/>
      <c r="F6999" s="257" t="s">
        <v>17421</v>
      </c>
      <c r="G6999" s="9"/>
      <c r="H6999" s="257" t="s">
        <v>25003</v>
      </c>
      <c r="I6999" s="9">
        <v>4</v>
      </c>
    </row>
    <row r="7000" spans="1:9">
      <c r="A7000" s="257" t="s">
        <v>8098</v>
      </c>
      <c r="B7000" s="9">
        <v>3</v>
      </c>
      <c r="C7000" s="257" t="s">
        <v>13721</v>
      </c>
      <c r="D7000" s="9">
        <v>8.7559282459016598E-3</v>
      </c>
      <c r="E7000" s="9"/>
      <c r="F7000" s="257" t="s">
        <v>17422</v>
      </c>
      <c r="G7000" s="9"/>
      <c r="H7000" s="257" t="s">
        <v>25004</v>
      </c>
      <c r="I7000" s="9">
        <v>4</v>
      </c>
    </row>
    <row r="7001" spans="1:9">
      <c r="A7001" s="257" t="s">
        <v>8099</v>
      </c>
      <c r="B7001" s="9">
        <v>3</v>
      </c>
      <c r="C7001" s="257" t="s">
        <v>13721</v>
      </c>
      <c r="D7001" s="9">
        <v>8.9826429199537719E-3</v>
      </c>
      <c r="E7001" s="9"/>
      <c r="F7001" s="257" t="s">
        <v>17423</v>
      </c>
      <c r="G7001" s="9"/>
      <c r="H7001" s="257" t="s">
        <v>25005</v>
      </c>
      <c r="I7001" s="9">
        <v>4</v>
      </c>
    </row>
    <row r="7002" spans="1:9">
      <c r="A7002" s="257" t="s">
        <v>8100</v>
      </c>
      <c r="B7002" s="9">
        <v>3</v>
      </c>
      <c r="C7002" s="257" t="s">
        <v>13721</v>
      </c>
      <c r="D7002" s="9">
        <v>-1.8691029368434935E-3</v>
      </c>
      <c r="E7002" s="9"/>
      <c r="F7002" s="257" t="s">
        <v>17424</v>
      </c>
      <c r="G7002" s="9"/>
      <c r="H7002" s="257" t="s">
        <v>25006</v>
      </c>
      <c r="I7002" s="9">
        <v>4</v>
      </c>
    </row>
    <row r="7003" spans="1:9">
      <c r="A7003" s="257" t="s">
        <v>8101</v>
      </c>
      <c r="B7003" s="9">
        <v>3</v>
      </c>
      <c r="C7003" s="257" t="s">
        <v>13721</v>
      </c>
      <c r="D7003" s="9">
        <v>0</v>
      </c>
      <c r="E7003" s="9"/>
      <c r="F7003" s="257" t="s">
        <v>17425</v>
      </c>
      <c r="G7003" s="9"/>
      <c r="H7003" s="257" t="s">
        <v>25007</v>
      </c>
      <c r="I7003" s="9">
        <v>4</v>
      </c>
    </row>
    <row r="7004" spans="1:9">
      <c r="A7004" s="257" t="s">
        <v>8102</v>
      </c>
      <c r="B7004" s="9">
        <v>3</v>
      </c>
      <c r="C7004" s="257" t="s">
        <v>13721</v>
      </c>
      <c r="D7004" s="9">
        <v>7.6502628309057189E-3</v>
      </c>
      <c r="E7004" s="9"/>
      <c r="F7004" s="257" t="s">
        <v>17426</v>
      </c>
      <c r="G7004" s="9"/>
      <c r="H7004" s="257" t="s">
        <v>25008</v>
      </c>
      <c r="I7004" s="9">
        <v>4</v>
      </c>
    </row>
    <row r="7005" spans="1:9">
      <c r="A7005" s="257" t="s">
        <v>8103</v>
      </c>
      <c r="B7005" s="9">
        <v>3</v>
      </c>
      <c r="C7005" s="257" t="s">
        <v>13721</v>
      </c>
      <c r="D7005" s="9">
        <v>2.7529844378874416E-3</v>
      </c>
      <c r="E7005" s="9"/>
      <c r="F7005" s="257" t="s">
        <v>17427</v>
      </c>
      <c r="G7005" s="9"/>
      <c r="H7005" s="257" t="s">
        <v>25009</v>
      </c>
      <c r="I7005" s="9">
        <v>4</v>
      </c>
    </row>
    <row r="7006" spans="1:9">
      <c r="A7006" s="257" t="s">
        <v>8104</v>
      </c>
      <c r="B7006" s="9">
        <v>3</v>
      </c>
      <c r="C7006" s="257" t="s">
        <v>13721</v>
      </c>
      <c r="D7006" s="9">
        <v>4.8972783930182773E-3</v>
      </c>
      <c r="E7006" s="9"/>
      <c r="F7006" s="257" t="s">
        <v>17428</v>
      </c>
      <c r="G7006" s="9"/>
      <c r="H7006" s="257" t="s">
        <v>25010</v>
      </c>
      <c r="I7006" s="9">
        <v>4</v>
      </c>
    </row>
    <row r="7007" spans="1:9">
      <c r="A7007" s="257" t="s">
        <v>8105</v>
      </c>
      <c r="B7007" s="9">
        <v>3</v>
      </c>
      <c r="C7007" s="257" t="s">
        <v>13721</v>
      </c>
      <c r="D7007" s="9">
        <v>2.2671467405211101E-4</v>
      </c>
      <c r="E7007" s="9"/>
      <c r="F7007" s="257" t="s">
        <v>17429</v>
      </c>
      <c r="G7007" s="9"/>
      <c r="H7007" s="257" t="s">
        <v>25011</v>
      </c>
      <c r="I7007" s="9">
        <v>4</v>
      </c>
    </row>
    <row r="7008" spans="1:9">
      <c r="A7008" s="257" t="s">
        <v>8106</v>
      </c>
      <c r="B7008" s="9">
        <v>3</v>
      </c>
      <c r="C7008" s="257" t="s">
        <v>13721</v>
      </c>
      <c r="D7008" s="9">
        <v>5.4565652696708547E-5</v>
      </c>
      <c r="E7008" s="9"/>
      <c r="F7008" s="257" t="s">
        <v>17430</v>
      </c>
      <c r="G7008" s="9"/>
      <c r="H7008" s="257" t="s">
        <v>25012</v>
      </c>
      <c r="I7008" s="9">
        <v>4</v>
      </c>
    </row>
    <row r="7009" spans="1:9">
      <c r="A7009" s="257" t="s">
        <v>8107</v>
      </c>
      <c r="B7009" s="9">
        <v>3</v>
      </c>
      <c r="C7009" s="257" t="s">
        <v>13721</v>
      </c>
      <c r="D7009" s="9">
        <v>5.2428860190884699E-3</v>
      </c>
      <c r="E7009" s="9"/>
      <c r="F7009" s="257" t="s">
        <v>17431</v>
      </c>
      <c r="G7009" s="9"/>
      <c r="H7009" s="257" t="s">
        <v>25013</v>
      </c>
      <c r="I7009" s="9">
        <v>4</v>
      </c>
    </row>
    <row r="7010" spans="1:9">
      <c r="A7010" s="257" t="s">
        <v>8108</v>
      </c>
      <c r="B7010" s="9">
        <v>3</v>
      </c>
      <c r="C7010" s="257" t="s">
        <v>13721</v>
      </c>
      <c r="D7010" s="9">
        <v>-8.9397089418065466E-4</v>
      </c>
      <c r="E7010" s="9"/>
      <c r="F7010" s="257" t="s">
        <v>17432</v>
      </c>
      <c r="G7010" s="9"/>
      <c r="H7010" s="257" t="s">
        <v>25014</v>
      </c>
      <c r="I7010" s="9">
        <v>4</v>
      </c>
    </row>
    <row r="7011" spans="1:9">
      <c r="A7011" s="257" t="s">
        <v>8109</v>
      </c>
      <c r="B7011" s="9">
        <v>3</v>
      </c>
      <c r="C7011" s="257" t="s">
        <v>13721</v>
      </c>
      <c r="D7011" s="9">
        <v>4.3489151249078151E-3</v>
      </c>
      <c r="E7011" s="9"/>
      <c r="F7011" s="257" t="s">
        <v>17433</v>
      </c>
      <c r="G7011" s="9"/>
      <c r="H7011" s="257" t="s">
        <v>25015</v>
      </c>
      <c r="I7011" s="9">
        <v>4</v>
      </c>
    </row>
    <row r="7012" spans="1:9">
      <c r="A7012" s="257" t="s">
        <v>8110</v>
      </c>
      <c r="B7012" s="9">
        <v>3</v>
      </c>
      <c r="C7012" s="257" t="s">
        <v>13721</v>
      </c>
      <c r="D7012" s="9">
        <v>2.5339738319654381E-3</v>
      </c>
      <c r="E7012" s="9"/>
      <c r="F7012" s="257" t="s">
        <v>17434</v>
      </c>
      <c r="G7012" s="9"/>
      <c r="H7012" s="257" t="s">
        <v>25016</v>
      </c>
      <c r="I7012" s="9">
        <v>4</v>
      </c>
    </row>
    <row r="7013" spans="1:9">
      <c r="A7013" s="257" t="s">
        <v>8111</v>
      </c>
      <c r="B7013" s="9">
        <v>3</v>
      </c>
      <c r="C7013" s="257" t="s">
        <v>13721</v>
      </c>
      <c r="D7013" s="9">
        <v>2.0997539630805183E-3</v>
      </c>
      <c r="E7013" s="9"/>
      <c r="F7013" s="257" t="s">
        <v>17435</v>
      </c>
      <c r="G7013" s="9"/>
      <c r="H7013" s="257" t="s">
        <v>25017</v>
      </c>
      <c r="I7013" s="9">
        <v>4</v>
      </c>
    </row>
    <row r="7014" spans="1:9">
      <c r="A7014" s="257" t="s">
        <v>8112</v>
      </c>
      <c r="B7014" s="9">
        <v>3</v>
      </c>
      <c r="C7014" s="257" t="s">
        <v>13721</v>
      </c>
      <c r="D7014" s="9">
        <v>4.633727795045956E-3</v>
      </c>
      <c r="E7014" s="9"/>
      <c r="F7014" s="257" t="s">
        <v>17436</v>
      </c>
      <c r="G7014" s="9"/>
      <c r="H7014" s="257" t="s">
        <v>25018</v>
      </c>
      <c r="I7014" s="9">
        <v>4</v>
      </c>
    </row>
    <row r="7015" spans="1:9">
      <c r="A7015" s="257" t="s">
        <v>8113</v>
      </c>
      <c r="B7015" s="9">
        <v>3</v>
      </c>
      <c r="C7015" s="257" t="s">
        <v>13721</v>
      </c>
      <c r="D7015" s="9">
        <v>-2.2249097031247289E-4</v>
      </c>
      <c r="E7015" s="9"/>
      <c r="F7015" s="257" t="s">
        <v>17437</v>
      </c>
      <c r="G7015" s="9"/>
      <c r="H7015" s="257" t="s">
        <v>25019</v>
      </c>
      <c r="I7015" s="9">
        <v>4</v>
      </c>
    </row>
    <row r="7016" spans="1:9">
      <c r="A7016" s="257" t="s">
        <v>8114</v>
      </c>
      <c r="B7016" s="9">
        <v>3</v>
      </c>
      <c r="C7016" s="257" t="s">
        <v>13721</v>
      </c>
      <c r="D7016" s="9">
        <v>-1.6466119665310207E-3</v>
      </c>
      <c r="E7016" s="9"/>
      <c r="F7016" s="257" t="s">
        <v>17438</v>
      </c>
      <c r="G7016" s="9"/>
      <c r="H7016" s="257" t="s">
        <v>25020</v>
      </c>
      <c r="I7016" s="9">
        <v>4</v>
      </c>
    </row>
    <row r="7017" spans="1:9">
      <c r="A7017" s="257" t="s">
        <v>8115</v>
      </c>
      <c r="B7017" s="9">
        <v>4</v>
      </c>
      <c r="C7017" s="257" t="s">
        <v>13721</v>
      </c>
      <c r="D7017" s="9">
        <v>5.4099944038939049E-3</v>
      </c>
      <c r="E7017" s="9"/>
      <c r="F7017" s="257" t="s">
        <v>17439</v>
      </c>
      <c r="G7017" s="9"/>
      <c r="H7017" s="257" t="s">
        <v>25021</v>
      </c>
      <c r="I7017" s="9">
        <v>4</v>
      </c>
    </row>
    <row r="7018" spans="1:9">
      <c r="A7018" s="257" t="s">
        <v>8116</v>
      </c>
      <c r="B7018" s="9">
        <v>4</v>
      </c>
      <c r="C7018" s="257" t="s">
        <v>13721</v>
      </c>
      <c r="D7018" s="9">
        <v>5.7059838028331008E-3</v>
      </c>
      <c r="E7018" s="9"/>
      <c r="F7018" s="257" t="s">
        <v>17440</v>
      </c>
      <c r="G7018" s="9"/>
      <c r="H7018" s="257" t="s">
        <v>25022</v>
      </c>
      <c r="I7018" s="9">
        <v>4</v>
      </c>
    </row>
    <row r="7019" spans="1:9">
      <c r="A7019" s="257" t="s">
        <v>8117</v>
      </c>
      <c r="B7019" s="9">
        <v>4</v>
      </c>
      <c r="C7019" s="257" t="s">
        <v>13721</v>
      </c>
      <c r="D7019" s="9">
        <v>3.2942724857201646E-3</v>
      </c>
      <c r="E7019" s="9"/>
      <c r="F7019" s="257" t="s">
        <v>17441</v>
      </c>
      <c r="G7019" s="9"/>
      <c r="H7019" s="257" t="s">
        <v>25023</v>
      </c>
      <c r="I7019" s="9">
        <v>4</v>
      </c>
    </row>
    <row r="7020" spans="1:9">
      <c r="A7020" s="257" t="s">
        <v>8118</v>
      </c>
      <c r="B7020" s="9">
        <v>4</v>
      </c>
      <c r="C7020" s="257" t="s">
        <v>13721</v>
      </c>
      <c r="D7020" s="9">
        <v>5.2392084821966797E-3</v>
      </c>
      <c r="E7020" s="9"/>
      <c r="F7020" s="257" t="s">
        <v>17442</v>
      </c>
      <c r="G7020" s="9"/>
      <c r="H7020" s="257" t="s">
        <v>25024</v>
      </c>
      <c r="I7020" s="9">
        <v>4</v>
      </c>
    </row>
    <row r="7021" spans="1:9">
      <c r="A7021" s="257" t="s">
        <v>8119</v>
      </c>
      <c r="B7021" s="9">
        <v>4</v>
      </c>
      <c r="C7021" s="257" t="s">
        <v>13721</v>
      </c>
      <c r="D7021" s="9">
        <v>5.5351978811358756E-3</v>
      </c>
      <c r="E7021" s="9"/>
      <c r="F7021" s="257" t="s">
        <v>17443</v>
      </c>
      <c r="G7021" s="9"/>
      <c r="H7021" s="257" t="s">
        <v>25025</v>
      </c>
      <c r="I7021" s="9">
        <v>4</v>
      </c>
    </row>
    <row r="7022" spans="1:9">
      <c r="A7022" s="257" t="s">
        <v>8120</v>
      </c>
      <c r="B7022" s="9">
        <v>4</v>
      </c>
      <c r="C7022" s="257" t="s">
        <v>13721</v>
      </c>
      <c r="D7022" s="9">
        <v>1.4239464770749945E-2</v>
      </c>
      <c r="E7022" s="9"/>
      <c r="F7022" s="257" t="s">
        <v>17444</v>
      </c>
      <c r="G7022" s="9"/>
      <c r="H7022" s="257" t="s">
        <v>25026</v>
      </c>
      <c r="I7022" s="9">
        <v>4</v>
      </c>
    </row>
    <row r="7023" spans="1:9">
      <c r="A7023" s="257" t="s">
        <v>8121</v>
      </c>
      <c r="B7023" s="9">
        <v>4</v>
      </c>
      <c r="C7023" s="257" t="s">
        <v>13721</v>
      </c>
      <c r="D7023" s="9">
        <v>8.7042668896140686E-3</v>
      </c>
      <c r="E7023" s="9"/>
      <c r="F7023" s="257" t="s">
        <v>17445</v>
      </c>
      <c r="G7023" s="9"/>
      <c r="H7023" s="257" t="s">
        <v>25027</v>
      </c>
      <c r="I7023" s="9">
        <v>4</v>
      </c>
    </row>
    <row r="7024" spans="1:9">
      <c r="A7024" s="257" t="s">
        <v>8122</v>
      </c>
      <c r="B7024" s="9">
        <v>4</v>
      </c>
      <c r="C7024" s="257" t="s">
        <v>13721</v>
      </c>
      <c r="D7024" s="9">
        <v>9.0002562885532645E-3</v>
      </c>
      <c r="E7024" s="9"/>
      <c r="F7024" s="257" t="s">
        <v>17446</v>
      </c>
      <c r="G7024" s="9"/>
      <c r="H7024" s="257" t="s">
        <v>25028</v>
      </c>
      <c r="I7024" s="9">
        <v>4</v>
      </c>
    </row>
    <row r="7025" spans="1:9">
      <c r="A7025" s="257" t="s">
        <v>8123</v>
      </c>
      <c r="B7025" s="9">
        <v>4</v>
      </c>
      <c r="C7025" s="257" t="s">
        <v>13721</v>
      </c>
      <c r="D7025" s="9">
        <v>1.0696211122465653E-2</v>
      </c>
      <c r="E7025" s="9"/>
      <c r="F7025" s="257" t="s">
        <v>17447</v>
      </c>
      <c r="G7025" s="9"/>
      <c r="H7025" s="257" t="s">
        <v>25029</v>
      </c>
      <c r="I7025" s="9">
        <v>4</v>
      </c>
    </row>
    <row r="7026" spans="1:9">
      <c r="A7026" s="257" t="s">
        <v>8124</v>
      </c>
      <c r="B7026" s="9">
        <v>4</v>
      </c>
      <c r="C7026" s="257" t="s">
        <v>13721</v>
      </c>
      <c r="D7026" s="9">
        <v>1.0992200521404849E-2</v>
      </c>
      <c r="E7026" s="9"/>
      <c r="F7026" s="257" t="s">
        <v>17448</v>
      </c>
      <c r="G7026" s="9"/>
      <c r="H7026" s="257" t="s">
        <v>25030</v>
      </c>
      <c r="I7026" s="9">
        <v>4</v>
      </c>
    </row>
    <row r="7027" spans="1:9">
      <c r="A7027" s="257" t="s">
        <v>8125</v>
      </c>
      <c r="B7027" s="9">
        <v>4</v>
      </c>
      <c r="C7027" s="257" t="s">
        <v>13721</v>
      </c>
      <c r="D7027" s="9">
        <v>-1.9919442328515838E-3</v>
      </c>
      <c r="E7027" s="9"/>
      <c r="F7027" s="257" t="s">
        <v>17449</v>
      </c>
      <c r="G7027" s="9"/>
      <c r="H7027" s="257" t="s">
        <v>25031</v>
      </c>
      <c r="I7027" s="9">
        <v>4</v>
      </c>
    </row>
    <row r="7028" spans="1:9">
      <c r="A7028" s="257" t="s">
        <v>8126</v>
      </c>
      <c r="B7028" s="9">
        <v>4</v>
      </c>
      <c r="C7028" s="257" t="s">
        <v>13721</v>
      </c>
      <c r="D7028" s="9">
        <v>0</v>
      </c>
      <c r="E7028" s="9"/>
      <c r="F7028" s="257" t="s">
        <v>17450</v>
      </c>
      <c r="G7028" s="9"/>
      <c r="H7028" s="257" t="s">
        <v>25032</v>
      </c>
      <c r="I7028" s="9">
        <v>4</v>
      </c>
    </row>
    <row r="7029" spans="1:9">
      <c r="A7029" s="257" t="s">
        <v>8127</v>
      </c>
      <c r="B7029" s="9">
        <v>4</v>
      </c>
      <c r="C7029" s="257" t="s">
        <v>13721</v>
      </c>
      <c r="D7029" s="9">
        <v>5.1271032050568925E-3</v>
      </c>
      <c r="E7029" s="9"/>
      <c r="F7029" s="257" t="s">
        <v>17451</v>
      </c>
      <c r="G7029" s="9"/>
      <c r="H7029" s="257" t="s">
        <v>25033</v>
      </c>
      <c r="I7029" s="9">
        <v>4</v>
      </c>
    </row>
    <row r="7030" spans="1:9">
      <c r="A7030" s="257" t="s">
        <v>8128</v>
      </c>
      <c r="B7030" s="9">
        <v>4</v>
      </c>
      <c r="C7030" s="257" t="s">
        <v>13721</v>
      </c>
      <c r="D7030" s="9">
        <v>2.1736158369977032E-3</v>
      </c>
      <c r="E7030" s="9"/>
      <c r="F7030" s="257" t="s">
        <v>17452</v>
      </c>
      <c r="G7030" s="9"/>
      <c r="H7030" s="257" t="s">
        <v>25034</v>
      </c>
      <c r="I7030" s="9">
        <v>4</v>
      </c>
    </row>
    <row r="7031" spans="1:9">
      <c r="A7031" s="257" t="s">
        <v>8129</v>
      </c>
      <c r="B7031" s="9">
        <v>4</v>
      </c>
      <c r="C7031" s="257" t="s">
        <v>13721</v>
      </c>
      <c r="D7031" s="9">
        <v>2.9534873680591902E-3</v>
      </c>
      <c r="E7031" s="9"/>
      <c r="F7031" s="257" t="s">
        <v>17453</v>
      </c>
      <c r="G7031" s="9"/>
      <c r="H7031" s="257" t="s">
        <v>25035</v>
      </c>
      <c r="I7031" s="9">
        <v>4</v>
      </c>
    </row>
    <row r="7032" spans="1:9">
      <c r="A7032" s="257" t="s">
        <v>8130</v>
      </c>
      <c r="B7032" s="9">
        <v>4</v>
      </c>
      <c r="C7032" s="257" t="s">
        <v>13721</v>
      </c>
      <c r="D7032" s="9">
        <v>2.9598939893919627E-4</v>
      </c>
      <c r="E7032" s="9"/>
      <c r="F7032" s="257" t="s">
        <v>17454</v>
      </c>
      <c r="G7032" s="9"/>
      <c r="H7032" s="257" t="s">
        <v>25036</v>
      </c>
      <c r="I7032" s="9">
        <v>4</v>
      </c>
    </row>
    <row r="7033" spans="1:9">
      <c r="A7033" s="257" t="s">
        <v>8131</v>
      </c>
      <c r="B7033" s="9">
        <v>4</v>
      </c>
      <c r="C7033" s="257" t="s">
        <v>13721</v>
      </c>
      <c r="D7033" s="9">
        <v>1.1210527713978618E-4</v>
      </c>
      <c r="E7033" s="9"/>
      <c r="F7033" s="257" t="s">
        <v>17455</v>
      </c>
      <c r="G7033" s="9"/>
      <c r="H7033" s="257" t="s">
        <v>25037</v>
      </c>
      <c r="I7033" s="9">
        <v>4</v>
      </c>
    </row>
    <row r="7034" spans="1:9">
      <c r="A7034" s="257" t="s">
        <v>8132</v>
      </c>
      <c r="B7034" s="9">
        <v>4</v>
      </c>
      <c r="C7034" s="257" t="s">
        <v>13721</v>
      </c>
      <c r="D7034" s="9">
        <v>6.7684156643176164E-3</v>
      </c>
      <c r="E7034" s="9"/>
      <c r="F7034" s="257" t="s">
        <v>17456</v>
      </c>
      <c r="G7034" s="9"/>
      <c r="H7034" s="257" t="s">
        <v>25038</v>
      </c>
      <c r="I7034" s="9">
        <v>4</v>
      </c>
    </row>
    <row r="7035" spans="1:9">
      <c r="A7035" s="257" t="s">
        <v>8133</v>
      </c>
      <c r="B7035" s="9">
        <v>4</v>
      </c>
      <c r="C7035" s="257" t="s">
        <v>13721</v>
      </c>
      <c r="D7035" s="9">
        <v>-9.1553955325509955E-4</v>
      </c>
      <c r="E7035" s="9"/>
      <c r="F7035" s="257" t="s">
        <v>17457</v>
      </c>
      <c r="G7035" s="9"/>
      <c r="H7035" s="257" t="s">
        <v>25039</v>
      </c>
      <c r="I7035" s="9">
        <v>4</v>
      </c>
    </row>
    <row r="7036" spans="1:9">
      <c r="A7036" s="257" t="s">
        <v>8134</v>
      </c>
      <c r="B7036" s="9">
        <v>4</v>
      </c>
      <c r="C7036" s="257" t="s">
        <v>13721</v>
      </c>
      <c r="D7036" s="9">
        <v>5.8528761110625167E-3</v>
      </c>
      <c r="E7036" s="9"/>
      <c r="F7036" s="257" t="s">
        <v>17458</v>
      </c>
      <c r="G7036" s="9"/>
      <c r="H7036" s="257" t="s">
        <v>25040</v>
      </c>
      <c r="I7036" s="9">
        <v>4</v>
      </c>
    </row>
    <row r="7037" spans="1:9">
      <c r="A7037" s="257" t="s">
        <v>8135</v>
      </c>
      <c r="B7037" s="9">
        <v>4</v>
      </c>
      <c r="C7037" s="257" t="s">
        <v>13721</v>
      </c>
      <c r="D7037" s="9">
        <v>2.9160058561436661E-3</v>
      </c>
      <c r="E7037" s="9"/>
      <c r="F7037" s="257" t="s">
        <v>17459</v>
      </c>
      <c r="G7037" s="9"/>
      <c r="H7037" s="257" t="s">
        <v>25041</v>
      </c>
      <c r="I7037" s="9">
        <v>4</v>
      </c>
    </row>
    <row r="7038" spans="1:9">
      <c r="A7038" s="257" t="s">
        <v>8136</v>
      </c>
      <c r="B7038" s="9">
        <v>4</v>
      </c>
      <c r="C7038" s="257" t="s">
        <v>13721</v>
      </c>
      <c r="D7038" s="9">
        <v>2.2233185541986667E-3</v>
      </c>
      <c r="E7038" s="9"/>
      <c r="F7038" s="257" t="s">
        <v>17460</v>
      </c>
      <c r="G7038" s="9"/>
      <c r="H7038" s="257" t="s">
        <v>25042</v>
      </c>
      <c r="I7038" s="9">
        <v>4</v>
      </c>
    </row>
    <row r="7039" spans="1:9">
      <c r="A7039" s="257" t="s">
        <v>8137</v>
      </c>
      <c r="B7039" s="9">
        <v>4</v>
      </c>
      <c r="C7039" s="257" t="s">
        <v>13721</v>
      </c>
      <c r="D7039" s="9">
        <v>5.1393244103423328E-3</v>
      </c>
      <c r="E7039" s="9"/>
      <c r="F7039" s="257" t="s">
        <v>17461</v>
      </c>
      <c r="G7039" s="9"/>
      <c r="H7039" s="257" t="s">
        <v>25043</v>
      </c>
      <c r="I7039" s="9">
        <v>4</v>
      </c>
    </row>
    <row r="7040" spans="1:9">
      <c r="A7040" s="257" t="s">
        <v>8138</v>
      </c>
      <c r="B7040" s="9">
        <v>4</v>
      </c>
      <c r="C7040" s="257" t="s">
        <v>13721</v>
      </c>
      <c r="D7040" s="9">
        <v>-1.4689230822941571E-4</v>
      </c>
      <c r="E7040" s="9"/>
      <c r="F7040" s="257" t="s">
        <v>17462</v>
      </c>
      <c r="G7040" s="9"/>
      <c r="H7040" s="257" t="s">
        <v>25044</v>
      </c>
      <c r="I7040" s="9">
        <v>4</v>
      </c>
    </row>
    <row r="7041" spans="1:9">
      <c r="A7041" s="257" t="s">
        <v>8139</v>
      </c>
      <c r="B7041" s="9">
        <v>4</v>
      </c>
      <c r="C7041" s="257" t="s">
        <v>13721</v>
      </c>
      <c r="D7041" s="9">
        <v>-1.845051924622168E-3</v>
      </c>
      <c r="E7041" s="9"/>
      <c r="F7041" s="257" t="s">
        <v>17463</v>
      </c>
      <c r="G7041" s="9"/>
      <c r="H7041" s="257" t="s">
        <v>25045</v>
      </c>
      <c r="I7041" s="9">
        <v>4</v>
      </c>
    </row>
    <row r="7042" spans="1:9">
      <c r="A7042" s="257" t="s">
        <v>8140</v>
      </c>
      <c r="B7042" s="9">
        <v>5</v>
      </c>
      <c r="C7042" s="257" t="s">
        <v>13721</v>
      </c>
      <c r="D7042" s="9">
        <v>5.9083327215293238E-3</v>
      </c>
      <c r="E7042" s="9"/>
      <c r="F7042" s="257" t="s">
        <v>17464</v>
      </c>
      <c r="G7042" s="9"/>
      <c r="H7042" s="257" t="s">
        <v>25046</v>
      </c>
      <c r="I7042" s="9">
        <v>4</v>
      </c>
    </row>
    <row r="7043" spans="1:9">
      <c r="A7043" s="257" t="s">
        <v>8141</v>
      </c>
      <c r="B7043" s="9">
        <v>5</v>
      </c>
      <c r="C7043" s="257" t="s">
        <v>13721</v>
      </c>
      <c r="D7043" s="9">
        <v>6.2312586399705019E-3</v>
      </c>
      <c r="E7043" s="9"/>
      <c r="F7043" s="257" t="s">
        <v>17465</v>
      </c>
      <c r="G7043" s="9"/>
      <c r="H7043" s="257" t="s">
        <v>25047</v>
      </c>
      <c r="I7043" s="9">
        <v>4</v>
      </c>
    </row>
    <row r="7044" spans="1:9">
      <c r="A7044" s="257" t="s">
        <v>8142</v>
      </c>
      <c r="B7044" s="9">
        <v>5</v>
      </c>
      <c r="C7044" s="257" t="s">
        <v>13721</v>
      </c>
      <c r="D7044" s="9">
        <v>3.600501282664384E-3</v>
      </c>
      <c r="E7044" s="9"/>
      <c r="F7044" s="257" t="s">
        <v>17466</v>
      </c>
      <c r="G7044" s="9"/>
      <c r="H7044" s="257" t="s">
        <v>25048</v>
      </c>
      <c r="I7044" s="9">
        <v>4</v>
      </c>
    </row>
    <row r="7045" spans="1:9">
      <c r="A7045" s="257" t="s">
        <v>8143</v>
      </c>
      <c r="B7045" s="9">
        <v>5</v>
      </c>
      <c r="C7045" s="257" t="s">
        <v>13721</v>
      </c>
      <c r="D7045" s="9">
        <v>3.7428710394961551E-3</v>
      </c>
      <c r="E7045" s="9"/>
      <c r="F7045" s="257" t="s">
        <v>17467</v>
      </c>
      <c r="G7045" s="9"/>
      <c r="H7045" s="257" t="s">
        <v>25049</v>
      </c>
      <c r="I7045" s="9">
        <v>4</v>
      </c>
    </row>
    <row r="7046" spans="1:9">
      <c r="A7046" s="257" t="s">
        <v>8144</v>
      </c>
      <c r="B7046" s="9">
        <v>5</v>
      </c>
      <c r="C7046" s="257" t="s">
        <v>13721</v>
      </c>
      <c r="D7046" s="9">
        <v>4.0657969579373336E-3</v>
      </c>
      <c r="E7046" s="9"/>
      <c r="F7046" s="257" t="s">
        <v>17468</v>
      </c>
      <c r="G7046" s="9"/>
      <c r="H7046" s="257" t="s">
        <v>25050</v>
      </c>
      <c r="I7046" s="9">
        <v>4</v>
      </c>
    </row>
    <row r="7047" spans="1:9">
      <c r="A7047" s="257" t="s">
        <v>8145</v>
      </c>
      <c r="B7047" s="9">
        <v>5</v>
      </c>
      <c r="C7047" s="257" t="s">
        <v>13721</v>
      </c>
      <c r="D7047" s="9">
        <v>1.3574630962131042E-2</v>
      </c>
      <c r="E7047" s="9"/>
      <c r="F7047" s="257" t="s">
        <v>17469</v>
      </c>
      <c r="G7047" s="9"/>
      <c r="H7047" s="257" t="s">
        <v>25051</v>
      </c>
      <c r="I7047" s="9">
        <v>4</v>
      </c>
    </row>
    <row r="7048" spans="1:9">
      <c r="A7048" s="257" t="s">
        <v>8146</v>
      </c>
      <c r="B7048" s="9">
        <v>5</v>
      </c>
      <c r="C7048" s="257" t="s">
        <v>13721</v>
      </c>
      <c r="D7048" s="9">
        <v>9.5088340041937086E-3</v>
      </c>
      <c r="E7048" s="9"/>
      <c r="F7048" s="257" t="s">
        <v>17470</v>
      </c>
      <c r="G7048" s="9"/>
      <c r="H7048" s="257" t="s">
        <v>25052</v>
      </c>
      <c r="I7048" s="9">
        <v>4</v>
      </c>
    </row>
    <row r="7049" spans="1:9">
      <c r="A7049" s="257" t="s">
        <v>8147</v>
      </c>
      <c r="B7049" s="9">
        <v>5</v>
      </c>
      <c r="C7049" s="257" t="s">
        <v>13721</v>
      </c>
      <c r="D7049" s="9">
        <v>9.8317599226348858E-3</v>
      </c>
      <c r="E7049" s="9"/>
      <c r="F7049" s="257" t="s">
        <v>17471</v>
      </c>
      <c r="G7049" s="9"/>
      <c r="H7049" s="257" t="s">
        <v>25053</v>
      </c>
      <c r="I7049" s="9">
        <v>4</v>
      </c>
    </row>
    <row r="7050" spans="1:9">
      <c r="A7050" s="257" t="s">
        <v>8148</v>
      </c>
      <c r="B7050" s="9">
        <v>5</v>
      </c>
      <c r="C7050" s="257" t="s">
        <v>13721</v>
      </c>
      <c r="D7050" s="9">
        <v>1.189040922146818E-2</v>
      </c>
      <c r="E7050" s="9"/>
      <c r="F7050" s="257" t="s">
        <v>17472</v>
      </c>
      <c r="G7050" s="9"/>
      <c r="H7050" s="257" t="s">
        <v>25054</v>
      </c>
      <c r="I7050" s="9">
        <v>4</v>
      </c>
    </row>
    <row r="7051" spans="1:9">
      <c r="A7051" s="257" t="s">
        <v>8149</v>
      </c>
      <c r="B7051" s="9">
        <v>5</v>
      </c>
      <c r="C7051" s="257" t="s">
        <v>13721</v>
      </c>
      <c r="D7051" s="9">
        <v>1.2213335139909357E-2</v>
      </c>
      <c r="E7051" s="9"/>
      <c r="F7051" s="257" t="s">
        <v>17473</v>
      </c>
      <c r="G7051" s="9"/>
      <c r="H7051" s="257" t="s">
        <v>25055</v>
      </c>
      <c r="I7051" s="9">
        <v>4</v>
      </c>
    </row>
    <row r="7052" spans="1:9">
      <c r="A7052" s="257" t="s">
        <v>8150</v>
      </c>
      <c r="B7052" s="9">
        <v>5</v>
      </c>
      <c r="C7052" s="257" t="s">
        <v>13721</v>
      </c>
      <c r="D7052" s="9">
        <v>-2.3815752172744722E-3</v>
      </c>
      <c r="E7052" s="9"/>
      <c r="F7052" s="257" t="s">
        <v>17474</v>
      </c>
      <c r="G7052" s="9"/>
      <c r="H7052" s="257" t="s">
        <v>25056</v>
      </c>
      <c r="I7052" s="9">
        <v>4</v>
      </c>
    </row>
    <row r="7053" spans="1:9">
      <c r="A7053" s="257" t="s">
        <v>8151</v>
      </c>
      <c r="B7053" s="9">
        <v>5</v>
      </c>
      <c r="C7053" s="257" t="s">
        <v>13721</v>
      </c>
      <c r="D7053" s="9">
        <v>0</v>
      </c>
      <c r="E7053" s="9"/>
      <c r="F7053" s="257" t="s">
        <v>17475</v>
      </c>
      <c r="G7053" s="9"/>
      <c r="H7053" s="257" t="s">
        <v>25057</v>
      </c>
      <c r="I7053" s="9">
        <v>4</v>
      </c>
    </row>
    <row r="7054" spans="1:9">
      <c r="A7054" s="257" t="s">
        <v>8152</v>
      </c>
      <c r="B7054" s="9">
        <v>5</v>
      </c>
      <c r="C7054" s="257" t="s">
        <v>13721</v>
      </c>
      <c r="D7054" s="9">
        <v>3.6451077209202665E-3</v>
      </c>
      <c r="E7054" s="9"/>
      <c r="F7054" s="257" t="s">
        <v>17476</v>
      </c>
      <c r="G7054" s="9"/>
      <c r="H7054" s="257" t="s">
        <v>25058</v>
      </c>
      <c r="I7054" s="9">
        <v>4</v>
      </c>
    </row>
    <row r="7055" spans="1:9">
      <c r="A7055" s="257" t="s">
        <v>8153</v>
      </c>
      <c r="B7055" s="9">
        <v>5</v>
      </c>
      <c r="C7055" s="257" t="s">
        <v>13721</v>
      </c>
      <c r="D7055" s="9">
        <v>1.6044418586197186E-3</v>
      </c>
      <c r="E7055" s="9"/>
      <c r="F7055" s="257" t="s">
        <v>17477</v>
      </c>
      <c r="G7055" s="9"/>
      <c r="H7055" s="257" t="s">
        <v>25059</v>
      </c>
      <c r="I7055" s="9">
        <v>4</v>
      </c>
    </row>
    <row r="7056" spans="1:9">
      <c r="A7056" s="257" t="s">
        <v>8154</v>
      </c>
      <c r="B7056" s="9">
        <v>5</v>
      </c>
      <c r="C7056" s="257" t="s">
        <v>13721</v>
      </c>
      <c r="D7056" s="9">
        <v>2.0406658623005483E-3</v>
      </c>
      <c r="E7056" s="9"/>
      <c r="F7056" s="257" t="s">
        <v>17478</v>
      </c>
      <c r="G7056" s="9"/>
      <c r="H7056" s="257" t="s">
        <v>25060</v>
      </c>
      <c r="I7056" s="9">
        <v>4</v>
      </c>
    </row>
    <row r="7057" spans="1:9">
      <c r="A7057" s="257" t="s">
        <v>8155</v>
      </c>
      <c r="B7057" s="9">
        <v>5</v>
      </c>
      <c r="C7057" s="257" t="s">
        <v>13721</v>
      </c>
      <c r="D7057" s="9">
        <v>3.2292591844117853E-4</v>
      </c>
      <c r="E7057" s="9"/>
      <c r="F7057" s="257" t="s">
        <v>17479</v>
      </c>
      <c r="G7057" s="9"/>
      <c r="H7057" s="257" t="s">
        <v>25061</v>
      </c>
      <c r="I7057" s="9">
        <v>4</v>
      </c>
    </row>
    <row r="7058" spans="1:9">
      <c r="A7058" s="257" t="s">
        <v>8156</v>
      </c>
      <c r="B7058" s="9">
        <v>5</v>
      </c>
      <c r="C7058" s="257" t="s">
        <v>13721</v>
      </c>
      <c r="D7058" s="9">
        <v>9.776331857588825E-5</v>
      </c>
      <c r="E7058" s="9"/>
      <c r="F7058" s="257" t="s">
        <v>17480</v>
      </c>
      <c r="G7058" s="9"/>
      <c r="H7058" s="257" t="s">
        <v>25062</v>
      </c>
      <c r="I7058" s="9">
        <v>4</v>
      </c>
    </row>
    <row r="7059" spans="1:9">
      <c r="A7059" s="257" t="s">
        <v>8157</v>
      </c>
      <c r="B7059" s="9">
        <v>5</v>
      </c>
      <c r="C7059" s="257" t="s">
        <v>13721</v>
      </c>
      <c r="D7059" s="9">
        <v>7.2909520908476114E-3</v>
      </c>
      <c r="E7059" s="9"/>
      <c r="F7059" s="257" t="s">
        <v>17481</v>
      </c>
      <c r="G7059" s="9"/>
      <c r="H7059" s="257" t="s">
        <v>25063</v>
      </c>
      <c r="I7059" s="9">
        <v>4</v>
      </c>
    </row>
    <row r="7060" spans="1:9">
      <c r="A7060" s="257" t="s">
        <v>8158</v>
      </c>
      <c r="B7060" s="9">
        <v>5</v>
      </c>
      <c r="C7060" s="257" t="s">
        <v>13721</v>
      </c>
      <c r="D7060" s="9">
        <v>-9.5472539431190248E-4</v>
      </c>
      <c r="E7060" s="9"/>
      <c r="F7060" s="257" t="s">
        <v>17482</v>
      </c>
      <c r="G7060" s="9"/>
      <c r="H7060" s="257" t="s">
        <v>25064</v>
      </c>
      <c r="I7060" s="9">
        <v>4</v>
      </c>
    </row>
    <row r="7061" spans="1:9">
      <c r="A7061" s="257" t="s">
        <v>8159</v>
      </c>
      <c r="B7061" s="9">
        <v>5</v>
      </c>
      <c r="C7061" s="257" t="s">
        <v>13721</v>
      </c>
      <c r="D7061" s="9">
        <v>6.3362266965357088E-3</v>
      </c>
      <c r="E7061" s="9"/>
      <c r="F7061" s="257" t="s">
        <v>17483</v>
      </c>
      <c r="G7061" s="9"/>
      <c r="H7061" s="257" t="s">
        <v>25065</v>
      </c>
      <c r="I7061" s="9">
        <v>4</v>
      </c>
    </row>
    <row r="7062" spans="1:9">
      <c r="A7062" s="257" t="s">
        <v>8160</v>
      </c>
      <c r="B7062" s="9">
        <v>5</v>
      </c>
      <c r="C7062" s="257" t="s">
        <v>13721</v>
      </c>
      <c r="D7062" s="9">
        <v>3.6227345035110014E-3</v>
      </c>
      <c r="E7062" s="9"/>
      <c r="F7062" s="257" t="s">
        <v>17484</v>
      </c>
      <c r="G7062" s="9"/>
      <c r="H7062" s="257" t="s">
        <v>25066</v>
      </c>
      <c r="I7062" s="9">
        <v>4</v>
      </c>
    </row>
    <row r="7063" spans="1:9">
      <c r="A7063" s="257" t="s">
        <v>8161</v>
      </c>
      <c r="B7063" s="9">
        <v>5</v>
      </c>
      <c r="C7063" s="257" t="s">
        <v>13721</v>
      </c>
      <c r="D7063" s="9">
        <v>2.2543739398626483E-3</v>
      </c>
      <c r="E7063" s="9"/>
      <c r="F7063" s="257" t="s">
        <v>17485</v>
      </c>
      <c r="G7063" s="9"/>
      <c r="H7063" s="257" t="s">
        <v>25067</v>
      </c>
      <c r="I7063" s="9">
        <v>4</v>
      </c>
    </row>
    <row r="7064" spans="1:9">
      <c r="A7064" s="257" t="s">
        <v>8162</v>
      </c>
      <c r="B7064" s="9">
        <v>5</v>
      </c>
      <c r="C7064" s="257" t="s">
        <v>13721</v>
      </c>
      <c r="D7064" s="9">
        <v>5.8771084433736501E-3</v>
      </c>
      <c r="E7064" s="9"/>
      <c r="F7064" s="257" t="s">
        <v>17486</v>
      </c>
      <c r="G7064" s="9"/>
      <c r="H7064" s="257" t="s">
        <v>25068</v>
      </c>
      <c r="I7064" s="9">
        <v>4</v>
      </c>
    </row>
    <row r="7065" spans="1:9">
      <c r="A7065" s="257" t="s">
        <v>8163</v>
      </c>
      <c r="B7065" s="9">
        <v>5</v>
      </c>
      <c r="C7065" s="257" t="s">
        <v>13721</v>
      </c>
      <c r="D7065" s="9">
        <v>-1.0496805656520665E-4</v>
      </c>
      <c r="E7065" s="9"/>
      <c r="F7065" s="257" t="s">
        <v>17487</v>
      </c>
      <c r="G7065" s="9"/>
      <c r="H7065" s="257" t="s">
        <v>25069</v>
      </c>
      <c r="I7065" s="9">
        <v>4</v>
      </c>
    </row>
    <row r="7066" spans="1:9">
      <c r="A7066" s="257" t="s">
        <v>8164</v>
      </c>
      <c r="B7066" s="9">
        <v>5</v>
      </c>
      <c r="C7066" s="257" t="s">
        <v>13721</v>
      </c>
      <c r="D7066" s="9">
        <v>-2.2766071607092657E-3</v>
      </c>
      <c r="E7066" s="9"/>
      <c r="F7066" s="257" t="s">
        <v>17488</v>
      </c>
      <c r="G7066" s="9"/>
      <c r="H7066" s="257" t="s">
        <v>25070</v>
      </c>
      <c r="I7066" s="9">
        <v>4</v>
      </c>
    </row>
    <row r="7067" spans="1:9">
      <c r="A7067" s="257" t="s">
        <v>8165</v>
      </c>
      <c r="B7067" s="9">
        <v>6</v>
      </c>
      <c r="C7067" s="257" t="s">
        <v>13721</v>
      </c>
      <c r="D7067" s="9">
        <v>7.1212789234573583E-3</v>
      </c>
      <c r="E7067" s="9"/>
      <c r="F7067" s="257" t="s">
        <v>17489</v>
      </c>
      <c r="G7067" s="9"/>
      <c r="H7067" s="257" t="s">
        <v>25071</v>
      </c>
      <c r="I7067" s="9">
        <v>4</v>
      </c>
    </row>
    <row r="7068" spans="1:9">
      <c r="A7068" s="257" t="s">
        <v>8166</v>
      </c>
      <c r="B7068" s="9">
        <v>6</v>
      </c>
      <c r="C7068" s="257" t="s">
        <v>13721</v>
      </c>
      <c r="D7068" s="9">
        <v>7.4998849919521091E-3</v>
      </c>
      <c r="E7068" s="9"/>
      <c r="F7068" s="257" t="s">
        <v>17490</v>
      </c>
      <c r="G7068" s="9"/>
      <c r="H7068" s="257" t="s">
        <v>25072</v>
      </c>
      <c r="I7068" s="9">
        <v>4</v>
      </c>
    </row>
    <row r="7069" spans="1:9">
      <c r="A7069" s="257" t="s">
        <v>8167</v>
      </c>
      <c r="B7069" s="9">
        <v>6</v>
      </c>
      <c r="C7069" s="257" t="s">
        <v>13721</v>
      </c>
      <c r="D7069" s="9">
        <v>3.8816475085760179E-3</v>
      </c>
      <c r="E7069" s="9"/>
      <c r="F7069" s="257" t="s">
        <v>17491</v>
      </c>
      <c r="G7069" s="9"/>
      <c r="H7069" s="257" t="s">
        <v>25073</v>
      </c>
      <c r="I7069" s="9">
        <v>4</v>
      </c>
    </row>
    <row r="7070" spans="1:9">
      <c r="A7070" s="257" t="s">
        <v>8168</v>
      </c>
      <c r="B7070" s="9">
        <v>6</v>
      </c>
      <c r="C7070" s="257" t="s">
        <v>13721</v>
      </c>
      <c r="D7070" s="9">
        <v>2.5781323535297089E-3</v>
      </c>
      <c r="E7070" s="9"/>
      <c r="F7070" s="257" t="s">
        <v>17492</v>
      </c>
      <c r="G7070" s="9"/>
      <c r="H7070" s="257" t="s">
        <v>25074</v>
      </c>
      <c r="I7070" s="9">
        <v>4</v>
      </c>
    </row>
    <row r="7071" spans="1:9">
      <c r="A7071" s="257" t="s">
        <v>8169</v>
      </c>
      <c r="B7071" s="9">
        <v>6</v>
      </c>
      <c r="C7071" s="257" t="s">
        <v>13721</v>
      </c>
      <c r="D7071" s="9">
        <v>2.9567384220244592E-3</v>
      </c>
      <c r="E7071" s="9"/>
      <c r="F7071" s="257" t="s">
        <v>17493</v>
      </c>
      <c r="G7071" s="9"/>
      <c r="H7071" s="257" t="s">
        <v>25075</v>
      </c>
      <c r="I7071" s="9">
        <v>4</v>
      </c>
    </row>
    <row r="7072" spans="1:9">
      <c r="A7072" s="257" t="s">
        <v>8170</v>
      </c>
      <c r="B7072" s="9">
        <v>6</v>
      </c>
      <c r="C7072" s="257" t="s">
        <v>13721</v>
      </c>
      <c r="D7072" s="9">
        <v>1.3959664854057837E-2</v>
      </c>
      <c r="E7072" s="9"/>
      <c r="F7072" s="257" t="s">
        <v>17494</v>
      </c>
      <c r="G7072" s="9"/>
      <c r="H7072" s="257" t="s">
        <v>25076</v>
      </c>
      <c r="I7072" s="9">
        <v>4</v>
      </c>
    </row>
    <row r="7073" spans="1:9">
      <c r="A7073" s="257" t="s">
        <v>8171</v>
      </c>
      <c r="B7073" s="9">
        <v>6</v>
      </c>
      <c r="C7073" s="257" t="s">
        <v>13721</v>
      </c>
      <c r="D7073" s="9">
        <v>1.1002926432033376E-2</v>
      </c>
      <c r="E7073" s="9"/>
      <c r="F7073" s="257" t="s">
        <v>17495</v>
      </c>
      <c r="G7073" s="9"/>
      <c r="H7073" s="257" t="s">
        <v>25077</v>
      </c>
      <c r="I7073" s="9">
        <v>4</v>
      </c>
    </row>
    <row r="7074" spans="1:9">
      <c r="A7074" s="257" t="s">
        <v>8172</v>
      </c>
      <c r="B7074" s="9">
        <v>6</v>
      </c>
      <c r="C7074" s="257" t="s">
        <v>13721</v>
      </c>
      <c r="D7074" s="9">
        <v>1.1381532500528126E-2</v>
      </c>
      <c r="E7074" s="9"/>
      <c r="F7074" s="257" t="s">
        <v>17496</v>
      </c>
      <c r="G7074" s="9"/>
      <c r="H7074" s="257" t="s">
        <v>25078</v>
      </c>
      <c r="I7074" s="9">
        <v>4</v>
      </c>
    </row>
    <row r="7075" spans="1:9">
      <c r="A7075" s="257" t="s">
        <v>8173</v>
      </c>
      <c r="B7075" s="9">
        <v>6</v>
      </c>
      <c r="C7075" s="257" t="s">
        <v>13721</v>
      </c>
      <c r="D7075" s="9">
        <v>1.3994632202893627E-2</v>
      </c>
      <c r="E7075" s="9"/>
      <c r="F7075" s="257" t="s">
        <v>17497</v>
      </c>
      <c r="G7075" s="9"/>
      <c r="H7075" s="257" t="s">
        <v>25079</v>
      </c>
      <c r="I7075" s="9">
        <v>4</v>
      </c>
    </row>
    <row r="7076" spans="1:9">
      <c r="A7076" s="257" t="s">
        <v>8174</v>
      </c>
      <c r="B7076" s="9">
        <v>6</v>
      </c>
      <c r="C7076" s="257" t="s">
        <v>13721</v>
      </c>
      <c r="D7076" s="9">
        <v>1.4373238271388377E-2</v>
      </c>
      <c r="E7076" s="9"/>
      <c r="F7076" s="257" t="s">
        <v>17498</v>
      </c>
      <c r="G7076" s="9"/>
      <c r="H7076" s="257" t="s">
        <v>25080</v>
      </c>
      <c r="I7076" s="9">
        <v>4</v>
      </c>
    </row>
    <row r="7077" spans="1:9">
      <c r="A7077" s="257" t="s">
        <v>8175</v>
      </c>
      <c r="B7077" s="9">
        <v>6</v>
      </c>
      <c r="C7077" s="257" t="s">
        <v>13721</v>
      </c>
      <c r="D7077" s="9">
        <v>-2.991705770860251E-3</v>
      </c>
      <c r="E7077" s="9"/>
      <c r="F7077" s="257" t="s">
        <v>17499</v>
      </c>
      <c r="G7077" s="9"/>
      <c r="H7077" s="257" t="s">
        <v>25081</v>
      </c>
      <c r="I7077" s="9">
        <v>4</v>
      </c>
    </row>
    <row r="7078" spans="1:9">
      <c r="A7078" s="257" t="s">
        <v>8176</v>
      </c>
      <c r="B7078" s="9">
        <v>6</v>
      </c>
      <c r="C7078" s="257" t="s">
        <v>13721</v>
      </c>
      <c r="D7078" s="9">
        <v>0</v>
      </c>
      <c r="E7078" s="9"/>
      <c r="F7078" s="257" t="s">
        <v>17500</v>
      </c>
      <c r="G7078" s="9"/>
      <c r="H7078" s="257" t="s">
        <v>25082</v>
      </c>
      <c r="I7078" s="9">
        <v>4</v>
      </c>
    </row>
    <row r="7079" spans="1:9">
      <c r="A7079" s="257" t="s">
        <v>8177</v>
      </c>
      <c r="B7079" s="9">
        <v>6</v>
      </c>
      <c r="C7079" s="257" t="s">
        <v>13721</v>
      </c>
      <c r="D7079" s="9">
        <v>2.4201202488651746E-3</v>
      </c>
      <c r="E7079" s="9"/>
      <c r="F7079" s="257" t="s">
        <v>17501</v>
      </c>
      <c r="G7079" s="9"/>
      <c r="H7079" s="257" t="s">
        <v>25083</v>
      </c>
      <c r="I7079" s="9">
        <v>4</v>
      </c>
    </row>
    <row r="7080" spans="1:9">
      <c r="A7080" s="257" t="s">
        <v>8178</v>
      </c>
      <c r="B7080" s="9">
        <v>6</v>
      </c>
      <c r="C7080" s="257" t="s">
        <v>13721</v>
      </c>
      <c r="D7080" s="9">
        <v>1.0028528854955951E-3</v>
      </c>
      <c r="E7080" s="9"/>
      <c r="F7080" s="257" t="s">
        <v>17502</v>
      </c>
      <c r="G7080" s="9"/>
      <c r="H7080" s="257" t="s">
        <v>25084</v>
      </c>
      <c r="I7080" s="9">
        <v>4</v>
      </c>
    </row>
    <row r="7081" spans="1:9">
      <c r="A7081" s="257" t="s">
        <v>8179</v>
      </c>
      <c r="B7081" s="9">
        <v>6</v>
      </c>
      <c r="C7081" s="257" t="s">
        <v>13721</v>
      </c>
      <c r="D7081" s="9">
        <v>1.4172673633695795E-3</v>
      </c>
      <c r="E7081" s="9"/>
      <c r="F7081" s="257" t="s">
        <v>17503</v>
      </c>
      <c r="G7081" s="9"/>
      <c r="H7081" s="257" t="s">
        <v>25085</v>
      </c>
      <c r="I7081" s="9">
        <v>4</v>
      </c>
    </row>
    <row r="7082" spans="1:9">
      <c r="A7082" s="257" t="s">
        <v>8180</v>
      </c>
      <c r="B7082" s="9">
        <v>6</v>
      </c>
      <c r="C7082" s="257" t="s">
        <v>13721</v>
      </c>
      <c r="D7082" s="9">
        <v>3.7860606849475053E-4</v>
      </c>
      <c r="E7082" s="9"/>
      <c r="F7082" s="257" t="s">
        <v>17504</v>
      </c>
      <c r="G7082" s="9"/>
      <c r="H7082" s="257" t="s">
        <v>25086</v>
      </c>
      <c r="I7082" s="9">
        <v>4</v>
      </c>
    </row>
    <row r="7083" spans="1:9">
      <c r="A7083" s="257" t="s">
        <v>8181</v>
      </c>
      <c r="B7083" s="9">
        <v>6</v>
      </c>
      <c r="C7083" s="257" t="s">
        <v>13721</v>
      </c>
      <c r="D7083" s="9">
        <v>1.5801210466453457E-4</v>
      </c>
      <c r="E7083" s="9"/>
      <c r="F7083" s="257" t="s">
        <v>17505</v>
      </c>
      <c r="G7083" s="9"/>
      <c r="H7083" s="257" t="s">
        <v>25087</v>
      </c>
      <c r="I7083" s="9">
        <v>4</v>
      </c>
    </row>
    <row r="7084" spans="1:9">
      <c r="A7084" s="257" t="s">
        <v>8182</v>
      </c>
      <c r="B7084" s="9">
        <v>6</v>
      </c>
      <c r="C7084" s="257" t="s">
        <v>13721</v>
      </c>
      <c r="D7084" s="9">
        <v>8.8205698679408428E-3</v>
      </c>
      <c r="E7084" s="9"/>
      <c r="F7084" s="257" t="s">
        <v>17506</v>
      </c>
      <c r="G7084" s="9"/>
      <c r="H7084" s="257" t="s">
        <v>25088</v>
      </c>
      <c r="I7084" s="9">
        <v>4</v>
      </c>
    </row>
    <row r="7085" spans="1:9">
      <c r="A7085" s="257" t="s">
        <v>8183</v>
      </c>
      <c r="B7085" s="9">
        <v>6</v>
      </c>
      <c r="C7085" s="257" t="s">
        <v>13721</v>
      </c>
      <c r="D7085" s="9">
        <v>-9.5218722395925084E-4</v>
      </c>
      <c r="E7085" s="9"/>
      <c r="F7085" s="257" t="s">
        <v>17507</v>
      </c>
      <c r="G7085" s="9"/>
      <c r="H7085" s="257" t="s">
        <v>25089</v>
      </c>
      <c r="I7085" s="9">
        <v>4</v>
      </c>
    </row>
    <row r="7086" spans="1:9">
      <c r="A7086" s="257" t="s">
        <v>8184</v>
      </c>
      <c r="B7086" s="9">
        <v>6</v>
      </c>
      <c r="C7086" s="257" t="s">
        <v>13721</v>
      </c>
      <c r="D7086" s="9">
        <v>7.8683826439815922E-3</v>
      </c>
      <c r="E7086" s="9"/>
      <c r="F7086" s="257" t="s">
        <v>17508</v>
      </c>
      <c r="G7086" s="9"/>
      <c r="H7086" s="257" t="s">
        <v>25090</v>
      </c>
      <c r="I7086" s="9">
        <v>4</v>
      </c>
    </row>
    <row r="7087" spans="1:9">
      <c r="A7087" s="257" t="s">
        <v>8185</v>
      </c>
      <c r="B7087" s="9">
        <v>6</v>
      </c>
      <c r="C7087" s="257" t="s">
        <v>13721</v>
      </c>
      <c r="D7087" s="9">
        <v>4.2532348968863229E-3</v>
      </c>
      <c r="E7087" s="9"/>
      <c r="F7087" s="257" t="s">
        <v>17509</v>
      </c>
      <c r="G7087" s="9"/>
      <c r="H7087" s="257" t="s">
        <v>25091</v>
      </c>
      <c r="I7087" s="9">
        <v>4</v>
      </c>
    </row>
    <row r="7088" spans="1:9">
      <c r="A7088" s="257" t="s">
        <v>8186</v>
      </c>
      <c r="B7088" s="9">
        <v>6</v>
      </c>
      <c r="C7088" s="257" t="s">
        <v>13721</v>
      </c>
      <c r="D7088" s="9">
        <v>2.2516207305204629E-3</v>
      </c>
      <c r="E7088" s="9"/>
      <c r="F7088" s="257" t="s">
        <v>17510</v>
      </c>
      <c r="G7088" s="9"/>
      <c r="H7088" s="257" t="s">
        <v>25092</v>
      </c>
      <c r="I7088" s="9">
        <v>4</v>
      </c>
    </row>
    <row r="7089" spans="1:9">
      <c r="A7089" s="257" t="s">
        <v>8187</v>
      </c>
      <c r="B7089" s="9">
        <v>6</v>
      </c>
      <c r="C7089" s="257" t="s">
        <v>13721</v>
      </c>
      <c r="D7089" s="9">
        <v>6.5048556274067857E-3</v>
      </c>
      <c r="E7089" s="9"/>
      <c r="F7089" s="257" t="s">
        <v>17511</v>
      </c>
      <c r="G7089" s="9"/>
      <c r="H7089" s="257" t="s">
        <v>25093</v>
      </c>
      <c r="I7089" s="9">
        <v>4</v>
      </c>
    </row>
    <row r="7090" spans="1:9">
      <c r="A7090" s="257" t="s">
        <v>8188</v>
      </c>
      <c r="B7090" s="9">
        <v>6</v>
      </c>
      <c r="C7090" s="257" t="s">
        <v>13721</v>
      </c>
      <c r="D7090" s="9">
        <v>-3.6849765202948256E-4</v>
      </c>
      <c r="E7090" s="9"/>
      <c r="F7090" s="257" t="s">
        <v>17512</v>
      </c>
      <c r="G7090" s="9"/>
      <c r="H7090" s="257" t="s">
        <v>25094</v>
      </c>
      <c r="I7090" s="9">
        <v>4</v>
      </c>
    </row>
    <row r="7091" spans="1:9">
      <c r="A7091" s="257" t="s">
        <v>8189</v>
      </c>
      <c r="B7091" s="9">
        <v>6</v>
      </c>
      <c r="C7091" s="257" t="s">
        <v>13721</v>
      </c>
      <c r="D7091" s="9">
        <v>-2.6232081188307683E-3</v>
      </c>
      <c r="E7091" s="9"/>
      <c r="F7091" s="257" t="s">
        <v>17513</v>
      </c>
      <c r="G7091" s="9"/>
      <c r="H7091" s="257" t="s">
        <v>25095</v>
      </c>
      <c r="I7091" s="9">
        <v>4</v>
      </c>
    </row>
    <row r="7092" spans="1:9">
      <c r="A7092" s="257" t="s">
        <v>8190</v>
      </c>
      <c r="B7092" s="9">
        <v>7</v>
      </c>
      <c r="C7092" s="257" t="s">
        <v>13721</v>
      </c>
      <c r="D7092" s="9">
        <v>8.6564741625281307E-3</v>
      </c>
      <c r="E7092" s="9"/>
      <c r="F7092" s="257" t="s">
        <v>17514</v>
      </c>
      <c r="G7092" s="9"/>
      <c r="H7092" s="257" t="s">
        <v>25096</v>
      </c>
      <c r="I7092" s="9">
        <v>4</v>
      </c>
    </row>
    <row r="7093" spans="1:9">
      <c r="A7093" s="257" t="s">
        <v>8191</v>
      </c>
      <c r="B7093" s="9">
        <v>7</v>
      </c>
      <c r="C7093" s="257" t="s">
        <v>13721</v>
      </c>
      <c r="D7093" s="9">
        <v>9.1119255067869751E-3</v>
      </c>
      <c r="E7093" s="9"/>
      <c r="F7093" s="257" t="s">
        <v>17515</v>
      </c>
      <c r="G7093" s="9"/>
      <c r="H7093" s="257" t="s">
        <v>25097</v>
      </c>
      <c r="I7093" s="9">
        <v>4</v>
      </c>
    </row>
    <row r="7094" spans="1:9">
      <c r="A7094" s="257" t="s">
        <v>8192</v>
      </c>
      <c r="B7094" s="9">
        <v>7</v>
      </c>
      <c r="C7094" s="257" t="s">
        <v>13721</v>
      </c>
      <c r="D7094" s="9">
        <v>4.1496544814371671E-3</v>
      </c>
      <c r="E7094" s="9"/>
      <c r="F7094" s="257" t="s">
        <v>17516</v>
      </c>
      <c r="G7094" s="9"/>
      <c r="H7094" s="257" t="s">
        <v>25098</v>
      </c>
      <c r="I7094" s="9">
        <v>4</v>
      </c>
    </row>
    <row r="7095" spans="1:9">
      <c r="A7095" s="257" t="s">
        <v>8193</v>
      </c>
      <c r="B7095" s="9">
        <v>7</v>
      </c>
      <c r="C7095" s="257" t="s">
        <v>13721</v>
      </c>
      <c r="D7095" s="9">
        <v>2.4989352874334497E-3</v>
      </c>
      <c r="E7095" s="9"/>
      <c r="F7095" s="257" t="s">
        <v>17517</v>
      </c>
      <c r="G7095" s="9"/>
      <c r="H7095" s="257" t="s">
        <v>25099</v>
      </c>
      <c r="I7095" s="9">
        <v>4</v>
      </c>
    </row>
    <row r="7096" spans="1:9">
      <c r="A7096" s="257" t="s">
        <v>8194</v>
      </c>
      <c r="B7096" s="9">
        <v>7</v>
      </c>
      <c r="C7096" s="257" t="s">
        <v>13721</v>
      </c>
      <c r="D7096" s="9">
        <v>2.9543866316922955E-3</v>
      </c>
      <c r="E7096" s="9"/>
      <c r="F7096" s="257" t="s">
        <v>17518</v>
      </c>
      <c r="G7096" s="9"/>
      <c r="H7096" s="257" t="s">
        <v>25100</v>
      </c>
      <c r="I7096" s="9">
        <v>4</v>
      </c>
    </row>
    <row r="7097" spans="1:9">
      <c r="A7097" s="257" t="s">
        <v>8195</v>
      </c>
      <c r="B7097" s="9">
        <v>7</v>
      </c>
      <c r="C7097" s="257" t="s">
        <v>13721</v>
      </c>
      <c r="D7097" s="9">
        <v>1.5760515275657593E-2</v>
      </c>
      <c r="E7097" s="9"/>
      <c r="F7097" s="257" t="s">
        <v>17519</v>
      </c>
      <c r="G7097" s="9"/>
      <c r="H7097" s="257" t="s">
        <v>25101</v>
      </c>
      <c r="I7097" s="9">
        <v>4</v>
      </c>
    </row>
    <row r="7098" spans="1:9">
      <c r="A7098" s="257" t="s">
        <v>8196</v>
      </c>
      <c r="B7098" s="9">
        <v>7</v>
      </c>
      <c r="C7098" s="257" t="s">
        <v>13721</v>
      </c>
      <c r="D7098" s="9">
        <v>1.2806128643965298E-2</v>
      </c>
      <c r="E7098" s="9"/>
      <c r="F7098" s="257" t="s">
        <v>17520</v>
      </c>
      <c r="G7098" s="9"/>
      <c r="H7098" s="257" t="s">
        <v>25102</v>
      </c>
      <c r="I7098" s="9">
        <v>4</v>
      </c>
    </row>
    <row r="7099" spans="1:9">
      <c r="A7099" s="257" t="s">
        <v>8197</v>
      </c>
      <c r="B7099" s="9">
        <v>7</v>
      </c>
      <c r="C7099" s="257" t="s">
        <v>13721</v>
      </c>
      <c r="D7099" s="9">
        <v>1.3261579988224142E-2</v>
      </c>
      <c r="E7099" s="9"/>
      <c r="F7099" s="257" t="s">
        <v>17521</v>
      </c>
      <c r="G7099" s="9"/>
      <c r="H7099" s="257" t="s">
        <v>25103</v>
      </c>
      <c r="I7099" s="9">
        <v>4</v>
      </c>
    </row>
    <row r="7100" spans="1:9">
      <c r="A7100" s="257" t="s">
        <v>8198</v>
      </c>
      <c r="B7100" s="9">
        <v>7</v>
      </c>
      <c r="C7100" s="257" t="s">
        <v>13721</v>
      </c>
      <c r="D7100" s="9">
        <v>1.5972826336891354E-2</v>
      </c>
      <c r="E7100" s="9"/>
      <c r="F7100" s="257" t="s">
        <v>17522</v>
      </c>
      <c r="G7100" s="9"/>
      <c r="H7100" s="257" t="s">
        <v>25104</v>
      </c>
      <c r="I7100" s="9">
        <v>4</v>
      </c>
    </row>
    <row r="7101" spans="1:9">
      <c r="A7101" s="257" t="s">
        <v>8199</v>
      </c>
      <c r="B7101" s="9">
        <v>7</v>
      </c>
      <c r="C7101" s="257" t="s">
        <v>13721</v>
      </c>
      <c r="D7101" s="9">
        <v>1.64282776811502E-2</v>
      </c>
      <c r="E7101" s="9"/>
      <c r="F7101" s="257" t="s">
        <v>17523</v>
      </c>
      <c r="G7101" s="9"/>
      <c r="H7101" s="257" t="s">
        <v>25105</v>
      </c>
      <c r="I7101" s="9">
        <v>4</v>
      </c>
    </row>
    <row r="7102" spans="1:9">
      <c r="A7102" s="257" t="s">
        <v>8200</v>
      </c>
      <c r="B7102" s="9">
        <v>7</v>
      </c>
      <c r="C7102" s="257" t="s">
        <v>13721</v>
      </c>
      <c r="D7102" s="9">
        <v>-3.1666976929260581E-3</v>
      </c>
      <c r="E7102" s="9"/>
      <c r="F7102" s="257" t="s">
        <v>17524</v>
      </c>
      <c r="G7102" s="9"/>
      <c r="H7102" s="257" t="s">
        <v>25106</v>
      </c>
      <c r="I7102" s="9">
        <v>4</v>
      </c>
    </row>
    <row r="7103" spans="1:9">
      <c r="A7103" s="257" t="s">
        <v>8201</v>
      </c>
      <c r="B7103" s="9">
        <v>7</v>
      </c>
      <c r="C7103" s="257" t="s">
        <v>13721</v>
      </c>
      <c r="D7103" s="9">
        <v>0</v>
      </c>
      <c r="E7103" s="9"/>
      <c r="F7103" s="257" t="s">
        <v>17525</v>
      </c>
      <c r="G7103" s="9"/>
      <c r="H7103" s="257" t="s">
        <v>25107</v>
      </c>
      <c r="I7103" s="9">
        <v>4</v>
      </c>
    </row>
    <row r="7104" spans="1:9">
      <c r="A7104" s="257" t="s">
        <v>8202</v>
      </c>
      <c r="B7104" s="9">
        <v>7</v>
      </c>
      <c r="C7104" s="257" t="s">
        <v>13721</v>
      </c>
      <c r="D7104" s="9">
        <v>2.3260468961304372E-3</v>
      </c>
      <c r="E7104" s="9"/>
      <c r="F7104" s="257" t="s">
        <v>17526</v>
      </c>
      <c r="G7104" s="9"/>
      <c r="H7104" s="257" t="s">
        <v>25108</v>
      </c>
      <c r="I7104" s="9">
        <v>4</v>
      </c>
    </row>
    <row r="7105" spans="1:9">
      <c r="A7105" s="257" t="s">
        <v>8203</v>
      </c>
      <c r="B7105" s="9">
        <v>7</v>
      </c>
      <c r="C7105" s="257" t="s">
        <v>13721</v>
      </c>
      <c r="D7105" s="9">
        <v>1.1890938076732677E-3</v>
      </c>
      <c r="E7105" s="9"/>
      <c r="F7105" s="257" t="s">
        <v>17527</v>
      </c>
      <c r="G7105" s="9"/>
      <c r="H7105" s="257" t="s">
        <v>25109</v>
      </c>
      <c r="I7105" s="9">
        <v>4</v>
      </c>
    </row>
    <row r="7106" spans="1:9">
      <c r="A7106" s="257" t="s">
        <v>8204</v>
      </c>
      <c r="B7106" s="9">
        <v>7</v>
      </c>
      <c r="C7106" s="257" t="s">
        <v>13721</v>
      </c>
      <c r="D7106" s="9">
        <v>1.1369530884571698E-3</v>
      </c>
      <c r="E7106" s="9"/>
      <c r="F7106" s="257" t="s">
        <v>17528</v>
      </c>
      <c r="G7106" s="9"/>
      <c r="H7106" s="257" t="s">
        <v>25110</v>
      </c>
      <c r="I7106" s="9">
        <v>4</v>
      </c>
    </row>
    <row r="7107" spans="1:9">
      <c r="A7107" s="257" t="s">
        <v>8205</v>
      </c>
      <c r="B7107" s="9">
        <v>7</v>
      </c>
      <c r="C7107" s="257" t="s">
        <v>13721</v>
      </c>
      <c r="D7107" s="9">
        <v>4.5545134425884517E-4</v>
      </c>
      <c r="E7107" s="9"/>
      <c r="F7107" s="257" t="s">
        <v>17529</v>
      </c>
      <c r="G7107" s="9"/>
      <c r="H7107" s="257" t="s">
        <v>25111</v>
      </c>
      <c r="I7107" s="9">
        <v>4</v>
      </c>
    </row>
    <row r="7108" spans="1:9">
      <c r="A7108" s="257" t="s">
        <v>8206</v>
      </c>
      <c r="B7108" s="9">
        <v>7</v>
      </c>
      <c r="C7108" s="257" t="s">
        <v>13721</v>
      </c>
      <c r="D7108" s="9">
        <v>1.7288839130301259E-4</v>
      </c>
      <c r="E7108" s="9"/>
      <c r="F7108" s="257" t="s">
        <v>17530</v>
      </c>
      <c r="G7108" s="9"/>
      <c r="H7108" s="257" t="s">
        <v>25112</v>
      </c>
      <c r="I7108" s="9">
        <v>4</v>
      </c>
    </row>
    <row r="7109" spans="1:9">
      <c r="A7109" s="257" t="s">
        <v>8207</v>
      </c>
      <c r="B7109" s="9">
        <v>7</v>
      </c>
      <c r="C7109" s="257" t="s">
        <v>13721</v>
      </c>
      <c r="D7109" s="9">
        <v>1.0472600769848135E-2</v>
      </c>
      <c r="E7109" s="9"/>
      <c r="F7109" s="257" t="s">
        <v>17531</v>
      </c>
      <c r="G7109" s="9"/>
      <c r="H7109" s="257" t="s">
        <v>25113</v>
      </c>
      <c r="I7109" s="9">
        <v>4</v>
      </c>
    </row>
    <row r="7110" spans="1:9">
      <c r="A7110" s="257" t="s">
        <v>8208</v>
      </c>
      <c r="B7110" s="9">
        <v>7</v>
      </c>
      <c r="C7110" s="257" t="s">
        <v>13721</v>
      </c>
      <c r="D7110" s="9">
        <v>-9.7194412448732993E-4</v>
      </c>
      <c r="E7110" s="9"/>
      <c r="F7110" s="257" t="s">
        <v>17532</v>
      </c>
      <c r="G7110" s="9"/>
      <c r="H7110" s="257" t="s">
        <v>25114</v>
      </c>
      <c r="I7110" s="9">
        <v>4</v>
      </c>
    </row>
    <row r="7111" spans="1:9">
      <c r="A7111" s="257" t="s">
        <v>8209</v>
      </c>
      <c r="B7111" s="9">
        <v>7</v>
      </c>
      <c r="C7111" s="257" t="s">
        <v>13721</v>
      </c>
      <c r="D7111" s="9">
        <v>9.5006566453608061E-3</v>
      </c>
      <c r="E7111" s="9"/>
      <c r="F7111" s="257" t="s">
        <v>17533</v>
      </c>
      <c r="G7111" s="9"/>
      <c r="H7111" s="257" t="s">
        <v>25115</v>
      </c>
      <c r="I7111" s="9">
        <v>4</v>
      </c>
    </row>
    <row r="7112" spans="1:9">
      <c r="A7112" s="257" t="s">
        <v>8210</v>
      </c>
      <c r="B7112" s="9">
        <v>7</v>
      </c>
      <c r="C7112" s="257" t="s">
        <v>13721</v>
      </c>
      <c r="D7112" s="9">
        <v>4.6246910764876333E-3</v>
      </c>
      <c r="E7112" s="9"/>
      <c r="F7112" s="257" t="s">
        <v>17534</v>
      </c>
      <c r="G7112" s="9"/>
      <c r="H7112" s="257" t="s">
        <v>25116</v>
      </c>
      <c r="I7112" s="9">
        <v>4</v>
      </c>
    </row>
    <row r="7113" spans="1:9">
      <c r="A7113" s="257" t="s">
        <v>8211</v>
      </c>
      <c r="B7113" s="9">
        <v>7</v>
      </c>
      <c r="C7113" s="257" t="s">
        <v>13721</v>
      </c>
      <c r="D7113" s="9">
        <v>2.3029299593017617E-3</v>
      </c>
      <c r="E7113" s="9"/>
      <c r="F7113" s="257" t="s">
        <v>17535</v>
      </c>
      <c r="G7113" s="9"/>
      <c r="H7113" s="257" t="s">
        <v>25117</v>
      </c>
      <c r="I7113" s="9">
        <v>4</v>
      </c>
    </row>
    <row r="7114" spans="1:9">
      <c r="A7114" s="257" t="s">
        <v>8212</v>
      </c>
      <c r="B7114" s="9">
        <v>7</v>
      </c>
      <c r="C7114" s="257" t="s">
        <v>13721</v>
      </c>
      <c r="D7114" s="9">
        <v>6.9276210357893959E-3</v>
      </c>
      <c r="E7114" s="9"/>
      <c r="F7114" s="257" t="s">
        <v>17536</v>
      </c>
      <c r="G7114" s="9"/>
      <c r="H7114" s="257" t="s">
        <v>25118</v>
      </c>
      <c r="I7114" s="9">
        <v>4</v>
      </c>
    </row>
    <row r="7115" spans="1:9">
      <c r="A7115" s="257" t="s">
        <v>8213</v>
      </c>
      <c r="B7115" s="9">
        <v>7</v>
      </c>
      <c r="C7115" s="257" t="s">
        <v>13721</v>
      </c>
      <c r="D7115" s="9">
        <v>-3.8873113857383E-4</v>
      </c>
      <c r="E7115" s="9"/>
      <c r="F7115" s="257" t="s">
        <v>17537</v>
      </c>
      <c r="G7115" s="9"/>
      <c r="H7115" s="257" t="s">
        <v>25119</v>
      </c>
      <c r="I7115" s="9">
        <v>4</v>
      </c>
    </row>
    <row r="7116" spans="1:9">
      <c r="A7116" s="257" t="s">
        <v>8214</v>
      </c>
      <c r="B7116" s="9">
        <v>7</v>
      </c>
      <c r="C7116" s="257" t="s">
        <v>13721</v>
      </c>
      <c r="D7116" s="9">
        <v>-2.777966554352228E-3</v>
      </c>
      <c r="E7116" s="9"/>
      <c r="F7116" s="257" t="s">
        <v>17538</v>
      </c>
      <c r="G7116" s="9"/>
      <c r="H7116" s="257" t="s">
        <v>25120</v>
      </c>
      <c r="I7116" s="9">
        <v>4</v>
      </c>
    </row>
    <row r="7117" spans="1:9">
      <c r="A7117" s="257" t="s">
        <v>8215</v>
      </c>
      <c r="B7117" s="9">
        <v>8</v>
      </c>
      <c r="C7117" s="257" t="s">
        <v>13721</v>
      </c>
      <c r="D7117" s="9">
        <v>8.8465524236722819E-3</v>
      </c>
      <c r="E7117" s="9"/>
      <c r="F7117" s="257" t="s">
        <v>17539</v>
      </c>
      <c r="G7117" s="9"/>
      <c r="H7117" s="257" t="s">
        <v>25121</v>
      </c>
      <c r="I7117" s="9">
        <v>4</v>
      </c>
    </row>
    <row r="7118" spans="1:9">
      <c r="A7118" s="257" t="s">
        <v>8216</v>
      </c>
      <c r="B7118" s="9">
        <v>8</v>
      </c>
      <c r="C7118" s="257" t="s">
        <v>13721</v>
      </c>
      <c r="D7118" s="9">
        <v>9.3033841052036666E-3</v>
      </c>
      <c r="E7118" s="9"/>
      <c r="F7118" s="257" t="s">
        <v>17540</v>
      </c>
      <c r="G7118" s="9"/>
      <c r="H7118" s="257" t="s">
        <v>25122</v>
      </c>
      <c r="I7118" s="9">
        <v>4</v>
      </c>
    </row>
    <row r="7119" spans="1:9">
      <c r="A7119" s="257" t="s">
        <v>8217</v>
      </c>
      <c r="B7119" s="9">
        <v>8</v>
      </c>
      <c r="C7119" s="257" t="s">
        <v>13721</v>
      </c>
      <c r="D7119" s="9">
        <v>4.6117304519982154E-3</v>
      </c>
      <c r="E7119" s="9"/>
      <c r="F7119" s="257" t="s">
        <v>17541</v>
      </c>
      <c r="G7119" s="9"/>
      <c r="H7119" s="257" t="s">
        <v>25123</v>
      </c>
      <c r="I7119" s="9">
        <v>4</v>
      </c>
    </row>
    <row r="7120" spans="1:9">
      <c r="A7120" s="257" t="s">
        <v>8218</v>
      </c>
      <c r="B7120" s="9">
        <v>8</v>
      </c>
      <c r="C7120" s="257" t="s">
        <v>13721</v>
      </c>
      <c r="D7120" s="9">
        <v>1.0333136939294474E-3</v>
      </c>
      <c r="E7120" s="9"/>
      <c r="F7120" s="257" t="s">
        <v>17542</v>
      </c>
      <c r="G7120" s="9"/>
      <c r="H7120" s="257" t="s">
        <v>25124</v>
      </c>
      <c r="I7120" s="9">
        <v>4</v>
      </c>
    </row>
    <row r="7121" spans="1:9">
      <c r="A7121" s="257" t="s">
        <v>8219</v>
      </c>
      <c r="B7121" s="9">
        <v>8</v>
      </c>
      <c r="C7121" s="257" t="s">
        <v>13721</v>
      </c>
      <c r="D7121" s="9">
        <v>1.4901453754608326E-3</v>
      </c>
      <c r="E7121" s="9"/>
      <c r="F7121" s="257" t="s">
        <v>17543</v>
      </c>
      <c r="G7121" s="9"/>
      <c r="H7121" s="257" t="s">
        <v>25125</v>
      </c>
      <c r="I7121" s="9">
        <v>4</v>
      </c>
    </row>
    <row r="7122" spans="1:9">
      <c r="A7122" s="257" t="s">
        <v>8220</v>
      </c>
      <c r="B7122" s="9">
        <v>8</v>
      </c>
      <c r="C7122" s="257" t="s">
        <v>13721</v>
      </c>
      <c r="D7122" s="9">
        <v>1.4948428251131331E-2</v>
      </c>
      <c r="E7122" s="9"/>
      <c r="F7122" s="257" t="s">
        <v>17544</v>
      </c>
      <c r="G7122" s="9"/>
      <c r="H7122" s="257" t="s">
        <v>25126</v>
      </c>
      <c r="I7122" s="9">
        <v>4</v>
      </c>
    </row>
    <row r="7123" spans="1:9">
      <c r="A7123" s="257" t="s">
        <v>8221</v>
      </c>
      <c r="B7123" s="9">
        <v>8</v>
      </c>
      <c r="C7123" s="257" t="s">
        <v>13721</v>
      </c>
      <c r="D7123" s="9">
        <v>1.3458282875670496E-2</v>
      </c>
      <c r="E7123" s="9"/>
      <c r="F7123" s="257" t="s">
        <v>17545</v>
      </c>
      <c r="G7123" s="9"/>
      <c r="H7123" s="257" t="s">
        <v>25127</v>
      </c>
      <c r="I7123" s="9">
        <v>4</v>
      </c>
    </row>
    <row r="7124" spans="1:9">
      <c r="A7124" s="257" t="s">
        <v>8222</v>
      </c>
      <c r="B7124" s="9">
        <v>8</v>
      </c>
      <c r="C7124" s="257" t="s">
        <v>13721</v>
      </c>
      <c r="D7124" s="9">
        <v>1.3915114557201883E-2</v>
      </c>
      <c r="E7124" s="9"/>
      <c r="F7124" s="257" t="s">
        <v>17546</v>
      </c>
      <c r="G7124" s="9"/>
      <c r="H7124" s="257" t="s">
        <v>25128</v>
      </c>
      <c r="I7124" s="9">
        <v>4</v>
      </c>
    </row>
    <row r="7125" spans="1:9">
      <c r="A7125" s="257" t="s">
        <v>8223</v>
      </c>
      <c r="B7125" s="9">
        <v>8</v>
      </c>
      <c r="C7125" s="257" t="s">
        <v>13721</v>
      </c>
      <c r="D7125" s="9">
        <v>1.7653234474353068E-2</v>
      </c>
      <c r="E7125" s="9"/>
      <c r="F7125" s="257" t="s">
        <v>17547</v>
      </c>
      <c r="G7125" s="9"/>
      <c r="H7125" s="257" t="s">
        <v>25129</v>
      </c>
      <c r="I7125" s="9">
        <v>4</v>
      </c>
    </row>
    <row r="7126" spans="1:9">
      <c r="A7126" s="257" t="s">
        <v>8224</v>
      </c>
      <c r="B7126" s="9">
        <v>8</v>
      </c>
      <c r="C7126" s="257" t="s">
        <v>13721</v>
      </c>
      <c r="D7126" s="9">
        <v>1.8110066155884452E-2</v>
      </c>
      <c r="E7126" s="9"/>
      <c r="F7126" s="257" t="s">
        <v>17548</v>
      </c>
      <c r="G7126" s="9"/>
      <c r="H7126" s="257" t="s">
        <v>25130</v>
      </c>
      <c r="I7126" s="9">
        <v>4</v>
      </c>
    </row>
    <row r="7127" spans="1:9">
      <c r="A7127" s="257" t="s">
        <v>8225</v>
      </c>
      <c r="B7127" s="9">
        <v>8</v>
      </c>
      <c r="C7127" s="257" t="s">
        <v>13721</v>
      </c>
      <c r="D7127" s="9">
        <v>-4.1949515986825685E-3</v>
      </c>
      <c r="E7127" s="9"/>
      <c r="F7127" s="257" t="s">
        <v>17549</v>
      </c>
      <c r="G7127" s="9"/>
      <c r="H7127" s="257" t="s">
        <v>25131</v>
      </c>
      <c r="I7127" s="9">
        <v>4</v>
      </c>
    </row>
    <row r="7128" spans="1:9">
      <c r="A7128" s="257" t="s">
        <v>8226</v>
      </c>
      <c r="B7128" s="9">
        <v>8</v>
      </c>
      <c r="C7128" s="257" t="s">
        <v>13721</v>
      </c>
      <c r="D7128" s="9">
        <v>0</v>
      </c>
      <c r="E7128" s="9"/>
      <c r="F7128" s="257" t="s">
        <v>17550</v>
      </c>
      <c r="G7128" s="9"/>
      <c r="H7128" s="257" t="s">
        <v>25132</v>
      </c>
      <c r="I7128" s="9">
        <v>4</v>
      </c>
    </row>
    <row r="7129" spans="1:9">
      <c r="A7129" s="257" t="s">
        <v>8227</v>
      </c>
      <c r="B7129" s="9">
        <v>8</v>
      </c>
      <c r="C7129" s="257" t="s">
        <v>13721</v>
      </c>
      <c r="D7129" s="9">
        <v>8.6296675716875169E-4</v>
      </c>
      <c r="E7129" s="9"/>
      <c r="F7129" s="257" t="s">
        <v>17551</v>
      </c>
      <c r="G7129" s="9"/>
      <c r="H7129" s="257" t="s">
        <v>25133</v>
      </c>
      <c r="I7129" s="9">
        <v>4</v>
      </c>
    </row>
    <row r="7130" spans="1:9">
      <c r="A7130" s="257" t="s">
        <v>8228</v>
      </c>
      <c r="B7130" s="9">
        <v>8</v>
      </c>
      <c r="C7130" s="257" t="s">
        <v>13721</v>
      </c>
      <c r="D7130" s="9">
        <v>3.4193382710602472E-4</v>
      </c>
      <c r="E7130" s="9"/>
      <c r="F7130" s="257" t="s">
        <v>17552</v>
      </c>
      <c r="G7130" s="9"/>
      <c r="H7130" s="257" t="s">
        <v>25134</v>
      </c>
      <c r="I7130" s="9">
        <v>4</v>
      </c>
    </row>
    <row r="7131" spans="1:9">
      <c r="A7131" s="257" t="s">
        <v>8229</v>
      </c>
      <c r="B7131" s="9">
        <v>8</v>
      </c>
      <c r="C7131" s="257" t="s">
        <v>13721</v>
      </c>
      <c r="D7131" s="9">
        <v>5.2103293006272697E-4</v>
      </c>
      <c r="E7131" s="9"/>
      <c r="F7131" s="257" t="s">
        <v>17553</v>
      </c>
      <c r="G7131" s="9"/>
      <c r="H7131" s="257" t="s">
        <v>25135</v>
      </c>
      <c r="I7131" s="9">
        <v>4</v>
      </c>
    </row>
    <row r="7132" spans="1:9">
      <c r="A7132" s="257" t="s">
        <v>8230</v>
      </c>
      <c r="B7132" s="9">
        <v>8</v>
      </c>
      <c r="C7132" s="257" t="s">
        <v>13721</v>
      </c>
      <c r="D7132" s="9">
        <v>4.5683168153138497E-4</v>
      </c>
      <c r="E7132" s="9"/>
      <c r="F7132" s="257" t="s">
        <v>17554</v>
      </c>
      <c r="G7132" s="9"/>
      <c r="H7132" s="257" t="s">
        <v>25136</v>
      </c>
      <c r="I7132" s="9">
        <v>4</v>
      </c>
    </row>
    <row r="7133" spans="1:9">
      <c r="A7133" s="257" t="s">
        <v>8231</v>
      </c>
      <c r="B7133" s="9">
        <v>8</v>
      </c>
      <c r="C7133" s="257" t="s">
        <v>13721</v>
      </c>
      <c r="D7133" s="9">
        <v>1.703469367606958E-4</v>
      </c>
      <c r="E7133" s="9"/>
      <c r="F7133" s="257" t="s">
        <v>17555</v>
      </c>
      <c r="G7133" s="9"/>
      <c r="H7133" s="257" t="s">
        <v>25137</v>
      </c>
      <c r="I7133" s="9">
        <v>4</v>
      </c>
    </row>
    <row r="7134" spans="1:9">
      <c r="A7134" s="257" t="s">
        <v>8232</v>
      </c>
      <c r="B7134" s="9">
        <v>8</v>
      </c>
      <c r="C7134" s="257" t="s">
        <v>13721</v>
      </c>
      <c r="D7134" s="9">
        <v>1.0835319607030318E-2</v>
      </c>
      <c r="E7134" s="9"/>
      <c r="F7134" s="257" t="s">
        <v>17556</v>
      </c>
      <c r="G7134" s="9"/>
      <c r="H7134" s="257" t="s">
        <v>25138</v>
      </c>
      <c r="I7134" s="9">
        <v>4</v>
      </c>
    </row>
    <row r="7135" spans="1:9">
      <c r="A7135" s="257" t="s">
        <v>8233</v>
      </c>
      <c r="B7135" s="9">
        <v>8</v>
      </c>
      <c r="C7135" s="257" t="s">
        <v>13721</v>
      </c>
      <c r="D7135" s="9">
        <v>-1.0123594608372857E-3</v>
      </c>
      <c r="E7135" s="9"/>
      <c r="F7135" s="257" t="s">
        <v>17557</v>
      </c>
      <c r="G7135" s="9"/>
      <c r="H7135" s="257" t="s">
        <v>25139</v>
      </c>
      <c r="I7135" s="9">
        <v>4</v>
      </c>
    </row>
    <row r="7136" spans="1:9">
      <c r="A7136" s="257" t="s">
        <v>8234</v>
      </c>
      <c r="B7136" s="9">
        <v>8</v>
      </c>
      <c r="C7136" s="257" t="s">
        <v>13721</v>
      </c>
      <c r="D7136" s="9">
        <v>9.822960146193032E-3</v>
      </c>
      <c r="E7136" s="9"/>
      <c r="F7136" s="257" t="s">
        <v>17558</v>
      </c>
      <c r="G7136" s="9"/>
      <c r="H7136" s="257" t="s">
        <v>25140</v>
      </c>
      <c r="I7136" s="9">
        <v>4</v>
      </c>
    </row>
    <row r="7137" spans="1:9">
      <c r="A7137" s="257" t="s">
        <v>8235</v>
      </c>
      <c r="B7137" s="9">
        <v>8</v>
      </c>
      <c r="C7137" s="257" t="s">
        <v>13721</v>
      </c>
      <c r="D7137" s="9">
        <v>5.9848878683870562E-3</v>
      </c>
      <c r="E7137" s="9"/>
      <c r="F7137" s="257" t="s">
        <v>17559</v>
      </c>
      <c r="G7137" s="9"/>
      <c r="H7137" s="257" t="s">
        <v>25141</v>
      </c>
      <c r="I7137" s="9">
        <v>4</v>
      </c>
    </row>
    <row r="7138" spans="1:9">
      <c r="A7138" s="257" t="s">
        <v>8236</v>
      </c>
      <c r="B7138" s="9">
        <v>8</v>
      </c>
      <c r="C7138" s="257" t="s">
        <v>13721</v>
      </c>
      <c r="D7138" s="9">
        <v>2.3022181413043623E-3</v>
      </c>
      <c r="E7138" s="9"/>
      <c r="F7138" s="257" t="s">
        <v>17560</v>
      </c>
      <c r="G7138" s="9"/>
      <c r="H7138" s="257" t="s">
        <v>25142</v>
      </c>
      <c r="I7138" s="9">
        <v>4</v>
      </c>
    </row>
    <row r="7139" spans="1:9">
      <c r="A7139" s="257" t="s">
        <v>8237</v>
      </c>
      <c r="B7139" s="9">
        <v>8</v>
      </c>
      <c r="C7139" s="257" t="s">
        <v>13721</v>
      </c>
      <c r="D7139" s="9">
        <v>8.2871060096914168E-3</v>
      </c>
      <c r="E7139" s="9"/>
      <c r="F7139" s="257" t="s">
        <v>17561</v>
      </c>
      <c r="G7139" s="9"/>
      <c r="H7139" s="257" t="s">
        <v>25143</v>
      </c>
      <c r="I7139" s="9">
        <v>4</v>
      </c>
    </row>
    <row r="7140" spans="1:9">
      <c r="A7140" s="257" t="s">
        <v>8238</v>
      </c>
      <c r="B7140" s="9">
        <v>8</v>
      </c>
      <c r="C7140" s="257" t="s">
        <v>13721</v>
      </c>
      <c r="D7140" s="9">
        <v>-5.1957604098936631E-4</v>
      </c>
      <c r="E7140" s="9"/>
      <c r="F7140" s="257" t="s">
        <v>17562</v>
      </c>
      <c r="G7140" s="9"/>
      <c r="H7140" s="257" t="s">
        <v>25144</v>
      </c>
      <c r="I7140" s="9">
        <v>4</v>
      </c>
    </row>
    <row r="7141" spans="1:9">
      <c r="A7141" s="257" t="s">
        <v>8239</v>
      </c>
      <c r="B7141" s="9">
        <v>8</v>
      </c>
      <c r="C7141" s="257" t="s">
        <v>13721</v>
      </c>
      <c r="D7141" s="9">
        <v>-3.6753755576932022E-3</v>
      </c>
      <c r="E7141" s="9"/>
      <c r="F7141" s="257" t="s">
        <v>17563</v>
      </c>
      <c r="G7141" s="9"/>
      <c r="H7141" s="257" t="s">
        <v>25145</v>
      </c>
      <c r="I7141" s="9">
        <v>4</v>
      </c>
    </row>
    <row r="7142" spans="1:9">
      <c r="A7142" s="257" t="s">
        <v>8240</v>
      </c>
      <c r="B7142" s="9">
        <v>9</v>
      </c>
      <c r="C7142" s="257" t="s">
        <v>13721</v>
      </c>
      <c r="D7142" s="9">
        <v>9.3894428163017411E-3</v>
      </c>
      <c r="E7142" s="9"/>
      <c r="F7142" s="257" t="s">
        <v>17564</v>
      </c>
      <c r="G7142" s="9"/>
      <c r="H7142" s="257" t="s">
        <v>25146</v>
      </c>
      <c r="I7142" s="9">
        <v>4</v>
      </c>
    </row>
    <row r="7143" spans="1:9">
      <c r="A7143" s="257" t="s">
        <v>8241</v>
      </c>
      <c r="B7143" s="9">
        <v>9</v>
      </c>
      <c r="C7143" s="257" t="s">
        <v>13721</v>
      </c>
      <c r="D7143" s="9">
        <v>9.8684691553178432E-3</v>
      </c>
      <c r="E7143" s="9"/>
      <c r="F7143" s="257" t="s">
        <v>17565</v>
      </c>
      <c r="G7143" s="9"/>
      <c r="H7143" s="257" t="s">
        <v>25147</v>
      </c>
      <c r="I7143" s="9">
        <v>4</v>
      </c>
    </row>
    <row r="7144" spans="1:9">
      <c r="A7144" s="257" t="s">
        <v>8242</v>
      </c>
      <c r="B7144" s="9">
        <v>9</v>
      </c>
      <c r="C7144" s="257" t="s">
        <v>13721</v>
      </c>
      <c r="D7144" s="9">
        <v>4.7370832644419488E-3</v>
      </c>
      <c r="E7144" s="9"/>
      <c r="F7144" s="257" t="s">
        <v>17566</v>
      </c>
      <c r="G7144" s="9"/>
      <c r="H7144" s="257" t="s">
        <v>25148</v>
      </c>
      <c r="I7144" s="9">
        <v>4</v>
      </c>
    </row>
    <row r="7145" spans="1:9">
      <c r="A7145" s="257" t="s">
        <v>8243</v>
      </c>
      <c r="B7145" s="9">
        <v>9</v>
      </c>
      <c r="C7145" s="257" t="s">
        <v>13721</v>
      </c>
      <c r="D7145" s="9">
        <v>8.3591058282342107E-4</v>
      </c>
      <c r="E7145" s="9"/>
      <c r="F7145" s="257" t="s">
        <v>17567</v>
      </c>
      <c r="G7145" s="9"/>
      <c r="H7145" s="257" t="s">
        <v>25149</v>
      </c>
      <c r="I7145" s="9">
        <v>4</v>
      </c>
    </row>
    <row r="7146" spans="1:9">
      <c r="A7146" s="257" t="s">
        <v>8244</v>
      </c>
      <c r="B7146" s="9">
        <v>9</v>
      </c>
      <c r="C7146" s="257" t="s">
        <v>13721</v>
      </c>
      <c r="D7146" s="9">
        <v>1.3149369218395232E-3</v>
      </c>
      <c r="E7146" s="9"/>
      <c r="F7146" s="257" t="s">
        <v>17568</v>
      </c>
      <c r="G7146" s="9"/>
      <c r="H7146" s="257" t="s">
        <v>25150</v>
      </c>
      <c r="I7146" s="9">
        <v>4</v>
      </c>
    </row>
    <row r="7147" spans="1:9">
      <c r="A7147" s="257" t="s">
        <v>8245</v>
      </c>
      <c r="B7147" s="9">
        <v>9</v>
      </c>
      <c r="C7147" s="257" t="s">
        <v>13721</v>
      </c>
      <c r="D7147" s="9">
        <v>1.5441463002583214E-2</v>
      </c>
      <c r="E7147" s="9"/>
      <c r="F7147" s="257" t="s">
        <v>17569</v>
      </c>
      <c r="G7147" s="9"/>
      <c r="H7147" s="257" t="s">
        <v>25151</v>
      </c>
      <c r="I7147" s="9">
        <v>4</v>
      </c>
    </row>
    <row r="7148" spans="1:9">
      <c r="A7148" s="257" t="s">
        <v>8246</v>
      </c>
      <c r="B7148" s="9">
        <v>9</v>
      </c>
      <c r="C7148" s="257" t="s">
        <v>13721</v>
      </c>
      <c r="D7148" s="9">
        <v>1.412652608074369E-2</v>
      </c>
      <c r="E7148" s="9"/>
      <c r="F7148" s="257" t="s">
        <v>17570</v>
      </c>
      <c r="G7148" s="9"/>
      <c r="H7148" s="257" t="s">
        <v>25152</v>
      </c>
      <c r="I7148" s="9">
        <v>4</v>
      </c>
    </row>
    <row r="7149" spans="1:9">
      <c r="A7149" s="257" t="s">
        <v>8247</v>
      </c>
      <c r="B7149" s="9">
        <v>9</v>
      </c>
      <c r="C7149" s="257" t="s">
        <v>13721</v>
      </c>
      <c r="D7149" s="9">
        <v>1.4605552419759792E-2</v>
      </c>
      <c r="E7149" s="9"/>
      <c r="F7149" s="257" t="s">
        <v>17571</v>
      </c>
      <c r="G7149" s="9"/>
      <c r="H7149" s="257" t="s">
        <v>25153</v>
      </c>
      <c r="I7149" s="9">
        <v>4</v>
      </c>
    </row>
    <row r="7150" spans="1:9">
      <c r="A7150" s="257" t="s">
        <v>8248</v>
      </c>
      <c r="B7150" s="9">
        <v>9</v>
      </c>
      <c r="C7150" s="257" t="s">
        <v>13721</v>
      </c>
      <c r="D7150" s="9">
        <v>1.8628800004389393E-2</v>
      </c>
      <c r="E7150" s="9"/>
      <c r="F7150" s="257" t="s">
        <v>17572</v>
      </c>
      <c r="G7150" s="9"/>
      <c r="H7150" s="257" t="s">
        <v>25154</v>
      </c>
      <c r="I7150" s="9">
        <v>4</v>
      </c>
    </row>
    <row r="7151" spans="1:9">
      <c r="A7151" s="257" t="s">
        <v>8249</v>
      </c>
      <c r="B7151" s="9">
        <v>9</v>
      </c>
      <c r="C7151" s="257" t="s">
        <v>13721</v>
      </c>
      <c r="D7151" s="9">
        <v>1.9107826343405493E-2</v>
      </c>
      <c r="E7151" s="9"/>
      <c r="F7151" s="257" t="s">
        <v>17573</v>
      </c>
      <c r="G7151" s="9"/>
      <c r="H7151" s="257" t="s">
        <v>25155</v>
      </c>
      <c r="I7151" s="9">
        <v>4</v>
      </c>
    </row>
    <row r="7152" spans="1:9">
      <c r="A7152" s="257" t="s">
        <v>8250</v>
      </c>
      <c r="B7152" s="9">
        <v>9</v>
      </c>
      <c r="C7152" s="257" t="s">
        <v>13721</v>
      </c>
      <c r="D7152" s="9">
        <v>-4.5022739236457027E-3</v>
      </c>
      <c r="E7152" s="9"/>
      <c r="F7152" s="257" t="s">
        <v>17574</v>
      </c>
      <c r="G7152" s="9"/>
      <c r="H7152" s="257" t="s">
        <v>25156</v>
      </c>
      <c r="I7152" s="9">
        <v>4</v>
      </c>
    </row>
    <row r="7153" spans="1:9">
      <c r="A7153" s="257" t="s">
        <v>8251</v>
      </c>
      <c r="B7153" s="9">
        <v>9</v>
      </c>
      <c r="C7153" s="257" t="s">
        <v>13721</v>
      </c>
      <c r="D7153" s="9">
        <v>0</v>
      </c>
      <c r="E7153" s="9"/>
      <c r="F7153" s="257" t="s">
        <v>17575</v>
      </c>
      <c r="G7153" s="9"/>
      <c r="H7153" s="257" t="s">
        <v>25157</v>
      </c>
      <c r="I7153" s="9">
        <v>4</v>
      </c>
    </row>
    <row r="7154" spans="1:9">
      <c r="A7154" s="257" t="s">
        <v>8252</v>
      </c>
      <c r="B7154" s="9">
        <v>9</v>
      </c>
      <c r="C7154" s="257" t="s">
        <v>13721</v>
      </c>
      <c r="D7154" s="9">
        <v>6.0844552336790489E-4</v>
      </c>
      <c r="E7154" s="9"/>
      <c r="F7154" s="257" t="s">
        <v>17576</v>
      </c>
      <c r="G7154" s="9"/>
      <c r="H7154" s="257" t="s">
        <v>25158</v>
      </c>
      <c r="I7154" s="9">
        <v>4</v>
      </c>
    </row>
    <row r="7155" spans="1:9">
      <c r="A7155" s="257" t="s">
        <v>8253</v>
      </c>
      <c r="B7155" s="9">
        <v>9</v>
      </c>
      <c r="C7155" s="257" t="s">
        <v>13721</v>
      </c>
      <c r="D7155" s="9">
        <v>2.4616838354310418E-4</v>
      </c>
      <c r="E7155" s="9"/>
      <c r="F7155" s="257" t="s">
        <v>17577</v>
      </c>
      <c r="G7155" s="9"/>
      <c r="H7155" s="257" t="s">
        <v>25159</v>
      </c>
      <c r="I7155" s="9">
        <v>4</v>
      </c>
    </row>
    <row r="7156" spans="1:9">
      <c r="A7156" s="257" t="s">
        <v>8254</v>
      </c>
      <c r="B7156" s="9">
        <v>9</v>
      </c>
      <c r="C7156" s="257" t="s">
        <v>13721</v>
      </c>
      <c r="D7156" s="9">
        <v>3.6227713982480076E-4</v>
      </c>
      <c r="E7156" s="9"/>
      <c r="F7156" s="257" t="s">
        <v>17578</v>
      </c>
      <c r="G7156" s="9"/>
      <c r="H7156" s="257" t="s">
        <v>25160</v>
      </c>
      <c r="I7156" s="9">
        <v>4</v>
      </c>
    </row>
    <row r="7157" spans="1:9">
      <c r="A7157" s="257" t="s">
        <v>8255</v>
      </c>
      <c r="B7157" s="9">
        <v>9</v>
      </c>
      <c r="C7157" s="257" t="s">
        <v>13721</v>
      </c>
      <c r="D7157" s="9">
        <v>4.7902633901610216E-4</v>
      </c>
      <c r="E7157" s="9"/>
      <c r="F7157" s="257" t="s">
        <v>17579</v>
      </c>
      <c r="G7157" s="9"/>
      <c r="H7157" s="257" t="s">
        <v>25161</v>
      </c>
      <c r="I7157" s="9">
        <v>4</v>
      </c>
    </row>
    <row r="7158" spans="1:9">
      <c r="A7158" s="257" t="s">
        <v>8256</v>
      </c>
      <c r="B7158" s="9">
        <v>9</v>
      </c>
      <c r="C7158" s="257" t="s">
        <v>13721</v>
      </c>
      <c r="D7158" s="9">
        <v>2.2746505945551616E-4</v>
      </c>
      <c r="E7158" s="9"/>
      <c r="F7158" s="257" t="s">
        <v>17580</v>
      </c>
      <c r="G7158" s="9"/>
      <c r="H7158" s="257" t="s">
        <v>25162</v>
      </c>
      <c r="I7158" s="9">
        <v>4</v>
      </c>
    </row>
    <row r="7159" spans="1:9">
      <c r="A7159" s="257" t="s">
        <v>8257</v>
      </c>
      <c r="B7159" s="9">
        <v>9</v>
      </c>
      <c r="C7159" s="257" t="s">
        <v>13721</v>
      </c>
      <c r="D7159" s="9">
        <v>1.1507277495627216E-2</v>
      </c>
      <c r="E7159" s="9"/>
      <c r="F7159" s="257" t="s">
        <v>17581</v>
      </c>
      <c r="G7159" s="9"/>
      <c r="H7159" s="257" t="s">
        <v>25163</v>
      </c>
      <c r="I7159" s="9">
        <v>4</v>
      </c>
    </row>
    <row r="7160" spans="1:9">
      <c r="A7160" s="257" t="s">
        <v>8258</v>
      </c>
      <c r="B7160" s="9">
        <v>9</v>
      </c>
      <c r="C7160" s="257" t="s">
        <v>13721</v>
      </c>
      <c r="D7160" s="9">
        <v>-1.0019129186776272E-3</v>
      </c>
      <c r="E7160" s="9"/>
      <c r="F7160" s="257" t="s">
        <v>17582</v>
      </c>
      <c r="G7160" s="9"/>
      <c r="H7160" s="257" t="s">
        <v>25164</v>
      </c>
      <c r="I7160" s="9">
        <v>4</v>
      </c>
    </row>
    <row r="7161" spans="1:9">
      <c r="A7161" s="257" t="s">
        <v>8259</v>
      </c>
      <c r="B7161" s="9">
        <v>9</v>
      </c>
      <c r="C7161" s="257" t="s">
        <v>13721</v>
      </c>
      <c r="D7161" s="9">
        <v>1.050536457694959E-2</v>
      </c>
      <c r="E7161" s="9"/>
      <c r="F7161" s="257" t="s">
        <v>17583</v>
      </c>
      <c r="G7161" s="9"/>
      <c r="H7161" s="257" t="s">
        <v>25165</v>
      </c>
      <c r="I7161" s="9">
        <v>4</v>
      </c>
    </row>
    <row r="7162" spans="1:9">
      <c r="A7162" s="257" t="s">
        <v>8260</v>
      </c>
      <c r="B7162" s="9">
        <v>9</v>
      </c>
      <c r="C7162" s="257" t="s">
        <v>13721</v>
      </c>
      <c r="D7162" s="9">
        <v>6.3218076193164927E-3</v>
      </c>
      <c r="E7162" s="9"/>
      <c r="F7162" s="257" t="s">
        <v>17584</v>
      </c>
      <c r="G7162" s="9"/>
      <c r="H7162" s="257" t="s">
        <v>25166</v>
      </c>
      <c r="I7162" s="9">
        <v>4</v>
      </c>
    </row>
    <row r="7163" spans="1:9">
      <c r="A7163" s="257" t="s">
        <v>8261</v>
      </c>
      <c r="B7163" s="9">
        <v>9</v>
      </c>
      <c r="C7163" s="257" t="s">
        <v>13721</v>
      </c>
      <c r="D7163" s="9">
        <v>2.2806541471394118E-3</v>
      </c>
      <c r="E7163" s="9"/>
      <c r="F7163" s="257" t="s">
        <v>17585</v>
      </c>
      <c r="G7163" s="9"/>
      <c r="H7163" s="257" t="s">
        <v>25167</v>
      </c>
      <c r="I7163" s="9">
        <v>4</v>
      </c>
    </row>
    <row r="7164" spans="1:9">
      <c r="A7164" s="257" t="s">
        <v>8262</v>
      </c>
      <c r="B7164" s="9">
        <v>9</v>
      </c>
      <c r="C7164" s="257" t="s">
        <v>13721</v>
      </c>
      <c r="D7164" s="9">
        <v>8.6024617664559044E-3</v>
      </c>
      <c r="E7164" s="9"/>
      <c r="F7164" s="257" t="s">
        <v>17586</v>
      </c>
      <c r="G7164" s="9"/>
      <c r="H7164" s="257" t="s">
        <v>25168</v>
      </c>
      <c r="I7164" s="9">
        <v>4</v>
      </c>
    </row>
    <row r="7165" spans="1:9">
      <c r="A7165" s="257" t="s">
        <v>8263</v>
      </c>
      <c r="B7165" s="9">
        <v>9</v>
      </c>
      <c r="C7165" s="257" t="s">
        <v>13721</v>
      </c>
      <c r="D7165" s="9">
        <v>-6.3689542163174726E-4</v>
      </c>
      <c r="E7165" s="9"/>
      <c r="F7165" s="257" t="s">
        <v>17587</v>
      </c>
      <c r="G7165" s="9"/>
      <c r="H7165" s="257" t="s">
        <v>25169</v>
      </c>
      <c r="I7165" s="9">
        <v>4</v>
      </c>
    </row>
    <row r="7166" spans="1:9">
      <c r="A7166" s="257" t="s">
        <v>8264</v>
      </c>
      <c r="B7166" s="9">
        <v>9</v>
      </c>
      <c r="C7166" s="257" t="s">
        <v>13721</v>
      </c>
      <c r="D7166" s="9">
        <v>-3.8653785020139556E-3</v>
      </c>
      <c r="E7166" s="9"/>
      <c r="F7166" s="257" t="s">
        <v>17588</v>
      </c>
      <c r="G7166" s="9"/>
      <c r="H7166" s="257" t="s">
        <v>25170</v>
      </c>
      <c r="I7166" s="9">
        <v>4</v>
      </c>
    </row>
    <row r="7167" spans="1:9">
      <c r="A7167" s="257" t="s">
        <v>8265</v>
      </c>
      <c r="B7167" s="9">
        <v>10</v>
      </c>
      <c r="C7167" s="257" t="s">
        <v>13721</v>
      </c>
      <c r="D7167" s="9">
        <v>8.0052062127438841E-3</v>
      </c>
      <c r="E7167" s="9"/>
      <c r="F7167" s="257" t="s">
        <v>17589</v>
      </c>
      <c r="G7167" s="9"/>
      <c r="H7167" s="257" t="s">
        <v>25171</v>
      </c>
      <c r="I7167" s="9">
        <v>4</v>
      </c>
    </row>
    <row r="7168" spans="1:9">
      <c r="A7168" s="257" t="s">
        <v>8266</v>
      </c>
      <c r="B7168" s="9">
        <v>10</v>
      </c>
      <c r="C7168" s="257" t="s">
        <v>13721</v>
      </c>
      <c r="D7168" s="9">
        <v>8.4281726286421273E-3</v>
      </c>
      <c r="E7168" s="9"/>
      <c r="F7168" s="257" t="s">
        <v>17590</v>
      </c>
      <c r="G7168" s="9"/>
      <c r="H7168" s="257" t="s">
        <v>25172</v>
      </c>
      <c r="I7168" s="9">
        <v>4</v>
      </c>
    </row>
    <row r="7169" spans="1:9">
      <c r="A7169" s="257" t="s">
        <v>8267</v>
      </c>
      <c r="B7169" s="9">
        <v>10</v>
      </c>
      <c r="C7169" s="257" t="s">
        <v>13721</v>
      </c>
      <c r="D7169" s="9">
        <v>4.9036105591507752E-3</v>
      </c>
      <c r="E7169" s="9"/>
      <c r="F7169" s="257" t="s">
        <v>17591</v>
      </c>
      <c r="G7169" s="9"/>
      <c r="H7169" s="257" t="s">
        <v>25173</v>
      </c>
      <c r="I7169" s="9">
        <v>4</v>
      </c>
    </row>
    <row r="7170" spans="1:9">
      <c r="A7170" s="257" t="s">
        <v>8268</v>
      </c>
      <c r="B7170" s="9">
        <v>10</v>
      </c>
      <c r="C7170" s="257" t="s">
        <v>13721</v>
      </c>
      <c r="D7170" s="9">
        <v>5.1403300649817949E-4</v>
      </c>
      <c r="E7170" s="9"/>
      <c r="F7170" s="257" t="s">
        <v>17592</v>
      </c>
      <c r="G7170" s="9"/>
      <c r="H7170" s="257" t="s">
        <v>25174</v>
      </c>
      <c r="I7170" s="9">
        <v>4</v>
      </c>
    </row>
    <row r="7171" spans="1:9">
      <c r="A7171" s="257" t="s">
        <v>8269</v>
      </c>
      <c r="B7171" s="9">
        <v>10</v>
      </c>
      <c r="C7171" s="257" t="s">
        <v>13721</v>
      </c>
      <c r="D7171" s="9">
        <v>9.3699942239642295E-4</v>
      </c>
      <c r="E7171" s="9"/>
      <c r="F7171" s="257" t="s">
        <v>17593</v>
      </c>
      <c r="G7171" s="9"/>
      <c r="H7171" s="257" t="s">
        <v>25175</v>
      </c>
      <c r="I7171" s="9">
        <v>4</v>
      </c>
    </row>
    <row r="7172" spans="1:9">
      <c r="A7172" s="257" t="s">
        <v>8270</v>
      </c>
      <c r="B7172" s="9">
        <v>10</v>
      </c>
      <c r="C7172" s="257" t="s">
        <v>13721</v>
      </c>
      <c r="D7172" s="9">
        <v>1.3845816194291082E-2</v>
      </c>
      <c r="E7172" s="9"/>
      <c r="F7172" s="257" t="s">
        <v>17594</v>
      </c>
      <c r="G7172" s="9"/>
      <c r="H7172" s="257" t="s">
        <v>25176</v>
      </c>
      <c r="I7172" s="9">
        <v>4</v>
      </c>
    </row>
    <row r="7173" spans="1:9">
      <c r="A7173" s="257" t="s">
        <v>8271</v>
      </c>
      <c r="B7173" s="9">
        <v>10</v>
      </c>
      <c r="C7173" s="257" t="s">
        <v>13721</v>
      </c>
      <c r="D7173" s="9">
        <v>1.2908816771894659E-2</v>
      </c>
      <c r="E7173" s="9"/>
      <c r="F7173" s="257" t="s">
        <v>17595</v>
      </c>
      <c r="G7173" s="9"/>
      <c r="H7173" s="257" t="s">
        <v>25177</v>
      </c>
      <c r="I7173" s="9">
        <v>4</v>
      </c>
    </row>
    <row r="7174" spans="1:9">
      <c r="A7174" s="257" t="s">
        <v>8272</v>
      </c>
      <c r="B7174" s="9">
        <v>10</v>
      </c>
      <c r="C7174" s="257" t="s">
        <v>13721</v>
      </c>
      <c r="D7174" s="9">
        <v>1.3331783187792903E-2</v>
      </c>
      <c r="E7174" s="9"/>
      <c r="F7174" s="257" t="s">
        <v>17596</v>
      </c>
      <c r="G7174" s="9"/>
      <c r="H7174" s="257" t="s">
        <v>25178</v>
      </c>
      <c r="I7174" s="9">
        <v>4</v>
      </c>
    </row>
    <row r="7175" spans="1:9">
      <c r="A7175" s="257" t="s">
        <v>8273</v>
      </c>
      <c r="B7175" s="9">
        <v>10</v>
      </c>
      <c r="C7175" s="257" t="s">
        <v>13721</v>
      </c>
      <c r="D7175" s="9">
        <v>1.879211929954663E-2</v>
      </c>
      <c r="E7175" s="9"/>
      <c r="F7175" s="257" t="s">
        <v>17597</v>
      </c>
      <c r="G7175" s="9"/>
      <c r="H7175" s="257" t="s">
        <v>25179</v>
      </c>
      <c r="I7175" s="9">
        <v>4</v>
      </c>
    </row>
    <row r="7176" spans="1:9">
      <c r="A7176" s="257" t="s">
        <v>8274</v>
      </c>
      <c r="B7176" s="9">
        <v>10</v>
      </c>
      <c r="C7176" s="257" t="s">
        <v>13721</v>
      </c>
      <c r="D7176" s="9">
        <v>1.9215085715444873E-2</v>
      </c>
      <c r="E7176" s="9"/>
      <c r="F7176" s="257" t="s">
        <v>17598</v>
      </c>
      <c r="G7176" s="9"/>
      <c r="H7176" s="257" t="s">
        <v>25180</v>
      </c>
      <c r="I7176" s="9">
        <v>4</v>
      </c>
    </row>
    <row r="7177" spans="1:9">
      <c r="A7177" s="257" t="s">
        <v>8275</v>
      </c>
      <c r="B7177" s="9">
        <v>10</v>
      </c>
      <c r="C7177" s="257" t="s">
        <v>13721</v>
      </c>
      <c r="D7177" s="9">
        <v>-5.8833025276519716E-3</v>
      </c>
      <c r="E7177" s="9"/>
      <c r="F7177" s="257" t="s">
        <v>17599</v>
      </c>
      <c r="G7177" s="9"/>
      <c r="H7177" s="257" t="s">
        <v>25181</v>
      </c>
      <c r="I7177" s="9">
        <v>4</v>
      </c>
    </row>
    <row r="7178" spans="1:9">
      <c r="A7178" s="257" t="s">
        <v>8276</v>
      </c>
      <c r="B7178" s="9">
        <v>10</v>
      </c>
      <c r="C7178" s="257" t="s">
        <v>13721</v>
      </c>
      <c r="D7178" s="9">
        <v>0</v>
      </c>
      <c r="E7178" s="9"/>
      <c r="F7178" s="257" t="s">
        <v>17600</v>
      </c>
      <c r="G7178" s="9"/>
      <c r="H7178" s="257" t="s">
        <v>25182</v>
      </c>
      <c r="I7178" s="9">
        <v>4</v>
      </c>
    </row>
    <row r="7179" spans="1:9">
      <c r="A7179" s="257" t="s">
        <v>8277</v>
      </c>
      <c r="B7179" s="9">
        <v>10</v>
      </c>
      <c r="C7179" s="257" t="s">
        <v>13721</v>
      </c>
      <c r="D7179" s="9">
        <v>2.8721274540280351E-4</v>
      </c>
      <c r="E7179" s="9"/>
      <c r="F7179" s="257" t="s">
        <v>17601</v>
      </c>
      <c r="G7179" s="9"/>
      <c r="H7179" s="257" t="s">
        <v>25183</v>
      </c>
      <c r="I7179" s="9">
        <v>4</v>
      </c>
    </row>
    <row r="7180" spans="1:9">
      <c r="A7180" s="257" t="s">
        <v>8278</v>
      </c>
      <c r="B7180" s="9">
        <v>10</v>
      </c>
      <c r="C7180" s="257" t="s">
        <v>13721</v>
      </c>
      <c r="D7180" s="9">
        <v>1.7838330406359605E-4</v>
      </c>
      <c r="E7180" s="9"/>
      <c r="F7180" s="257" t="s">
        <v>17602</v>
      </c>
      <c r="G7180" s="9"/>
      <c r="H7180" s="257" t="s">
        <v>25184</v>
      </c>
      <c r="I7180" s="9">
        <v>4</v>
      </c>
    </row>
    <row r="7181" spans="1:9">
      <c r="A7181" s="257" t="s">
        <v>8279</v>
      </c>
      <c r="B7181" s="9">
        <v>10</v>
      </c>
      <c r="C7181" s="257" t="s">
        <v>13721</v>
      </c>
      <c r="D7181" s="9">
        <v>1.0882944133920747E-4</v>
      </c>
      <c r="E7181" s="9"/>
      <c r="F7181" s="257" t="s">
        <v>17603</v>
      </c>
      <c r="G7181" s="9"/>
      <c r="H7181" s="257" t="s">
        <v>25185</v>
      </c>
      <c r="I7181" s="9">
        <v>4</v>
      </c>
    </row>
    <row r="7182" spans="1:9">
      <c r="A7182" s="257" t="s">
        <v>8280</v>
      </c>
      <c r="B7182" s="9">
        <v>10</v>
      </c>
      <c r="C7182" s="257" t="s">
        <v>13721</v>
      </c>
      <c r="D7182" s="9">
        <v>4.2296641589824346E-4</v>
      </c>
      <c r="E7182" s="9"/>
      <c r="F7182" s="257" t="s">
        <v>17604</v>
      </c>
      <c r="G7182" s="9"/>
      <c r="H7182" s="257" t="s">
        <v>25186</v>
      </c>
      <c r="I7182" s="9">
        <v>4</v>
      </c>
    </row>
    <row r="7183" spans="1:9">
      <c r="A7183" s="257" t="s">
        <v>8281</v>
      </c>
      <c r="B7183" s="9">
        <v>10</v>
      </c>
      <c r="C7183" s="257" t="s">
        <v>13721</v>
      </c>
      <c r="D7183" s="9">
        <v>2.2682026109537592E-4</v>
      </c>
      <c r="E7183" s="9"/>
      <c r="F7183" s="257" t="s">
        <v>17605</v>
      </c>
      <c r="G7183" s="9"/>
      <c r="H7183" s="257" t="s">
        <v>25187</v>
      </c>
      <c r="I7183" s="9">
        <v>4</v>
      </c>
    </row>
    <row r="7184" spans="1:9">
      <c r="A7184" s="257" t="s">
        <v>8282</v>
      </c>
      <c r="B7184" s="9">
        <v>10</v>
      </c>
      <c r="C7184" s="257" t="s">
        <v>13721</v>
      </c>
      <c r="D7184" s="9">
        <v>1.0631350314650621E-2</v>
      </c>
      <c r="E7184" s="9"/>
      <c r="F7184" s="257" t="s">
        <v>17606</v>
      </c>
      <c r="G7184" s="9"/>
      <c r="H7184" s="257" t="s">
        <v>25188</v>
      </c>
      <c r="I7184" s="9">
        <v>4</v>
      </c>
    </row>
    <row r="7185" spans="1:9">
      <c r="A7185" s="257" t="s">
        <v>8283</v>
      </c>
      <c r="B7185" s="9">
        <v>10</v>
      </c>
      <c r="C7185" s="257" t="s">
        <v>13721</v>
      </c>
      <c r="D7185" s="9">
        <v>-9.9999336005324006E-4</v>
      </c>
      <c r="E7185" s="9"/>
      <c r="F7185" s="257" t="s">
        <v>17607</v>
      </c>
      <c r="G7185" s="9"/>
      <c r="H7185" s="257" t="s">
        <v>25189</v>
      </c>
      <c r="I7185" s="9">
        <v>4</v>
      </c>
    </row>
    <row r="7186" spans="1:9">
      <c r="A7186" s="257" t="s">
        <v>8284</v>
      </c>
      <c r="B7186" s="9">
        <v>10</v>
      </c>
      <c r="C7186" s="257" t="s">
        <v>13721</v>
      </c>
      <c r="D7186" s="9">
        <v>9.6313569545973809E-3</v>
      </c>
      <c r="E7186" s="9"/>
      <c r="F7186" s="257" t="s">
        <v>17608</v>
      </c>
      <c r="G7186" s="9"/>
      <c r="H7186" s="257" t="s">
        <v>25190</v>
      </c>
      <c r="I7186" s="9">
        <v>4</v>
      </c>
    </row>
    <row r="7187" spans="1:9">
      <c r="A7187" s="257" t="s">
        <v>8285</v>
      </c>
      <c r="B7187" s="9">
        <v>10</v>
      </c>
      <c r="C7187" s="257" t="s">
        <v>13721</v>
      </c>
      <c r="D7187" s="9">
        <v>7.239424036093468E-3</v>
      </c>
      <c r="E7187" s="9"/>
      <c r="F7187" s="257" t="s">
        <v>17609</v>
      </c>
      <c r="G7187" s="9"/>
      <c r="H7187" s="257" t="s">
        <v>25191</v>
      </c>
      <c r="I7187" s="9">
        <v>4</v>
      </c>
    </row>
    <row r="7188" spans="1:9">
      <c r="A7188" s="257" t="s">
        <v>8286</v>
      </c>
      <c r="B7188" s="9">
        <v>10</v>
      </c>
      <c r="C7188" s="257" t="s">
        <v>13721</v>
      </c>
      <c r="D7188" s="9">
        <v>2.3443047247540243E-3</v>
      </c>
      <c r="E7188" s="9"/>
      <c r="F7188" s="257" t="s">
        <v>17610</v>
      </c>
      <c r="G7188" s="9"/>
      <c r="H7188" s="257" t="s">
        <v>25192</v>
      </c>
      <c r="I7188" s="9">
        <v>4</v>
      </c>
    </row>
    <row r="7189" spans="1:9">
      <c r="A7189" s="257" t="s">
        <v>8287</v>
      </c>
      <c r="B7189" s="9">
        <v>10</v>
      </c>
      <c r="C7189" s="257" t="s">
        <v>13721</v>
      </c>
      <c r="D7189" s="9">
        <v>9.5837287608474923E-3</v>
      </c>
      <c r="E7189" s="9"/>
      <c r="F7189" s="257" t="s">
        <v>17611</v>
      </c>
      <c r="G7189" s="9"/>
      <c r="H7189" s="257" t="s">
        <v>25193</v>
      </c>
      <c r="I7189" s="9">
        <v>4</v>
      </c>
    </row>
    <row r="7190" spans="1:9">
      <c r="A7190" s="257" t="s">
        <v>8288</v>
      </c>
      <c r="B7190" s="9">
        <v>10</v>
      </c>
      <c r="C7190" s="257" t="s">
        <v>13721</v>
      </c>
      <c r="D7190" s="9">
        <v>-1.203184325955254E-3</v>
      </c>
      <c r="E7190" s="9"/>
      <c r="F7190" s="257" t="s">
        <v>17612</v>
      </c>
      <c r="G7190" s="9"/>
      <c r="H7190" s="257" t="s">
        <v>25194</v>
      </c>
      <c r="I7190" s="9">
        <v>4</v>
      </c>
    </row>
    <row r="7191" spans="1:9">
      <c r="A7191" s="257" t="s">
        <v>8289</v>
      </c>
      <c r="B7191" s="9">
        <v>10</v>
      </c>
      <c r="C7191" s="257" t="s">
        <v>13721</v>
      </c>
      <c r="D7191" s="9">
        <v>-4.680118201696718E-3</v>
      </c>
      <c r="E7191" s="9"/>
      <c r="F7191" s="257" t="s">
        <v>17613</v>
      </c>
      <c r="G7191" s="9"/>
      <c r="H7191" s="257" t="s">
        <v>25195</v>
      </c>
      <c r="I7191" s="9">
        <v>4</v>
      </c>
    </row>
    <row r="7192" spans="1:9">
      <c r="A7192" s="257" t="s">
        <v>8290</v>
      </c>
      <c r="B7192" s="9">
        <v>1</v>
      </c>
      <c r="C7192" s="257" t="s">
        <v>13722</v>
      </c>
      <c r="D7192" s="9">
        <v>1.6035007145418376E-2</v>
      </c>
      <c r="E7192" s="9"/>
      <c r="F7192" s="257" t="s">
        <v>17614</v>
      </c>
      <c r="G7192" s="9"/>
      <c r="H7192" s="257" t="s">
        <v>25196</v>
      </c>
      <c r="I7192" s="9">
        <v>4</v>
      </c>
    </row>
    <row r="7193" spans="1:9">
      <c r="A7193" s="257" t="s">
        <v>8291</v>
      </c>
      <c r="B7193" s="9">
        <v>1</v>
      </c>
      <c r="C7193" s="257" t="s">
        <v>13722</v>
      </c>
      <c r="D7193" s="9">
        <v>1.6842895163297324E-2</v>
      </c>
      <c r="E7193" s="9"/>
      <c r="F7193" s="257" t="s">
        <v>17615</v>
      </c>
      <c r="G7193" s="9"/>
      <c r="H7193" s="257" t="s">
        <v>25197</v>
      </c>
      <c r="I7193" s="9">
        <v>4</v>
      </c>
    </row>
    <row r="7194" spans="1:9">
      <c r="A7194" s="257" t="s">
        <v>8292</v>
      </c>
      <c r="B7194" s="9">
        <v>1</v>
      </c>
      <c r="C7194" s="257" t="s">
        <v>13722</v>
      </c>
      <c r="D7194" s="9">
        <v>2.4232546992600931E-3</v>
      </c>
      <c r="E7194" s="9"/>
      <c r="F7194" s="257" t="s">
        <v>17616</v>
      </c>
      <c r="G7194" s="9"/>
      <c r="H7194" s="257" t="s">
        <v>25198</v>
      </c>
      <c r="I7194" s="9">
        <v>4</v>
      </c>
    </row>
    <row r="7195" spans="1:9">
      <c r="A7195" s="257" t="s">
        <v>8293</v>
      </c>
      <c r="B7195" s="9">
        <v>1</v>
      </c>
      <c r="C7195" s="257" t="s">
        <v>13722</v>
      </c>
      <c r="D7195" s="9">
        <v>2.1695223399611666E-2</v>
      </c>
      <c r="E7195" s="9"/>
      <c r="F7195" s="257" t="s">
        <v>17617</v>
      </c>
      <c r="G7195" s="9"/>
      <c r="H7195" s="257" t="s">
        <v>25199</v>
      </c>
      <c r="I7195" s="9">
        <v>4</v>
      </c>
    </row>
    <row r="7196" spans="1:9">
      <c r="A7196" s="257" t="s">
        <v>8294</v>
      </c>
      <c r="B7196" s="9">
        <v>1</v>
      </c>
      <c r="C7196" s="257" t="s">
        <v>13722</v>
      </c>
      <c r="D7196" s="9">
        <v>1.9961297769049636E-2</v>
      </c>
      <c r="E7196" s="9"/>
      <c r="F7196" s="257" t="s">
        <v>17618</v>
      </c>
      <c r="G7196" s="9"/>
      <c r="H7196" s="257" t="s">
        <v>25200</v>
      </c>
      <c r="I7196" s="9">
        <v>4</v>
      </c>
    </row>
    <row r="7197" spans="1:9">
      <c r="A7197" s="257" t="s">
        <v>8295</v>
      </c>
      <c r="B7197" s="9">
        <v>1</v>
      </c>
      <c r="C7197" s="257" t="s">
        <v>13722</v>
      </c>
      <c r="D7197" s="9">
        <v>2.0412416639795244E-2</v>
      </c>
      <c r="E7197" s="9"/>
      <c r="F7197" s="257" t="s">
        <v>17619</v>
      </c>
      <c r="G7197" s="9"/>
      <c r="H7197" s="257" t="s">
        <v>25201</v>
      </c>
      <c r="I7197" s="9">
        <v>4</v>
      </c>
    </row>
    <row r="7198" spans="1:9">
      <c r="A7198" s="257" t="s">
        <v>8296</v>
      </c>
      <c r="B7198" s="9">
        <v>1</v>
      </c>
      <c r="C7198" s="257" t="s">
        <v>13722</v>
      </c>
      <c r="D7198" s="9">
        <v>4.3997527961857309E-3</v>
      </c>
      <c r="E7198" s="9"/>
      <c r="F7198" s="257" t="s">
        <v>17620</v>
      </c>
      <c r="G7198" s="9"/>
      <c r="H7198" s="257" t="s">
        <v>25202</v>
      </c>
      <c r="I7198" s="9">
        <v>4</v>
      </c>
    </row>
    <row r="7199" spans="1:9">
      <c r="A7199" s="257" t="s">
        <v>8297</v>
      </c>
      <c r="B7199" s="9">
        <v>1</v>
      </c>
      <c r="C7199" s="257" t="s">
        <v>13722</v>
      </c>
      <c r="D7199" s="9">
        <v>4.5338820082007755E-3</v>
      </c>
      <c r="E7199" s="9"/>
      <c r="F7199" s="257" t="s">
        <v>17621</v>
      </c>
      <c r="G7199" s="9"/>
      <c r="H7199" s="257" t="s">
        <v>25203</v>
      </c>
      <c r="I7199" s="9">
        <v>4</v>
      </c>
    </row>
    <row r="7200" spans="1:9">
      <c r="A7200" s="257" t="s">
        <v>8298</v>
      </c>
      <c r="B7200" s="9">
        <v>1</v>
      </c>
      <c r="C7200" s="257" t="s">
        <v>13722</v>
      </c>
      <c r="D7200" s="9">
        <v>5.8260644026284199E-3</v>
      </c>
      <c r="E7200" s="9"/>
      <c r="F7200" s="257" t="s">
        <v>17622</v>
      </c>
      <c r="G7200" s="9"/>
      <c r="H7200" s="257" t="s">
        <v>25204</v>
      </c>
      <c r="I7200" s="9">
        <v>4</v>
      </c>
    </row>
    <row r="7201" spans="1:9">
      <c r="A7201" s="257" t="s">
        <v>8299</v>
      </c>
      <c r="B7201" s="9">
        <v>1</v>
      </c>
      <c r="C7201" s="257" t="s">
        <v>13722</v>
      </c>
      <c r="D7201" s="9">
        <v>5.9601936146434628E-3</v>
      </c>
      <c r="E7201" s="9"/>
      <c r="F7201" s="257" t="s">
        <v>17623</v>
      </c>
      <c r="G7201" s="9"/>
      <c r="H7201" s="257" t="s">
        <v>25205</v>
      </c>
      <c r="I7201" s="9">
        <v>4</v>
      </c>
    </row>
    <row r="7202" spans="1:9">
      <c r="A7202" s="257" t="s">
        <v>8300</v>
      </c>
      <c r="B7202" s="9">
        <v>1</v>
      </c>
      <c r="C7202" s="257" t="s">
        <v>13722</v>
      </c>
      <c r="D7202" s="9">
        <v>-1.0216832321536997E-2</v>
      </c>
      <c r="E7202" s="9"/>
      <c r="F7202" s="257" t="s">
        <v>17624</v>
      </c>
      <c r="G7202" s="9"/>
      <c r="H7202" s="257" t="s">
        <v>25206</v>
      </c>
      <c r="I7202" s="9">
        <v>4</v>
      </c>
    </row>
    <row r="7203" spans="1:9">
      <c r="A7203" s="257" t="s">
        <v>8301</v>
      </c>
      <c r="B7203" s="9">
        <v>1</v>
      </c>
      <c r="C7203" s="257" t="s">
        <v>13722</v>
      </c>
      <c r="D7203" s="9"/>
      <c r="E7203" s="9"/>
      <c r="F7203" s="257" t="s">
        <v>17625</v>
      </c>
      <c r="G7203" s="9"/>
      <c r="H7203" s="257" t="s">
        <v>25207</v>
      </c>
      <c r="I7203" s="9">
        <v>4</v>
      </c>
    </row>
    <row r="7204" spans="1:9">
      <c r="A7204" s="257" t="s">
        <v>8302</v>
      </c>
      <c r="B7204" s="9">
        <v>1</v>
      </c>
      <c r="C7204" s="257" t="s">
        <v>13722</v>
      </c>
      <c r="D7204" s="9">
        <v>2.2046746606577416E-2</v>
      </c>
      <c r="E7204" s="9"/>
      <c r="F7204" s="257" t="s">
        <v>17626</v>
      </c>
      <c r="G7204" s="9"/>
      <c r="H7204" s="257" t="s">
        <v>25208</v>
      </c>
      <c r="I7204" s="9">
        <v>4</v>
      </c>
    </row>
    <row r="7205" spans="1:9">
      <c r="A7205" s="257" t="s">
        <v>8303</v>
      </c>
      <c r="B7205" s="9">
        <v>1</v>
      </c>
      <c r="C7205" s="257" t="s">
        <v>13722</v>
      </c>
      <c r="D7205" s="9">
        <v>5.4237000445413609E-2</v>
      </c>
      <c r="E7205" s="9"/>
      <c r="F7205" s="257" t="s">
        <v>17627</v>
      </c>
      <c r="G7205" s="9"/>
      <c r="H7205" s="257" t="s">
        <v>25209</v>
      </c>
      <c r="I7205" s="9">
        <v>4</v>
      </c>
    </row>
    <row r="7206" spans="1:9">
      <c r="A7206" s="257" t="s">
        <v>8304</v>
      </c>
      <c r="B7206" s="9">
        <v>1</v>
      </c>
      <c r="C7206" s="257" t="s">
        <v>13722</v>
      </c>
      <c r="D7206" s="9">
        <v>1.7041900609879385E-2</v>
      </c>
      <c r="E7206" s="9"/>
      <c r="F7206" s="257" t="s">
        <v>17628</v>
      </c>
      <c r="G7206" s="9"/>
      <c r="H7206" s="257" t="s">
        <v>25210</v>
      </c>
      <c r="I7206" s="9">
        <v>4</v>
      </c>
    </row>
    <row r="7207" spans="1:9">
      <c r="A7207" s="257" t="s">
        <v>8305</v>
      </c>
      <c r="B7207" s="9">
        <v>1</v>
      </c>
      <c r="C7207" s="257" t="s">
        <v>13722</v>
      </c>
      <c r="D7207" s="9">
        <v>8.0219799768861395E-4</v>
      </c>
      <c r="E7207" s="9"/>
      <c r="F7207" s="257" t="s">
        <v>17629</v>
      </c>
      <c r="G7207" s="9"/>
      <c r="H7207" s="257" t="s">
        <v>25211</v>
      </c>
      <c r="I7207" s="9">
        <v>4</v>
      </c>
    </row>
    <row r="7208" spans="1:9">
      <c r="A7208" s="257" t="s">
        <v>8306</v>
      </c>
      <c r="B7208" s="9">
        <v>1</v>
      </c>
      <c r="C7208" s="257" t="s">
        <v>13722</v>
      </c>
      <c r="D7208" s="9">
        <v>7.2420527462576767E-4</v>
      </c>
      <c r="E7208" s="9"/>
      <c r="F7208" s="257" t="s">
        <v>17630</v>
      </c>
      <c r="G7208" s="9"/>
      <c r="H7208" s="257" t="s">
        <v>25212</v>
      </c>
      <c r="I7208" s="9">
        <v>4</v>
      </c>
    </row>
    <row r="7209" spans="1:9">
      <c r="A7209" s="257" t="s">
        <v>8307</v>
      </c>
      <c r="B7209" s="9">
        <v>1</v>
      </c>
      <c r="C7209" s="257" t="s">
        <v>13722</v>
      </c>
      <c r="D7209" s="9">
        <v>1.7725662570240674E-2</v>
      </c>
      <c r="E7209" s="9"/>
      <c r="F7209" s="257" t="s">
        <v>17631</v>
      </c>
      <c r="G7209" s="9"/>
      <c r="H7209" s="257" t="s">
        <v>25213</v>
      </c>
      <c r="I7209" s="9">
        <v>4</v>
      </c>
    </row>
    <row r="7210" spans="1:9">
      <c r="A7210" s="257" t="s">
        <v>8308</v>
      </c>
      <c r="B7210" s="9">
        <v>1</v>
      </c>
      <c r="C7210" s="257" t="s">
        <v>13722</v>
      </c>
      <c r="D7210" s="9"/>
      <c r="E7210" s="9"/>
      <c r="F7210" s="257" t="s">
        <v>17632</v>
      </c>
      <c r="G7210" s="9"/>
      <c r="H7210" s="257" t="s">
        <v>25214</v>
      </c>
      <c r="I7210" s="9">
        <v>4</v>
      </c>
    </row>
    <row r="7211" spans="1:9">
      <c r="A7211" s="257" t="s">
        <v>8309</v>
      </c>
      <c r="B7211" s="9">
        <v>1</v>
      </c>
      <c r="C7211" s="257" t="s">
        <v>13722</v>
      </c>
      <c r="D7211" s="9">
        <v>1.7036138517910273E-2</v>
      </c>
      <c r="E7211" s="9"/>
      <c r="F7211" s="257" t="s">
        <v>17633</v>
      </c>
      <c r="G7211" s="9"/>
      <c r="H7211" s="257" t="s">
        <v>25215</v>
      </c>
      <c r="I7211" s="9">
        <v>4</v>
      </c>
    </row>
    <row r="7212" spans="1:9">
      <c r="A7212" s="257" t="s">
        <v>8310</v>
      </c>
      <c r="B7212" s="9">
        <v>1</v>
      </c>
      <c r="C7212" s="257" t="s">
        <v>13722</v>
      </c>
      <c r="D7212" s="9">
        <v>1.4404134110567899E-2</v>
      </c>
      <c r="E7212" s="9"/>
      <c r="F7212" s="257" t="s">
        <v>17634</v>
      </c>
      <c r="G7212" s="9"/>
      <c r="H7212" s="257" t="s">
        <v>25216</v>
      </c>
      <c r="I7212" s="9">
        <v>4</v>
      </c>
    </row>
    <row r="7213" spans="1:9">
      <c r="A7213" s="257" t="s">
        <v>8311</v>
      </c>
      <c r="B7213" s="9">
        <v>1</v>
      </c>
      <c r="C7213" s="257" t="s">
        <v>13722</v>
      </c>
      <c r="D7213" s="9">
        <v>1.8816180557556252E-3</v>
      </c>
      <c r="E7213" s="9"/>
      <c r="F7213" s="257" t="s">
        <v>17635</v>
      </c>
      <c r="G7213" s="9"/>
      <c r="H7213" s="257" t="s">
        <v>25217</v>
      </c>
      <c r="I7213" s="9">
        <v>4</v>
      </c>
    </row>
    <row r="7214" spans="1:9">
      <c r="A7214" s="257" t="s">
        <v>8312</v>
      </c>
      <c r="B7214" s="9">
        <v>1</v>
      </c>
      <c r="C7214" s="257" t="s">
        <v>13722</v>
      </c>
      <c r="D7214" s="9">
        <v>3.8174882409480085E-3</v>
      </c>
      <c r="E7214" s="9"/>
      <c r="F7214" s="257" t="s">
        <v>17636</v>
      </c>
      <c r="G7214" s="9"/>
      <c r="H7214" s="257" t="s">
        <v>25218</v>
      </c>
      <c r="I7214" s="9">
        <v>4</v>
      </c>
    </row>
    <row r="7215" spans="1:9">
      <c r="A7215" s="257" t="s">
        <v>8313</v>
      </c>
      <c r="B7215" s="9">
        <v>1</v>
      </c>
      <c r="C7215" s="257" t="s">
        <v>13722</v>
      </c>
      <c r="D7215" s="9">
        <v>-4.1811396696295501E-3</v>
      </c>
      <c r="E7215" s="9"/>
      <c r="F7215" s="257" t="s">
        <v>17637</v>
      </c>
      <c r="G7215" s="9"/>
      <c r="H7215" s="257" t="s">
        <v>25219</v>
      </c>
      <c r="I7215" s="9">
        <v>4</v>
      </c>
    </row>
    <row r="7216" spans="1:9">
      <c r="A7216" s="257" t="s">
        <v>8314</v>
      </c>
      <c r="B7216" s="9">
        <v>1</v>
      </c>
      <c r="C7216" s="257" t="s">
        <v>13722</v>
      </c>
      <c r="D7216" s="9">
        <v>-1.0374004966623836E-2</v>
      </c>
      <c r="E7216" s="9"/>
      <c r="F7216" s="257" t="s">
        <v>17638</v>
      </c>
      <c r="G7216" s="9"/>
      <c r="H7216" s="257" t="s">
        <v>25220</v>
      </c>
      <c r="I7216" s="9">
        <v>4</v>
      </c>
    </row>
    <row r="7217" spans="1:9">
      <c r="A7217" s="257" t="s">
        <v>8315</v>
      </c>
      <c r="B7217" s="9">
        <v>2</v>
      </c>
      <c r="C7217" s="257" t="s">
        <v>13722</v>
      </c>
      <c r="D7217" s="9">
        <v>1.2911266679476709E-2</v>
      </c>
      <c r="E7217" s="9"/>
      <c r="F7217" s="257" t="s">
        <v>17639</v>
      </c>
      <c r="G7217" s="9"/>
      <c r="H7217" s="257" t="s">
        <v>25221</v>
      </c>
      <c r="I7217" s="9">
        <v>4</v>
      </c>
    </row>
    <row r="7218" spans="1:9">
      <c r="A7218" s="257" t="s">
        <v>8316</v>
      </c>
      <c r="B7218" s="9">
        <v>2</v>
      </c>
      <c r="C7218" s="257" t="s">
        <v>13722</v>
      </c>
      <c r="D7218" s="9">
        <v>1.3571821507778092E-2</v>
      </c>
      <c r="E7218" s="9"/>
      <c r="F7218" s="257" t="s">
        <v>17640</v>
      </c>
      <c r="G7218" s="9"/>
      <c r="H7218" s="257" t="s">
        <v>25222</v>
      </c>
      <c r="I7218" s="9">
        <v>4</v>
      </c>
    </row>
    <row r="7219" spans="1:9">
      <c r="A7219" s="257" t="s">
        <v>8317</v>
      </c>
      <c r="B7219" s="9">
        <v>2</v>
      </c>
      <c r="C7219" s="257" t="s">
        <v>13722</v>
      </c>
      <c r="D7219" s="9">
        <v>2.9511846795462243E-3</v>
      </c>
      <c r="E7219" s="9"/>
      <c r="F7219" s="257" t="s">
        <v>17641</v>
      </c>
      <c r="G7219" s="9"/>
      <c r="H7219" s="257" t="s">
        <v>25223</v>
      </c>
      <c r="I7219" s="9">
        <v>4</v>
      </c>
    </row>
    <row r="7220" spans="1:9">
      <c r="A7220" s="257" t="s">
        <v>8318</v>
      </c>
      <c r="B7220" s="9">
        <v>2</v>
      </c>
      <c r="C7220" s="257" t="s">
        <v>13722</v>
      </c>
      <c r="D7220" s="9">
        <v>1.7875552253947963E-2</v>
      </c>
      <c r="E7220" s="9"/>
      <c r="F7220" s="257" t="s">
        <v>17642</v>
      </c>
      <c r="G7220" s="9"/>
      <c r="H7220" s="257" t="s">
        <v>25224</v>
      </c>
      <c r="I7220" s="9">
        <v>4</v>
      </c>
    </row>
    <row r="7221" spans="1:9">
      <c r="A7221" s="257" t="s">
        <v>8319</v>
      </c>
      <c r="B7221" s="9">
        <v>2</v>
      </c>
      <c r="C7221" s="257" t="s">
        <v>13722</v>
      </c>
      <c r="D7221" s="9">
        <v>1.4589880230316725E-2</v>
      </c>
      <c r="E7221" s="9"/>
      <c r="F7221" s="257" t="s">
        <v>17643</v>
      </c>
      <c r="G7221" s="9"/>
      <c r="H7221" s="257" t="s">
        <v>25225</v>
      </c>
      <c r="I7221" s="9">
        <v>4</v>
      </c>
    </row>
    <row r="7222" spans="1:9">
      <c r="A7222" s="257" t="s">
        <v>8320</v>
      </c>
      <c r="B7222" s="9">
        <v>2</v>
      </c>
      <c r="C7222" s="257" t="s">
        <v>13722</v>
      </c>
      <c r="D7222" s="9">
        <v>1.6509506127094467E-2</v>
      </c>
      <c r="E7222" s="9"/>
      <c r="F7222" s="257" t="s">
        <v>17644</v>
      </c>
      <c r="G7222" s="9"/>
      <c r="H7222" s="257" t="s">
        <v>25226</v>
      </c>
      <c r="I7222" s="9">
        <v>4</v>
      </c>
    </row>
    <row r="7223" spans="1:9">
      <c r="A7223" s="257" t="s">
        <v>8321</v>
      </c>
      <c r="B7223" s="9">
        <v>2</v>
      </c>
      <c r="C7223" s="257" t="s">
        <v>13722</v>
      </c>
      <c r="D7223" s="9">
        <v>5.7324961056761997E-3</v>
      </c>
      <c r="E7223" s="9"/>
      <c r="F7223" s="257" t="s">
        <v>17645</v>
      </c>
      <c r="G7223" s="9"/>
      <c r="H7223" s="257" t="s">
        <v>25227</v>
      </c>
      <c r="I7223" s="9">
        <v>4</v>
      </c>
    </row>
    <row r="7224" spans="1:9">
      <c r="A7224" s="257" t="s">
        <v>8322</v>
      </c>
      <c r="B7224" s="9">
        <v>2</v>
      </c>
      <c r="C7224" s="257" t="s">
        <v>13722</v>
      </c>
      <c r="D7224" s="9">
        <v>5.9084018502074233E-3</v>
      </c>
      <c r="E7224" s="9"/>
      <c r="F7224" s="257" t="s">
        <v>17646</v>
      </c>
      <c r="G7224" s="9"/>
      <c r="H7224" s="257" t="s">
        <v>25228</v>
      </c>
      <c r="I7224" s="9">
        <v>4</v>
      </c>
    </row>
    <row r="7225" spans="1:9">
      <c r="A7225" s="257" t="s">
        <v>8323</v>
      </c>
      <c r="B7225" s="9">
        <v>2</v>
      </c>
      <c r="C7225" s="257" t="s">
        <v>13722</v>
      </c>
      <c r="D7225" s="9">
        <v>7.8395020184062383E-3</v>
      </c>
      <c r="E7225" s="9"/>
      <c r="F7225" s="257" t="s">
        <v>17647</v>
      </c>
      <c r="G7225" s="9"/>
      <c r="H7225" s="257" t="s">
        <v>25229</v>
      </c>
      <c r="I7225" s="9">
        <v>4</v>
      </c>
    </row>
    <row r="7226" spans="1:9">
      <c r="A7226" s="257" t="s">
        <v>8324</v>
      </c>
      <c r="B7226" s="9">
        <v>2</v>
      </c>
      <c r="C7226" s="257" t="s">
        <v>13722</v>
      </c>
      <c r="D7226" s="9">
        <v>8.0154077629374619E-3</v>
      </c>
      <c r="E7226" s="9"/>
      <c r="F7226" s="257" t="s">
        <v>17648</v>
      </c>
      <c r="G7226" s="9"/>
      <c r="H7226" s="257" t="s">
        <v>25230</v>
      </c>
      <c r="I7226" s="9">
        <v>4</v>
      </c>
    </row>
    <row r="7227" spans="1:9">
      <c r="A7227" s="257" t="s">
        <v>8325</v>
      </c>
      <c r="B7227" s="9">
        <v>2</v>
      </c>
      <c r="C7227" s="257" t="s">
        <v>13722</v>
      </c>
      <c r="D7227" s="9">
        <v>-8.9384979706558579E-3</v>
      </c>
      <c r="E7227" s="9"/>
      <c r="F7227" s="257" t="s">
        <v>17649</v>
      </c>
      <c r="G7227" s="9"/>
      <c r="H7227" s="257" t="s">
        <v>25231</v>
      </c>
      <c r="I7227" s="9">
        <v>4</v>
      </c>
    </row>
    <row r="7228" spans="1:9">
      <c r="A7228" s="257" t="s">
        <v>8326</v>
      </c>
      <c r="B7228" s="9">
        <v>2</v>
      </c>
      <c r="C7228" s="257" t="s">
        <v>13722</v>
      </c>
      <c r="D7228" s="9"/>
      <c r="E7228" s="9"/>
      <c r="F7228" s="257" t="s">
        <v>17650</v>
      </c>
      <c r="G7228" s="9"/>
      <c r="H7228" s="257" t="s">
        <v>25232</v>
      </c>
      <c r="I7228" s="9">
        <v>4</v>
      </c>
    </row>
    <row r="7229" spans="1:9">
      <c r="A7229" s="257" t="s">
        <v>8327</v>
      </c>
      <c r="B7229" s="9">
        <v>2</v>
      </c>
      <c r="C7229" s="257" t="s">
        <v>13722</v>
      </c>
      <c r="D7229" s="9">
        <v>1.8692245091684701E-2</v>
      </c>
      <c r="E7229" s="9"/>
      <c r="F7229" s="257" t="s">
        <v>17651</v>
      </c>
      <c r="G7229" s="9"/>
      <c r="H7229" s="257" t="s">
        <v>25233</v>
      </c>
      <c r="I7229" s="9">
        <v>4</v>
      </c>
    </row>
    <row r="7230" spans="1:9">
      <c r="A7230" s="257" t="s">
        <v>8328</v>
      </c>
      <c r="B7230" s="9">
        <v>2</v>
      </c>
      <c r="C7230" s="257" t="s">
        <v>13722</v>
      </c>
      <c r="D7230" s="9">
        <v>3.6700607528846213E-2</v>
      </c>
      <c r="E7230" s="9"/>
      <c r="F7230" s="257" t="s">
        <v>17652</v>
      </c>
      <c r="G7230" s="9"/>
      <c r="H7230" s="257" t="s">
        <v>25234</v>
      </c>
      <c r="I7230" s="9">
        <v>4</v>
      </c>
    </row>
    <row r="7231" spans="1:9">
      <c r="A7231" s="257" t="s">
        <v>8329</v>
      </c>
      <c r="B7231" s="9">
        <v>2</v>
      </c>
      <c r="C7231" s="257" t="s">
        <v>13722</v>
      </c>
      <c r="D7231" s="9">
        <v>1.165225230592527E-2</v>
      </c>
      <c r="E7231" s="9"/>
      <c r="F7231" s="257" t="s">
        <v>17653</v>
      </c>
      <c r="G7231" s="9"/>
      <c r="H7231" s="257" t="s">
        <v>25235</v>
      </c>
      <c r="I7231" s="9">
        <v>4</v>
      </c>
    </row>
    <row r="7232" spans="1:9">
      <c r="A7232" s="257" t="s">
        <v>8330</v>
      </c>
      <c r="B7232" s="9">
        <v>2</v>
      </c>
      <c r="C7232" s="257" t="s">
        <v>13722</v>
      </c>
      <c r="D7232" s="9">
        <v>6.6048441410453379E-4</v>
      </c>
      <c r="E7232" s="9"/>
      <c r="F7232" s="257" t="s">
        <v>17654</v>
      </c>
      <c r="G7232" s="9"/>
      <c r="H7232" s="257" t="s">
        <v>25236</v>
      </c>
      <c r="I7232" s="9">
        <v>4</v>
      </c>
    </row>
    <row r="7233" spans="1:9">
      <c r="A7233" s="257" t="s">
        <v>8331</v>
      </c>
      <c r="B7233" s="9">
        <v>2</v>
      </c>
      <c r="C7233" s="257" t="s">
        <v>13722</v>
      </c>
      <c r="D7233" s="9">
        <v>7.216083461529378E-4</v>
      </c>
      <c r="E7233" s="9"/>
      <c r="F7233" s="257" t="s">
        <v>17655</v>
      </c>
      <c r="G7233" s="9"/>
      <c r="H7233" s="257" t="s">
        <v>25237</v>
      </c>
      <c r="I7233" s="9">
        <v>4</v>
      </c>
    </row>
    <row r="7234" spans="1:9">
      <c r="A7234" s="257" t="s">
        <v>8332</v>
      </c>
      <c r="B7234" s="9">
        <v>2</v>
      </c>
      <c r="C7234" s="257" t="s">
        <v>13722</v>
      </c>
      <c r="D7234" s="9">
        <v>1.4960886080198084E-2</v>
      </c>
      <c r="E7234" s="9"/>
      <c r="F7234" s="257" t="s">
        <v>17656</v>
      </c>
      <c r="G7234" s="9"/>
      <c r="H7234" s="257" t="s">
        <v>25238</v>
      </c>
      <c r="I7234" s="9">
        <v>4</v>
      </c>
    </row>
    <row r="7235" spans="1:9">
      <c r="A7235" s="257" t="s">
        <v>8333</v>
      </c>
      <c r="B7235" s="9">
        <v>2</v>
      </c>
      <c r="C7235" s="257" t="s">
        <v>13722</v>
      </c>
      <c r="D7235" s="9"/>
      <c r="E7235" s="9"/>
      <c r="F7235" s="257" t="s">
        <v>17657</v>
      </c>
      <c r="G7235" s="9"/>
      <c r="H7235" s="257" t="s">
        <v>25239</v>
      </c>
      <c r="I7235" s="9">
        <v>4</v>
      </c>
    </row>
    <row r="7236" spans="1:9">
      <c r="A7236" s="257" t="s">
        <v>8334</v>
      </c>
      <c r="B7236" s="9">
        <v>2</v>
      </c>
      <c r="C7236" s="257" t="s">
        <v>13722</v>
      </c>
      <c r="D7236" s="9">
        <v>1.4167935510024997E-2</v>
      </c>
      <c r="E7236" s="9"/>
      <c r="F7236" s="257" t="s">
        <v>17658</v>
      </c>
      <c r="G7236" s="9"/>
      <c r="H7236" s="257" t="s">
        <v>25240</v>
      </c>
      <c r="I7236" s="9">
        <v>4</v>
      </c>
    </row>
    <row r="7237" spans="1:9">
      <c r="A7237" s="257" t="s">
        <v>8335</v>
      </c>
      <c r="B7237" s="9">
        <v>2</v>
      </c>
      <c r="C7237" s="257" t="s">
        <v>13722</v>
      </c>
      <c r="D7237" s="9">
        <v>1.3216938575590352E-2</v>
      </c>
      <c r="E7237" s="9"/>
      <c r="F7237" s="257" t="s">
        <v>17659</v>
      </c>
      <c r="G7237" s="9"/>
      <c r="H7237" s="257" t="s">
        <v>25241</v>
      </c>
      <c r="I7237" s="9">
        <v>4</v>
      </c>
    </row>
    <row r="7238" spans="1:9">
      <c r="A7238" s="257" t="s">
        <v>8336</v>
      </c>
      <c r="B7238" s="9">
        <v>2</v>
      </c>
      <c r="C7238" s="257" t="s">
        <v>13722</v>
      </c>
      <c r="D7238" s="9">
        <v>2.0610234845853132E-3</v>
      </c>
      <c r="E7238" s="9"/>
      <c r="F7238" s="257" t="s">
        <v>17660</v>
      </c>
      <c r="G7238" s="9"/>
      <c r="H7238" s="257" t="s">
        <v>25242</v>
      </c>
      <c r="I7238" s="9">
        <v>4</v>
      </c>
    </row>
    <row r="7239" spans="1:9">
      <c r="A7239" s="257" t="s">
        <v>8337</v>
      </c>
      <c r="B7239" s="9">
        <v>2</v>
      </c>
      <c r="C7239" s="257" t="s">
        <v>13722</v>
      </c>
      <c r="D7239" s="9">
        <v>4.8994784635849964E-3</v>
      </c>
      <c r="E7239" s="9"/>
      <c r="F7239" s="257" t="s">
        <v>17661</v>
      </c>
      <c r="G7239" s="9"/>
      <c r="H7239" s="257" t="s">
        <v>25243</v>
      </c>
      <c r="I7239" s="9">
        <v>4</v>
      </c>
    </row>
    <row r="7240" spans="1:9">
      <c r="A7240" s="257" t="s">
        <v>8338</v>
      </c>
      <c r="B7240" s="9">
        <v>2</v>
      </c>
      <c r="C7240" s="257" t="s">
        <v>13722</v>
      </c>
      <c r="D7240" s="9">
        <v>-5.3729632119318537E-3</v>
      </c>
      <c r="E7240" s="9"/>
      <c r="F7240" s="257" t="s">
        <v>17662</v>
      </c>
      <c r="G7240" s="9"/>
      <c r="H7240" s="257" t="s">
        <v>25244</v>
      </c>
      <c r="I7240" s="9">
        <v>4</v>
      </c>
    </row>
    <row r="7241" spans="1:9">
      <c r="A7241" s="257" t="s">
        <v>8339</v>
      </c>
      <c r="B7241" s="9">
        <v>2</v>
      </c>
      <c r="C7241" s="257" t="s">
        <v>13722</v>
      </c>
      <c r="D7241" s="9">
        <v>-9.072005531657162E-3</v>
      </c>
      <c r="E7241" s="9"/>
      <c r="F7241" s="257" t="s">
        <v>17663</v>
      </c>
      <c r="G7241" s="9"/>
      <c r="H7241" s="257" t="s">
        <v>25245</v>
      </c>
      <c r="I7241" s="9">
        <v>4</v>
      </c>
    </row>
    <row r="7242" spans="1:9">
      <c r="A7242" s="257" t="s">
        <v>8340</v>
      </c>
      <c r="B7242" s="9">
        <v>3</v>
      </c>
      <c r="C7242" s="257" t="s">
        <v>13722</v>
      </c>
      <c r="D7242" s="9">
        <v>1.2894142069780443E-2</v>
      </c>
      <c r="E7242" s="9"/>
      <c r="F7242" s="257" t="s">
        <v>17664</v>
      </c>
      <c r="G7242" s="9"/>
      <c r="H7242" s="257" t="s">
        <v>25246</v>
      </c>
      <c r="I7242" s="9">
        <v>4</v>
      </c>
    </row>
    <row r="7243" spans="1:9">
      <c r="A7243" s="257" t="s">
        <v>8341</v>
      </c>
      <c r="B7243" s="9">
        <v>3</v>
      </c>
      <c r="C7243" s="257" t="s">
        <v>13722</v>
      </c>
      <c r="D7243" s="9">
        <v>1.354625533722542E-2</v>
      </c>
      <c r="E7243" s="9"/>
      <c r="F7243" s="257" t="s">
        <v>17665</v>
      </c>
      <c r="G7243" s="9"/>
      <c r="H7243" s="257" t="s">
        <v>25247</v>
      </c>
      <c r="I7243" s="9">
        <v>4</v>
      </c>
    </row>
    <row r="7244" spans="1:9">
      <c r="A7244" s="257" t="s">
        <v>8342</v>
      </c>
      <c r="B7244" s="9">
        <v>3</v>
      </c>
      <c r="C7244" s="257" t="s">
        <v>13722</v>
      </c>
      <c r="D7244" s="9">
        <v>2.9871158285149357E-3</v>
      </c>
      <c r="E7244" s="9"/>
      <c r="F7244" s="257" t="s">
        <v>17666</v>
      </c>
      <c r="G7244" s="9"/>
      <c r="H7244" s="257" t="s">
        <v>25248</v>
      </c>
      <c r="I7244" s="9">
        <v>4</v>
      </c>
    </row>
    <row r="7245" spans="1:9">
      <c r="A7245" s="257" t="s">
        <v>8343</v>
      </c>
      <c r="B7245" s="9">
        <v>3</v>
      </c>
      <c r="C7245" s="257" t="s">
        <v>13722</v>
      </c>
      <c r="D7245" s="9">
        <v>1.3220439711003526E-2</v>
      </c>
      <c r="E7245" s="9"/>
      <c r="F7245" s="257" t="s">
        <v>17667</v>
      </c>
      <c r="G7245" s="9"/>
      <c r="H7245" s="257" t="s">
        <v>25249</v>
      </c>
      <c r="I7245" s="9">
        <v>4</v>
      </c>
    </row>
    <row r="7246" spans="1:9">
      <c r="A7246" s="257" t="s">
        <v>8344</v>
      </c>
      <c r="B7246" s="9">
        <v>3</v>
      </c>
      <c r="C7246" s="257" t="s">
        <v>13722</v>
      </c>
      <c r="D7246" s="9">
        <v>1.0454817370448228E-2</v>
      </c>
      <c r="E7246" s="9"/>
      <c r="F7246" s="257" t="s">
        <v>17668</v>
      </c>
      <c r="G7246" s="9"/>
      <c r="H7246" s="257" t="s">
        <v>25250</v>
      </c>
      <c r="I7246" s="9">
        <v>4</v>
      </c>
    </row>
    <row r="7247" spans="1:9">
      <c r="A7247" s="257" t="s">
        <v>8345</v>
      </c>
      <c r="B7247" s="9">
        <v>3</v>
      </c>
      <c r="C7247" s="257" t="s">
        <v>13722</v>
      </c>
      <c r="D7247" s="9">
        <v>1.4818368466712705E-2</v>
      </c>
      <c r="E7247" s="9"/>
      <c r="F7247" s="257" t="s">
        <v>17669</v>
      </c>
      <c r="G7247" s="9"/>
      <c r="H7247" s="257" t="s">
        <v>25251</v>
      </c>
      <c r="I7247" s="9">
        <v>4</v>
      </c>
    </row>
    <row r="7248" spans="1:9">
      <c r="A7248" s="257" t="s">
        <v>8346</v>
      </c>
      <c r="B7248" s="9">
        <v>3</v>
      </c>
      <c r="C7248" s="257" t="s">
        <v>13722</v>
      </c>
      <c r="D7248" s="9">
        <v>6.8868253090581671E-3</v>
      </c>
      <c r="E7248" s="9"/>
      <c r="F7248" s="257" t="s">
        <v>17670</v>
      </c>
      <c r="G7248" s="9"/>
      <c r="H7248" s="257" t="s">
        <v>25252</v>
      </c>
      <c r="I7248" s="9">
        <v>4</v>
      </c>
    </row>
    <row r="7249" spans="1:9">
      <c r="A7249" s="257" t="s">
        <v>8347</v>
      </c>
      <c r="B7249" s="9">
        <v>3</v>
      </c>
      <c r="C7249" s="257" t="s">
        <v>13722</v>
      </c>
      <c r="D7249" s="9">
        <v>7.1135399831102775E-3</v>
      </c>
      <c r="E7249" s="9"/>
      <c r="F7249" s="257" t="s">
        <v>17671</v>
      </c>
      <c r="G7249" s="9"/>
      <c r="H7249" s="257" t="s">
        <v>25253</v>
      </c>
      <c r="I7249" s="9">
        <v>4</v>
      </c>
    </row>
    <row r="7250" spans="1:9">
      <c r="A7250" s="257" t="s">
        <v>8348</v>
      </c>
      <c r="B7250" s="9">
        <v>3</v>
      </c>
      <c r="C7250" s="257" t="s">
        <v>13722</v>
      </c>
      <c r="D7250" s="9">
        <v>8.7559282459016598E-3</v>
      </c>
      <c r="E7250" s="9"/>
      <c r="F7250" s="257" t="s">
        <v>17672</v>
      </c>
      <c r="G7250" s="9"/>
      <c r="H7250" s="257" t="s">
        <v>25254</v>
      </c>
      <c r="I7250" s="9">
        <v>4</v>
      </c>
    </row>
    <row r="7251" spans="1:9">
      <c r="A7251" s="257" t="s">
        <v>8349</v>
      </c>
      <c r="B7251" s="9">
        <v>3</v>
      </c>
      <c r="C7251" s="257" t="s">
        <v>13722</v>
      </c>
      <c r="D7251" s="9">
        <v>8.9826429199537719E-3</v>
      </c>
      <c r="E7251" s="9"/>
      <c r="F7251" s="257" t="s">
        <v>17673</v>
      </c>
      <c r="G7251" s="9"/>
      <c r="H7251" s="257" t="s">
        <v>25255</v>
      </c>
      <c r="I7251" s="9">
        <v>4</v>
      </c>
    </row>
    <row r="7252" spans="1:9">
      <c r="A7252" s="257" t="s">
        <v>8350</v>
      </c>
      <c r="B7252" s="9">
        <v>3</v>
      </c>
      <c r="C7252" s="257" t="s">
        <v>13722</v>
      </c>
      <c r="D7252" s="9">
        <v>-5.4191914152736291E-3</v>
      </c>
      <c r="E7252" s="9"/>
      <c r="F7252" s="257" t="s">
        <v>17674</v>
      </c>
      <c r="G7252" s="9"/>
      <c r="H7252" s="257" t="s">
        <v>25256</v>
      </c>
      <c r="I7252" s="9">
        <v>4</v>
      </c>
    </row>
    <row r="7253" spans="1:9">
      <c r="A7253" s="257" t="s">
        <v>8351</v>
      </c>
      <c r="B7253" s="9">
        <v>3</v>
      </c>
      <c r="C7253" s="257" t="s">
        <v>13722</v>
      </c>
      <c r="D7253" s="9"/>
      <c r="E7253" s="9"/>
      <c r="F7253" s="257" t="s">
        <v>17675</v>
      </c>
      <c r="G7253" s="9"/>
      <c r="H7253" s="257" t="s">
        <v>25257</v>
      </c>
      <c r="I7253" s="9">
        <v>4</v>
      </c>
    </row>
    <row r="7254" spans="1:9">
      <c r="A7254" s="257" t="s">
        <v>8352</v>
      </c>
      <c r="B7254" s="9">
        <v>3</v>
      </c>
      <c r="C7254" s="257" t="s">
        <v>13722</v>
      </c>
      <c r="D7254" s="9">
        <v>1.5161843922653333E-2</v>
      </c>
      <c r="E7254" s="9"/>
      <c r="F7254" s="257" t="s">
        <v>17676</v>
      </c>
      <c r="G7254" s="9"/>
      <c r="H7254" s="257" t="s">
        <v>25258</v>
      </c>
      <c r="I7254" s="9">
        <v>4</v>
      </c>
    </row>
    <row r="7255" spans="1:9">
      <c r="A7255" s="257" t="s">
        <v>8353</v>
      </c>
      <c r="B7255" s="9">
        <v>3</v>
      </c>
      <c r="C7255" s="257" t="s">
        <v>13722</v>
      </c>
      <c r="D7255" s="9">
        <v>3.1395702265056259E-2</v>
      </c>
      <c r="E7255" s="9"/>
      <c r="F7255" s="257" t="s">
        <v>17677</v>
      </c>
      <c r="G7255" s="9"/>
      <c r="H7255" s="257" t="s">
        <v>25259</v>
      </c>
      <c r="I7255" s="9">
        <v>4</v>
      </c>
    </row>
    <row r="7256" spans="1:9">
      <c r="A7256" s="257" t="s">
        <v>8354</v>
      </c>
      <c r="B7256" s="9">
        <v>3</v>
      </c>
      <c r="C7256" s="257" t="s">
        <v>13722</v>
      </c>
      <c r="D7256" s="9">
        <v>9.7057803479328221E-3</v>
      </c>
      <c r="E7256" s="9"/>
      <c r="F7256" s="257" t="s">
        <v>17678</v>
      </c>
      <c r="G7256" s="9"/>
      <c r="H7256" s="257" t="s">
        <v>25260</v>
      </c>
      <c r="I7256" s="9">
        <v>4</v>
      </c>
    </row>
    <row r="7257" spans="1:9">
      <c r="A7257" s="257" t="s">
        <v>8355</v>
      </c>
      <c r="B7257" s="9">
        <v>3</v>
      </c>
      <c r="C7257" s="257" t="s">
        <v>13722</v>
      </c>
      <c r="D7257" s="9">
        <v>6.4942081094983002E-4</v>
      </c>
      <c r="E7257" s="9"/>
      <c r="F7257" s="257" t="s">
        <v>17679</v>
      </c>
      <c r="G7257" s="9"/>
      <c r="H7257" s="257" t="s">
        <v>25261</v>
      </c>
      <c r="I7257" s="9">
        <v>4</v>
      </c>
    </row>
    <row r="7258" spans="1:9">
      <c r="A7258" s="257" t="s">
        <v>8356</v>
      </c>
      <c r="B7258" s="9">
        <v>3</v>
      </c>
      <c r="C7258" s="257" t="s">
        <v>13722</v>
      </c>
      <c r="D7258" s="9">
        <v>4.4060337732895982E-4</v>
      </c>
      <c r="E7258" s="9"/>
      <c r="F7258" s="257" t="s">
        <v>17680</v>
      </c>
      <c r="G7258" s="9"/>
      <c r="H7258" s="257" t="s">
        <v>25262</v>
      </c>
      <c r="I7258" s="9">
        <v>4</v>
      </c>
    </row>
    <row r="7259" spans="1:9">
      <c r="A7259" s="257" t="s">
        <v>8357</v>
      </c>
      <c r="B7259" s="9">
        <v>3</v>
      </c>
      <c r="C7259" s="257" t="s">
        <v>13722</v>
      </c>
      <c r="D7259" s="9">
        <v>1.4915926595871707E-2</v>
      </c>
      <c r="E7259" s="9"/>
      <c r="F7259" s="257" t="s">
        <v>17681</v>
      </c>
      <c r="G7259" s="9"/>
      <c r="H7259" s="257" t="s">
        <v>25263</v>
      </c>
      <c r="I7259" s="9">
        <v>4</v>
      </c>
    </row>
    <row r="7260" spans="1:9">
      <c r="A7260" s="257" t="s">
        <v>8358</v>
      </c>
      <c r="B7260" s="9">
        <v>3</v>
      </c>
      <c r="C7260" s="257" t="s">
        <v>13722</v>
      </c>
      <c r="D7260" s="9"/>
      <c r="E7260" s="9"/>
      <c r="F7260" s="257" t="s">
        <v>17682</v>
      </c>
      <c r="G7260" s="9"/>
      <c r="H7260" s="257" t="s">
        <v>25264</v>
      </c>
      <c r="I7260" s="9">
        <v>4</v>
      </c>
    </row>
    <row r="7261" spans="1:9">
      <c r="A7261" s="257" t="s">
        <v>8359</v>
      </c>
      <c r="B7261" s="9">
        <v>3</v>
      </c>
      <c r="C7261" s="257" t="s">
        <v>13722</v>
      </c>
      <c r="D7261" s="9">
        <v>1.4186403076936293E-2</v>
      </c>
      <c r="E7261" s="9"/>
      <c r="F7261" s="257" t="s">
        <v>17683</v>
      </c>
      <c r="G7261" s="9"/>
      <c r="H7261" s="257" t="s">
        <v>25265</v>
      </c>
      <c r="I7261" s="9">
        <v>4</v>
      </c>
    </row>
    <row r="7262" spans="1:9">
      <c r="A7262" s="257" t="s">
        <v>8360</v>
      </c>
      <c r="B7262" s="9">
        <v>3</v>
      </c>
      <c r="C7262" s="257" t="s">
        <v>13722</v>
      </c>
      <c r="D7262" s="9">
        <v>7.8283048139396599E-3</v>
      </c>
      <c r="E7262" s="9"/>
      <c r="F7262" s="257" t="s">
        <v>17684</v>
      </c>
      <c r="G7262" s="9"/>
      <c r="H7262" s="257" t="s">
        <v>25266</v>
      </c>
      <c r="I7262" s="9">
        <v>4</v>
      </c>
    </row>
    <row r="7263" spans="1:9">
      <c r="A7263" s="257" t="s">
        <v>8361</v>
      </c>
      <c r="B7263" s="9">
        <v>3</v>
      </c>
      <c r="C7263" s="257" t="s">
        <v>13722</v>
      </c>
      <c r="D7263" s="9">
        <v>2.0997539630805183E-3</v>
      </c>
      <c r="E7263" s="9"/>
      <c r="F7263" s="257" t="s">
        <v>17685</v>
      </c>
      <c r="G7263" s="9"/>
      <c r="H7263" s="257" t="s">
        <v>25267</v>
      </c>
      <c r="I7263" s="9">
        <v>4</v>
      </c>
    </row>
    <row r="7264" spans="1:9">
      <c r="A7264" s="257" t="s">
        <v>8362</v>
      </c>
      <c r="B7264" s="9">
        <v>3</v>
      </c>
      <c r="C7264" s="257" t="s">
        <v>13722</v>
      </c>
      <c r="D7264" s="9">
        <v>4.633727795045956E-3</v>
      </c>
      <c r="E7264" s="9"/>
      <c r="F7264" s="257" t="s">
        <v>17686</v>
      </c>
      <c r="G7264" s="9"/>
      <c r="H7264" s="257" t="s">
        <v>25268</v>
      </c>
      <c r="I7264" s="9">
        <v>4</v>
      </c>
    </row>
    <row r="7265" spans="1:9">
      <c r="A7265" s="257" t="s">
        <v>8363</v>
      </c>
      <c r="B7265" s="9">
        <v>3</v>
      </c>
      <c r="C7265" s="257" t="s">
        <v>13722</v>
      </c>
      <c r="D7265" s="9">
        <v>-4.8725935003699917E-3</v>
      </c>
      <c r="E7265" s="9"/>
      <c r="F7265" s="257" t="s">
        <v>17687</v>
      </c>
      <c r="G7265" s="9"/>
      <c r="H7265" s="257" t="s">
        <v>25269</v>
      </c>
      <c r="I7265" s="9">
        <v>4</v>
      </c>
    </row>
    <row r="7266" spans="1:9">
      <c r="A7266" s="257" t="s">
        <v>8364</v>
      </c>
      <c r="B7266" s="9">
        <v>3</v>
      </c>
      <c r="C7266" s="257" t="s">
        <v>13722</v>
      </c>
      <c r="D7266" s="9">
        <v>-5.0869429753689945E-3</v>
      </c>
      <c r="E7266" s="9"/>
      <c r="F7266" s="257" t="s">
        <v>17688</v>
      </c>
      <c r="G7266" s="9"/>
      <c r="H7266" s="257" t="s">
        <v>25270</v>
      </c>
      <c r="I7266" s="9">
        <v>4</v>
      </c>
    </row>
    <row r="7267" spans="1:9">
      <c r="A7267" s="257" t="s">
        <v>8365</v>
      </c>
      <c r="B7267" s="9">
        <v>4</v>
      </c>
      <c r="C7267" s="257" t="s">
        <v>13722</v>
      </c>
      <c r="D7267" s="9">
        <v>1.22514547609724E-2</v>
      </c>
      <c r="E7267" s="9"/>
      <c r="F7267" s="257" t="s">
        <v>17689</v>
      </c>
      <c r="G7267" s="9"/>
      <c r="H7267" s="257" t="s">
        <v>25271</v>
      </c>
      <c r="I7267" s="9">
        <v>4</v>
      </c>
    </row>
    <row r="7268" spans="1:9">
      <c r="A7268" s="257" t="s">
        <v>8366</v>
      </c>
      <c r="B7268" s="9">
        <v>4</v>
      </c>
      <c r="C7268" s="257" t="s">
        <v>13722</v>
      </c>
      <c r="D7268" s="9">
        <v>1.2868606850729851E-2</v>
      </c>
      <c r="E7268" s="9"/>
      <c r="F7268" s="257" t="s">
        <v>17690</v>
      </c>
      <c r="G7268" s="9"/>
      <c r="H7268" s="257" t="s">
        <v>25272</v>
      </c>
      <c r="I7268" s="9">
        <v>4</v>
      </c>
    </row>
    <row r="7269" spans="1:9">
      <c r="A7269" s="257" t="s">
        <v>8367</v>
      </c>
      <c r="B7269" s="9">
        <v>4</v>
      </c>
      <c r="C7269" s="257" t="s">
        <v>13722</v>
      </c>
      <c r="D7269" s="9">
        <v>3.2942724857201646E-3</v>
      </c>
      <c r="E7269" s="9"/>
      <c r="F7269" s="257" t="s">
        <v>17691</v>
      </c>
      <c r="G7269" s="9"/>
      <c r="H7269" s="257" t="s">
        <v>25273</v>
      </c>
      <c r="I7269" s="9">
        <v>4</v>
      </c>
    </row>
    <row r="7270" spans="1:9">
      <c r="A7270" s="257" t="s">
        <v>8368</v>
      </c>
      <c r="B7270" s="9">
        <v>4</v>
      </c>
      <c r="C7270" s="257" t="s">
        <v>13722</v>
      </c>
      <c r="D7270" s="9">
        <v>1.1221544394504632E-2</v>
      </c>
      <c r="E7270" s="9"/>
      <c r="F7270" s="257" t="s">
        <v>17692</v>
      </c>
      <c r="G7270" s="9"/>
      <c r="H7270" s="257" t="s">
        <v>25274</v>
      </c>
      <c r="I7270" s="9">
        <v>4</v>
      </c>
    </row>
    <row r="7271" spans="1:9">
      <c r="A7271" s="257" t="s">
        <v>8369</v>
      </c>
      <c r="B7271" s="9">
        <v>4</v>
      </c>
      <c r="C7271" s="257" t="s">
        <v>13722</v>
      </c>
      <c r="D7271" s="9">
        <v>7.6585012578819283E-3</v>
      </c>
      <c r="E7271" s="9"/>
      <c r="F7271" s="257" t="s">
        <v>17693</v>
      </c>
      <c r="G7271" s="9"/>
      <c r="H7271" s="257" t="s">
        <v>25275</v>
      </c>
      <c r="I7271" s="9">
        <v>4</v>
      </c>
    </row>
    <row r="7272" spans="1:9">
      <c r="A7272" s="257" t="s">
        <v>8370</v>
      </c>
      <c r="B7272" s="9">
        <v>4</v>
      </c>
      <c r="C7272" s="257" t="s">
        <v>13722</v>
      </c>
      <c r="D7272" s="9">
        <v>1.4239464770749945E-2</v>
      </c>
      <c r="E7272" s="9"/>
      <c r="F7272" s="257" t="s">
        <v>17694</v>
      </c>
      <c r="G7272" s="9"/>
      <c r="H7272" s="257" t="s">
        <v>25276</v>
      </c>
      <c r="I7272" s="9">
        <v>4</v>
      </c>
    </row>
    <row r="7273" spans="1:9">
      <c r="A7273" s="257" t="s">
        <v>8371</v>
      </c>
      <c r="B7273" s="9">
        <v>4</v>
      </c>
      <c r="C7273" s="257" t="s">
        <v>13722</v>
      </c>
      <c r="D7273" s="9">
        <v>8.7042668896140686E-3</v>
      </c>
      <c r="E7273" s="9"/>
      <c r="F7273" s="257" t="s">
        <v>17695</v>
      </c>
      <c r="G7273" s="9"/>
      <c r="H7273" s="257" t="s">
        <v>25277</v>
      </c>
      <c r="I7273" s="9">
        <v>4</v>
      </c>
    </row>
    <row r="7274" spans="1:9">
      <c r="A7274" s="257" t="s">
        <v>8372</v>
      </c>
      <c r="B7274" s="9">
        <v>4</v>
      </c>
      <c r="C7274" s="257" t="s">
        <v>13722</v>
      </c>
      <c r="D7274" s="9">
        <v>9.0002562885532645E-3</v>
      </c>
      <c r="E7274" s="9"/>
      <c r="F7274" s="257" t="s">
        <v>17696</v>
      </c>
      <c r="G7274" s="9"/>
      <c r="H7274" s="257" t="s">
        <v>25278</v>
      </c>
      <c r="I7274" s="9">
        <v>4</v>
      </c>
    </row>
    <row r="7275" spans="1:9">
      <c r="A7275" s="257" t="s">
        <v>8373</v>
      </c>
      <c r="B7275" s="9">
        <v>4</v>
      </c>
      <c r="C7275" s="257" t="s">
        <v>13722</v>
      </c>
      <c r="D7275" s="9">
        <v>1.0696211122465653E-2</v>
      </c>
      <c r="E7275" s="9"/>
      <c r="F7275" s="257" t="s">
        <v>17697</v>
      </c>
      <c r="G7275" s="9"/>
      <c r="H7275" s="257" t="s">
        <v>25279</v>
      </c>
      <c r="I7275" s="9">
        <v>4</v>
      </c>
    </row>
    <row r="7276" spans="1:9">
      <c r="A7276" s="257" t="s">
        <v>8374</v>
      </c>
      <c r="B7276" s="9">
        <v>4</v>
      </c>
      <c r="C7276" s="257" t="s">
        <v>13722</v>
      </c>
      <c r="D7276" s="9">
        <v>1.0992200521404849E-2</v>
      </c>
      <c r="E7276" s="9"/>
      <c r="F7276" s="257" t="s">
        <v>17698</v>
      </c>
      <c r="G7276" s="9"/>
      <c r="H7276" s="257" t="s">
        <v>25280</v>
      </c>
      <c r="I7276" s="9">
        <v>4</v>
      </c>
    </row>
    <row r="7277" spans="1:9">
      <c r="A7277" s="257" t="s">
        <v>8375</v>
      </c>
      <c r="B7277" s="9">
        <v>4</v>
      </c>
      <c r="C7277" s="257" t="s">
        <v>13722</v>
      </c>
      <c r="D7277" s="9">
        <v>-5.1921183284227334E-3</v>
      </c>
      <c r="E7277" s="9"/>
      <c r="F7277" s="257" t="s">
        <v>17699</v>
      </c>
      <c r="G7277" s="9"/>
      <c r="H7277" s="257" t="s">
        <v>25281</v>
      </c>
      <c r="I7277" s="9">
        <v>4</v>
      </c>
    </row>
    <row r="7278" spans="1:9">
      <c r="A7278" s="257" t="s">
        <v>8376</v>
      </c>
      <c r="B7278" s="9">
        <v>4</v>
      </c>
      <c r="C7278" s="257" t="s">
        <v>13722</v>
      </c>
      <c r="D7278" s="9"/>
      <c r="E7278" s="9"/>
      <c r="F7278" s="257" t="s">
        <v>17700</v>
      </c>
      <c r="G7278" s="9"/>
      <c r="H7278" s="257" t="s">
        <v>25282</v>
      </c>
      <c r="I7278" s="9">
        <v>4</v>
      </c>
    </row>
    <row r="7279" spans="1:9">
      <c r="A7279" s="257" t="s">
        <v>8377</v>
      </c>
      <c r="B7279" s="9">
        <v>4</v>
      </c>
      <c r="C7279" s="257" t="s">
        <v>13722</v>
      </c>
      <c r="D7279" s="9">
        <v>1.4541777716728658E-2</v>
      </c>
      <c r="E7279" s="9"/>
      <c r="F7279" s="257" t="s">
        <v>17701</v>
      </c>
      <c r="G7279" s="9"/>
      <c r="H7279" s="257" t="s">
        <v>25283</v>
      </c>
      <c r="I7279" s="9">
        <v>4</v>
      </c>
    </row>
    <row r="7280" spans="1:9">
      <c r="A7280" s="257" t="s">
        <v>8378</v>
      </c>
      <c r="B7280" s="9">
        <v>4</v>
      </c>
      <c r="C7280" s="257" t="s">
        <v>13722</v>
      </c>
      <c r="D7280" s="9">
        <v>2.4562908244584476E-2</v>
      </c>
      <c r="E7280" s="9"/>
      <c r="F7280" s="257" t="s">
        <v>17702</v>
      </c>
      <c r="G7280" s="9"/>
      <c r="H7280" s="257" t="s">
        <v>25284</v>
      </c>
      <c r="I7280" s="9">
        <v>4</v>
      </c>
    </row>
    <row r="7281" spans="1:9">
      <c r="A7281" s="257" t="s">
        <v>8379</v>
      </c>
      <c r="B7281" s="9">
        <v>4</v>
      </c>
      <c r="C7281" s="257" t="s">
        <v>13722</v>
      </c>
      <c r="D7281" s="9">
        <v>8.376846550138076E-3</v>
      </c>
      <c r="E7281" s="9"/>
      <c r="F7281" s="257" t="s">
        <v>17703</v>
      </c>
      <c r="G7281" s="9"/>
      <c r="H7281" s="257" t="s">
        <v>25285</v>
      </c>
      <c r="I7281" s="9">
        <v>4</v>
      </c>
    </row>
    <row r="7282" spans="1:9">
      <c r="A7282" s="257" t="s">
        <v>8380</v>
      </c>
      <c r="B7282" s="9">
        <v>4</v>
      </c>
      <c r="C7282" s="257" t="s">
        <v>13722</v>
      </c>
      <c r="D7282" s="9">
        <v>6.1793857664028051E-4</v>
      </c>
      <c r="E7282" s="9"/>
      <c r="F7282" s="257" t="s">
        <v>17704</v>
      </c>
      <c r="G7282" s="9"/>
      <c r="H7282" s="257" t="s">
        <v>25286</v>
      </c>
      <c r="I7282" s="9">
        <v>4</v>
      </c>
    </row>
    <row r="7283" spans="1:9">
      <c r="A7283" s="257" t="s">
        <v>8381</v>
      </c>
      <c r="B7283" s="9">
        <v>4</v>
      </c>
      <c r="C7283" s="257" t="s">
        <v>13722</v>
      </c>
      <c r="D7283" s="9">
        <v>5.9713915783320658E-4</v>
      </c>
      <c r="E7283" s="9"/>
      <c r="F7283" s="257" t="s">
        <v>17705</v>
      </c>
      <c r="G7283" s="9"/>
      <c r="H7283" s="257" t="s">
        <v>25287</v>
      </c>
      <c r="I7283" s="9">
        <v>4</v>
      </c>
    </row>
    <row r="7284" spans="1:9">
      <c r="A7284" s="257" t="s">
        <v>8382</v>
      </c>
      <c r="B7284" s="9">
        <v>4</v>
      </c>
      <c r="C7284" s="257" t="s">
        <v>13722</v>
      </c>
      <c r="D7284" s="9">
        <v>1.4112471211980041E-2</v>
      </c>
      <c r="E7284" s="9"/>
      <c r="F7284" s="257" t="s">
        <v>17706</v>
      </c>
      <c r="G7284" s="9"/>
      <c r="H7284" s="257" t="s">
        <v>25288</v>
      </c>
      <c r="I7284" s="9">
        <v>4</v>
      </c>
    </row>
    <row r="7285" spans="1:9">
      <c r="A7285" s="257" t="s">
        <v>8383</v>
      </c>
      <c r="B7285" s="9">
        <v>4</v>
      </c>
      <c r="C7285" s="257" t="s">
        <v>13722</v>
      </c>
      <c r="D7285" s="9"/>
      <c r="E7285" s="9"/>
      <c r="F7285" s="257" t="s">
        <v>17707</v>
      </c>
      <c r="G7285" s="9"/>
      <c r="H7285" s="257" t="s">
        <v>25289</v>
      </c>
      <c r="I7285" s="9">
        <v>4</v>
      </c>
    </row>
    <row r="7286" spans="1:9">
      <c r="A7286" s="257" t="s">
        <v>8384</v>
      </c>
      <c r="B7286" s="9">
        <v>4</v>
      </c>
      <c r="C7286" s="257" t="s">
        <v>13722</v>
      </c>
      <c r="D7286" s="9">
        <v>1.3174884357012103E-2</v>
      </c>
      <c r="E7286" s="9"/>
      <c r="F7286" s="257" t="s">
        <v>17708</v>
      </c>
      <c r="G7286" s="9"/>
      <c r="H7286" s="257" t="s">
        <v>25290</v>
      </c>
      <c r="I7286" s="9">
        <v>4</v>
      </c>
    </row>
    <row r="7287" spans="1:9">
      <c r="A7287" s="257" t="s">
        <v>8385</v>
      </c>
      <c r="B7287" s="9">
        <v>4</v>
      </c>
      <c r="C7287" s="257" t="s">
        <v>13722</v>
      </c>
      <c r="D7287" s="9">
        <v>8.1273215103553776E-3</v>
      </c>
      <c r="E7287" s="9"/>
      <c r="F7287" s="257" t="s">
        <v>17709</v>
      </c>
      <c r="G7287" s="9"/>
      <c r="H7287" s="257" t="s">
        <v>25291</v>
      </c>
      <c r="I7287" s="9">
        <v>4</v>
      </c>
    </row>
    <row r="7288" spans="1:9">
      <c r="A7288" s="257" t="s">
        <v>8386</v>
      </c>
      <c r="B7288" s="9">
        <v>4</v>
      </c>
      <c r="C7288" s="257" t="s">
        <v>13722</v>
      </c>
      <c r="D7288" s="9">
        <v>2.2233185541986667E-3</v>
      </c>
      <c r="E7288" s="9"/>
      <c r="F7288" s="257" t="s">
        <v>17710</v>
      </c>
      <c r="G7288" s="9"/>
      <c r="H7288" s="257" t="s">
        <v>25292</v>
      </c>
      <c r="I7288" s="9">
        <v>4</v>
      </c>
    </row>
    <row r="7289" spans="1:9">
      <c r="A7289" s="257" t="s">
        <v>8387</v>
      </c>
      <c r="B7289" s="9">
        <v>4</v>
      </c>
      <c r="C7289" s="257" t="s">
        <v>13722</v>
      </c>
      <c r="D7289" s="9">
        <v>5.1393244103423328E-3</v>
      </c>
      <c r="E7289" s="9"/>
      <c r="F7289" s="257" t="s">
        <v>17711</v>
      </c>
      <c r="G7289" s="9"/>
      <c r="H7289" s="257" t="s">
        <v>25293</v>
      </c>
      <c r="I7289" s="9">
        <v>4</v>
      </c>
    </row>
    <row r="7290" spans="1:9">
      <c r="A7290" s="257" t="s">
        <v>8388</v>
      </c>
      <c r="B7290" s="9">
        <v>4</v>
      </c>
      <c r="C7290" s="257" t="s">
        <v>13722</v>
      </c>
      <c r="D7290" s="9">
        <v>-1.9928659526850761E-3</v>
      </c>
      <c r="E7290" s="9"/>
      <c r="F7290" s="257" t="s">
        <v>17712</v>
      </c>
      <c r="G7290" s="9"/>
      <c r="H7290" s="257" t="s">
        <v>25294</v>
      </c>
      <c r="I7290" s="9">
        <v>4</v>
      </c>
    </row>
    <row r="7291" spans="1:9">
      <c r="A7291" s="257" t="s">
        <v>8389</v>
      </c>
      <c r="B7291" s="9">
        <v>4</v>
      </c>
      <c r="C7291" s="257" t="s">
        <v>13722</v>
      </c>
      <c r="D7291" s="9">
        <v>-5.1424211522452931E-3</v>
      </c>
      <c r="E7291" s="9"/>
      <c r="F7291" s="257" t="s">
        <v>17713</v>
      </c>
      <c r="G7291" s="9"/>
      <c r="H7291" s="257" t="s">
        <v>25295</v>
      </c>
      <c r="I7291" s="9">
        <v>4</v>
      </c>
    </row>
    <row r="7292" spans="1:9">
      <c r="A7292" s="257" t="s">
        <v>8390</v>
      </c>
      <c r="B7292" s="9">
        <v>5</v>
      </c>
      <c r="C7292" s="257" t="s">
        <v>13722</v>
      </c>
      <c r="D7292" s="9">
        <v>1.1605807658860349E-2</v>
      </c>
      <c r="E7292" s="9"/>
      <c r="F7292" s="257" t="s">
        <v>17714</v>
      </c>
      <c r="G7292" s="9"/>
      <c r="H7292" s="257" t="s">
        <v>25296</v>
      </c>
      <c r="I7292" s="9">
        <v>4</v>
      </c>
    </row>
    <row r="7293" spans="1:9">
      <c r="A7293" s="257" t="s">
        <v>8391</v>
      </c>
      <c r="B7293" s="9">
        <v>5</v>
      </c>
      <c r="C7293" s="257" t="s">
        <v>13722</v>
      </c>
      <c r="D7293" s="9">
        <v>1.2197304830364946E-2</v>
      </c>
      <c r="E7293" s="9"/>
      <c r="F7293" s="257" t="s">
        <v>17715</v>
      </c>
      <c r="G7293" s="9"/>
      <c r="H7293" s="257" t="s">
        <v>25297</v>
      </c>
      <c r="I7293" s="9">
        <v>4</v>
      </c>
    </row>
    <row r="7294" spans="1:9">
      <c r="A7294" s="257" t="s">
        <v>8392</v>
      </c>
      <c r="B7294" s="9">
        <v>5</v>
      </c>
      <c r="C7294" s="257" t="s">
        <v>13722</v>
      </c>
      <c r="D7294" s="9">
        <v>3.600501282664384E-3</v>
      </c>
      <c r="E7294" s="9"/>
      <c r="F7294" s="257" t="s">
        <v>17716</v>
      </c>
      <c r="G7294" s="9"/>
      <c r="H7294" s="257" t="s">
        <v>25298</v>
      </c>
      <c r="I7294" s="9">
        <v>4</v>
      </c>
    </row>
    <row r="7295" spans="1:9">
      <c r="A7295" s="257" t="s">
        <v>8393</v>
      </c>
      <c r="B7295" s="9">
        <v>5</v>
      </c>
      <c r="C7295" s="257" t="s">
        <v>13722</v>
      </c>
      <c r="D7295" s="9">
        <v>9.0055060925115123E-3</v>
      </c>
      <c r="E7295" s="9"/>
      <c r="F7295" s="257" t="s">
        <v>17717</v>
      </c>
      <c r="G7295" s="9"/>
      <c r="H7295" s="257" t="s">
        <v>25299</v>
      </c>
      <c r="I7295" s="9">
        <v>4</v>
      </c>
    </row>
    <row r="7296" spans="1:9">
      <c r="A7296" s="257" t="s">
        <v>8394</v>
      </c>
      <c r="B7296" s="9">
        <v>5</v>
      </c>
      <c r="C7296" s="257" t="s">
        <v>13722</v>
      </c>
      <c r="D7296" s="9">
        <v>5.5781293619852389E-3</v>
      </c>
      <c r="E7296" s="9"/>
      <c r="F7296" s="257" t="s">
        <v>17718</v>
      </c>
      <c r="G7296" s="9"/>
      <c r="H7296" s="257" t="s">
        <v>25300</v>
      </c>
      <c r="I7296" s="9">
        <v>4</v>
      </c>
    </row>
    <row r="7297" spans="1:9">
      <c r="A7297" s="257" t="s">
        <v>8395</v>
      </c>
      <c r="B7297" s="9">
        <v>5</v>
      </c>
      <c r="C7297" s="257" t="s">
        <v>13722</v>
      </c>
      <c r="D7297" s="9">
        <v>1.3574630962131042E-2</v>
      </c>
      <c r="E7297" s="9"/>
      <c r="F7297" s="257" t="s">
        <v>17719</v>
      </c>
      <c r="G7297" s="9"/>
      <c r="H7297" s="257" t="s">
        <v>25301</v>
      </c>
      <c r="I7297" s="9">
        <v>4</v>
      </c>
    </row>
    <row r="7298" spans="1:9">
      <c r="A7298" s="257" t="s">
        <v>8396</v>
      </c>
      <c r="B7298" s="9">
        <v>5</v>
      </c>
      <c r="C7298" s="257" t="s">
        <v>13722</v>
      </c>
      <c r="D7298" s="9">
        <v>9.5088340041937086E-3</v>
      </c>
      <c r="E7298" s="9"/>
      <c r="F7298" s="257" t="s">
        <v>17720</v>
      </c>
      <c r="G7298" s="9"/>
      <c r="H7298" s="257" t="s">
        <v>25302</v>
      </c>
      <c r="I7298" s="9">
        <v>4</v>
      </c>
    </row>
    <row r="7299" spans="1:9">
      <c r="A7299" s="257" t="s">
        <v>8397</v>
      </c>
      <c r="B7299" s="9">
        <v>5</v>
      </c>
      <c r="C7299" s="257" t="s">
        <v>13722</v>
      </c>
      <c r="D7299" s="9">
        <v>9.8317599226348858E-3</v>
      </c>
      <c r="E7299" s="9"/>
      <c r="F7299" s="257" t="s">
        <v>17721</v>
      </c>
      <c r="G7299" s="9"/>
      <c r="H7299" s="257" t="s">
        <v>25303</v>
      </c>
      <c r="I7299" s="9">
        <v>4</v>
      </c>
    </row>
    <row r="7300" spans="1:9">
      <c r="A7300" s="257" t="s">
        <v>8398</v>
      </c>
      <c r="B7300" s="9">
        <v>5</v>
      </c>
      <c r="C7300" s="257" t="s">
        <v>13722</v>
      </c>
      <c r="D7300" s="9">
        <v>1.189040922146818E-2</v>
      </c>
      <c r="E7300" s="9"/>
      <c r="F7300" s="257" t="s">
        <v>17722</v>
      </c>
      <c r="G7300" s="9"/>
      <c r="H7300" s="257" t="s">
        <v>25304</v>
      </c>
      <c r="I7300" s="9">
        <v>4</v>
      </c>
    </row>
    <row r="7301" spans="1:9">
      <c r="A7301" s="257" t="s">
        <v>8399</v>
      </c>
      <c r="B7301" s="9">
        <v>5</v>
      </c>
      <c r="C7301" s="257" t="s">
        <v>13722</v>
      </c>
      <c r="D7301" s="9">
        <v>1.2213335139909357E-2</v>
      </c>
      <c r="E7301" s="9"/>
      <c r="F7301" s="257" t="s">
        <v>17723</v>
      </c>
      <c r="G7301" s="9"/>
      <c r="H7301" s="257" t="s">
        <v>25305</v>
      </c>
      <c r="I7301" s="9">
        <v>4</v>
      </c>
    </row>
    <row r="7302" spans="1:9">
      <c r="A7302" s="257" t="s">
        <v>8400</v>
      </c>
      <c r="B7302" s="9">
        <v>5</v>
      </c>
      <c r="C7302" s="257" t="s">
        <v>13722</v>
      </c>
      <c r="D7302" s="9">
        <v>-4.5575485225886579E-3</v>
      </c>
      <c r="E7302" s="9"/>
      <c r="F7302" s="257" t="s">
        <v>17724</v>
      </c>
      <c r="G7302" s="9"/>
      <c r="H7302" s="257" t="s">
        <v>25306</v>
      </c>
      <c r="I7302" s="9">
        <v>4</v>
      </c>
    </row>
    <row r="7303" spans="1:9">
      <c r="A7303" s="257" t="s">
        <v>8401</v>
      </c>
      <c r="B7303" s="9">
        <v>5</v>
      </c>
      <c r="C7303" s="257" t="s">
        <v>13722</v>
      </c>
      <c r="D7303" s="9"/>
      <c r="E7303" s="9"/>
      <c r="F7303" s="257" t="s">
        <v>17725</v>
      </c>
      <c r="G7303" s="9"/>
      <c r="H7303" s="257" t="s">
        <v>25307</v>
      </c>
      <c r="I7303" s="9">
        <v>4</v>
      </c>
    </row>
    <row r="7304" spans="1:9">
      <c r="A7304" s="257" t="s">
        <v>8402</v>
      </c>
      <c r="B7304" s="9">
        <v>5</v>
      </c>
      <c r="C7304" s="257" t="s">
        <v>13722</v>
      </c>
      <c r="D7304" s="9">
        <v>1.3686056609434651E-2</v>
      </c>
      <c r="E7304" s="9"/>
      <c r="F7304" s="257" t="s">
        <v>17726</v>
      </c>
      <c r="G7304" s="9"/>
      <c r="H7304" s="257" t="s">
        <v>25308</v>
      </c>
      <c r="I7304" s="9">
        <v>4</v>
      </c>
    </row>
    <row r="7305" spans="1:9">
      <c r="A7305" s="257" t="s">
        <v>8403</v>
      </c>
      <c r="B7305" s="9">
        <v>5</v>
      </c>
      <c r="C7305" s="257" t="s">
        <v>13722</v>
      </c>
      <c r="D7305" s="9">
        <v>2.2194739663305482E-2</v>
      </c>
      <c r="E7305" s="9"/>
      <c r="F7305" s="257" t="s">
        <v>17727</v>
      </c>
      <c r="G7305" s="9"/>
      <c r="H7305" s="257" t="s">
        <v>25309</v>
      </c>
      <c r="I7305" s="9">
        <v>4</v>
      </c>
    </row>
    <row r="7306" spans="1:9">
      <c r="A7306" s="257" t="s">
        <v>8404</v>
      </c>
      <c r="B7306" s="9">
        <v>5</v>
      </c>
      <c r="C7306" s="257" t="s">
        <v>13722</v>
      </c>
      <c r="D7306" s="9">
        <v>7.6619597144127844E-3</v>
      </c>
      <c r="E7306" s="9"/>
      <c r="F7306" s="257" t="s">
        <v>17728</v>
      </c>
      <c r="G7306" s="9"/>
      <c r="H7306" s="257" t="s">
        <v>25310</v>
      </c>
      <c r="I7306" s="9">
        <v>4</v>
      </c>
    </row>
    <row r="7307" spans="1:9">
      <c r="A7307" s="257" t="s">
        <v>8405</v>
      </c>
      <c r="B7307" s="9">
        <v>5</v>
      </c>
      <c r="C7307" s="257" t="s">
        <v>13722</v>
      </c>
      <c r="D7307" s="9">
        <v>5.9191538227600115E-4</v>
      </c>
      <c r="E7307" s="9"/>
      <c r="F7307" s="257" t="s">
        <v>17729</v>
      </c>
      <c r="G7307" s="9"/>
      <c r="H7307" s="257" t="s">
        <v>25311</v>
      </c>
      <c r="I7307" s="9">
        <v>4</v>
      </c>
    </row>
    <row r="7308" spans="1:9">
      <c r="A7308" s="257" t="s">
        <v>8406</v>
      </c>
      <c r="B7308" s="9">
        <v>5</v>
      </c>
      <c r="C7308" s="257" t="s">
        <v>13722</v>
      </c>
      <c r="D7308" s="9">
        <v>4.5540039796099127E-4</v>
      </c>
      <c r="E7308" s="9"/>
      <c r="F7308" s="257" t="s">
        <v>17730</v>
      </c>
      <c r="G7308" s="9"/>
      <c r="H7308" s="257" t="s">
        <v>25312</v>
      </c>
      <c r="I7308" s="9">
        <v>4</v>
      </c>
    </row>
    <row r="7309" spans="1:9">
      <c r="A7309" s="257" t="s">
        <v>8407</v>
      </c>
      <c r="B7309" s="9">
        <v>5</v>
      </c>
      <c r="C7309" s="257" t="s">
        <v>13722</v>
      </c>
      <c r="D7309" s="9">
        <v>1.3328635360549547E-2</v>
      </c>
      <c r="E7309" s="9"/>
      <c r="F7309" s="257" t="s">
        <v>17731</v>
      </c>
      <c r="G7309" s="9"/>
      <c r="H7309" s="257" t="s">
        <v>25313</v>
      </c>
      <c r="I7309" s="9">
        <v>4</v>
      </c>
    </row>
    <row r="7310" spans="1:9">
      <c r="A7310" s="257" t="s">
        <v>8408</v>
      </c>
      <c r="B7310" s="9">
        <v>5</v>
      </c>
      <c r="C7310" s="257" t="s">
        <v>13722</v>
      </c>
      <c r="D7310" s="9"/>
      <c r="E7310" s="9"/>
      <c r="F7310" s="257" t="s">
        <v>17732</v>
      </c>
      <c r="G7310" s="9"/>
      <c r="H7310" s="257" t="s">
        <v>25314</v>
      </c>
      <c r="I7310" s="9">
        <v>4</v>
      </c>
    </row>
    <row r="7311" spans="1:9">
      <c r="A7311" s="257" t="s">
        <v>8409</v>
      </c>
      <c r="B7311" s="9">
        <v>5</v>
      </c>
      <c r="C7311" s="257" t="s">
        <v>13722</v>
      </c>
      <c r="D7311" s="9">
        <v>1.2389607525317118E-2</v>
      </c>
      <c r="E7311" s="9"/>
      <c r="F7311" s="257" t="s">
        <v>17733</v>
      </c>
      <c r="G7311" s="9"/>
      <c r="H7311" s="257" t="s">
        <v>25315</v>
      </c>
      <c r="I7311" s="9">
        <v>4</v>
      </c>
    </row>
    <row r="7312" spans="1:9">
      <c r="A7312" s="257" t="s">
        <v>8410</v>
      </c>
      <c r="B7312" s="9">
        <v>5</v>
      </c>
      <c r="C7312" s="257" t="s">
        <v>13722</v>
      </c>
      <c r="D7312" s="9">
        <v>7.2560179613187642E-3</v>
      </c>
      <c r="E7312" s="9"/>
      <c r="F7312" s="257" t="s">
        <v>17734</v>
      </c>
      <c r="G7312" s="9"/>
      <c r="H7312" s="257" t="s">
        <v>25316</v>
      </c>
      <c r="I7312" s="9">
        <v>4</v>
      </c>
    </row>
    <row r="7313" spans="1:9">
      <c r="A7313" s="257" t="s">
        <v>8411</v>
      </c>
      <c r="B7313" s="9">
        <v>5</v>
      </c>
      <c r="C7313" s="257" t="s">
        <v>13722</v>
      </c>
      <c r="D7313" s="9">
        <v>2.2543739398626483E-3</v>
      </c>
      <c r="E7313" s="9"/>
      <c r="F7313" s="257" t="s">
        <v>17735</v>
      </c>
      <c r="G7313" s="9"/>
      <c r="H7313" s="257" t="s">
        <v>25317</v>
      </c>
      <c r="I7313" s="9">
        <v>4</v>
      </c>
    </row>
    <row r="7314" spans="1:9">
      <c r="A7314" s="257" t="s">
        <v>8412</v>
      </c>
      <c r="B7314" s="9">
        <v>5</v>
      </c>
      <c r="C7314" s="257" t="s">
        <v>13722</v>
      </c>
      <c r="D7314" s="9">
        <v>5.8771084433736501E-3</v>
      </c>
      <c r="E7314" s="9"/>
      <c r="F7314" s="257" t="s">
        <v>17736</v>
      </c>
      <c r="G7314" s="9"/>
      <c r="H7314" s="257" t="s">
        <v>25318</v>
      </c>
      <c r="I7314" s="9">
        <v>4</v>
      </c>
    </row>
    <row r="7315" spans="1:9">
      <c r="A7315" s="257" t="s">
        <v>8413</v>
      </c>
      <c r="B7315" s="9">
        <v>5</v>
      </c>
      <c r="C7315" s="257" t="s">
        <v>13722</v>
      </c>
      <c r="D7315" s="9">
        <v>-1.7492903276009688E-3</v>
      </c>
      <c r="E7315" s="9"/>
      <c r="F7315" s="257" t="s">
        <v>17737</v>
      </c>
      <c r="G7315" s="9"/>
      <c r="H7315" s="257" t="s">
        <v>25319</v>
      </c>
      <c r="I7315" s="9">
        <v>4</v>
      </c>
    </row>
    <row r="7316" spans="1:9">
      <c r="A7316" s="257" t="s">
        <v>8414</v>
      </c>
      <c r="B7316" s="9">
        <v>5</v>
      </c>
      <c r="C7316" s="257" t="s">
        <v>13722</v>
      </c>
      <c r="D7316" s="9">
        <v>-4.5598435195744347E-3</v>
      </c>
      <c r="E7316" s="9"/>
      <c r="F7316" s="257" t="s">
        <v>17738</v>
      </c>
      <c r="G7316" s="9"/>
      <c r="H7316" s="257" t="s">
        <v>25320</v>
      </c>
      <c r="I7316" s="9">
        <v>4</v>
      </c>
    </row>
    <row r="7317" spans="1:9">
      <c r="A7317" s="257" t="s">
        <v>8415</v>
      </c>
      <c r="B7317" s="9">
        <v>6</v>
      </c>
      <c r="C7317" s="257" t="s">
        <v>13722</v>
      </c>
      <c r="D7317" s="9">
        <v>1.1465888118146894E-2</v>
      </c>
      <c r="E7317" s="9"/>
      <c r="F7317" s="257" t="s">
        <v>17739</v>
      </c>
      <c r="G7317" s="9"/>
      <c r="H7317" s="257" t="s">
        <v>25321</v>
      </c>
      <c r="I7317" s="9">
        <v>4</v>
      </c>
    </row>
    <row r="7318" spans="1:9">
      <c r="A7318" s="257" t="s">
        <v>8416</v>
      </c>
      <c r="B7318" s="9">
        <v>6</v>
      </c>
      <c r="C7318" s="257" t="s">
        <v>13722</v>
      </c>
      <c r="D7318" s="9">
        <v>1.2048624107755885E-2</v>
      </c>
      <c r="E7318" s="9"/>
      <c r="F7318" s="257" t="s">
        <v>17740</v>
      </c>
      <c r="G7318" s="9"/>
      <c r="H7318" s="257" t="s">
        <v>25322</v>
      </c>
      <c r="I7318" s="9">
        <v>4</v>
      </c>
    </row>
    <row r="7319" spans="1:9">
      <c r="A7319" s="257" t="s">
        <v>8417</v>
      </c>
      <c r="B7319" s="9">
        <v>6</v>
      </c>
      <c r="C7319" s="257" t="s">
        <v>13722</v>
      </c>
      <c r="D7319" s="9">
        <v>3.8816475085760179E-3</v>
      </c>
      <c r="E7319" s="9"/>
      <c r="F7319" s="257" t="s">
        <v>17741</v>
      </c>
      <c r="G7319" s="9"/>
      <c r="H7319" s="257" t="s">
        <v>25323</v>
      </c>
      <c r="I7319" s="9">
        <v>4</v>
      </c>
    </row>
    <row r="7320" spans="1:9">
      <c r="A7320" s="257" t="s">
        <v>8418</v>
      </c>
      <c r="B7320" s="9">
        <v>6</v>
      </c>
      <c r="C7320" s="257" t="s">
        <v>13722</v>
      </c>
      <c r="D7320" s="9">
        <v>5.6714353930648444E-3</v>
      </c>
      <c r="E7320" s="9"/>
      <c r="F7320" s="257" t="s">
        <v>17742</v>
      </c>
      <c r="G7320" s="9"/>
      <c r="H7320" s="257" t="s">
        <v>25324</v>
      </c>
      <c r="I7320" s="9">
        <v>4</v>
      </c>
    </row>
    <row r="7321" spans="1:9">
      <c r="A7321" s="257" t="s">
        <v>8419</v>
      </c>
      <c r="B7321" s="9">
        <v>6</v>
      </c>
      <c r="C7321" s="257" t="s">
        <v>13722</v>
      </c>
      <c r="D7321" s="9">
        <v>3.7545977239107531E-3</v>
      </c>
      <c r="E7321" s="9"/>
      <c r="F7321" s="257" t="s">
        <v>17743</v>
      </c>
      <c r="G7321" s="9"/>
      <c r="H7321" s="257" t="s">
        <v>25325</v>
      </c>
      <c r="I7321" s="9">
        <v>4</v>
      </c>
    </row>
    <row r="7322" spans="1:9">
      <c r="A7322" s="257" t="s">
        <v>8420</v>
      </c>
      <c r="B7322" s="9">
        <v>6</v>
      </c>
      <c r="C7322" s="257" t="s">
        <v>13722</v>
      </c>
      <c r="D7322" s="9">
        <v>1.3959664854057837E-2</v>
      </c>
      <c r="E7322" s="9"/>
      <c r="F7322" s="257" t="s">
        <v>17744</v>
      </c>
      <c r="G7322" s="9"/>
      <c r="H7322" s="257" t="s">
        <v>25326</v>
      </c>
      <c r="I7322" s="9">
        <v>4</v>
      </c>
    </row>
    <row r="7323" spans="1:9">
      <c r="A7323" s="257" t="s">
        <v>8421</v>
      </c>
      <c r="B7323" s="9">
        <v>6</v>
      </c>
      <c r="C7323" s="257" t="s">
        <v>13722</v>
      </c>
      <c r="D7323" s="9">
        <v>1.1002926432033376E-2</v>
      </c>
      <c r="E7323" s="9"/>
      <c r="F7323" s="257" t="s">
        <v>17745</v>
      </c>
      <c r="G7323" s="9"/>
      <c r="H7323" s="257" t="s">
        <v>25327</v>
      </c>
      <c r="I7323" s="9">
        <v>4</v>
      </c>
    </row>
    <row r="7324" spans="1:9">
      <c r="A7324" s="257" t="s">
        <v>8422</v>
      </c>
      <c r="B7324" s="9">
        <v>6</v>
      </c>
      <c r="C7324" s="257" t="s">
        <v>13722</v>
      </c>
      <c r="D7324" s="9">
        <v>1.1381532500528126E-2</v>
      </c>
      <c r="E7324" s="9"/>
      <c r="F7324" s="257" t="s">
        <v>17746</v>
      </c>
      <c r="G7324" s="9"/>
      <c r="H7324" s="257" t="s">
        <v>25328</v>
      </c>
      <c r="I7324" s="9">
        <v>4</v>
      </c>
    </row>
    <row r="7325" spans="1:9">
      <c r="A7325" s="257" t="s">
        <v>8423</v>
      </c>
      <c r="B7325" s="9">
        <v>6</v>
      </c>
      <c r="C7325" s="257" t="s">
        <v>13722</v>
      </c>
      <c r="D7325" s="9">
        <v>1.3994632202893627E-2</v>
      </c>
      <c r="E7325" s="9"/>
      <c r="F7325" s="257" t="s">
        <v>17747</v>
      </c>
      <c r="G7325" s="9"/>
      <c r="H7325" s="257" t="s">
        <v>25329</v>
      </c>
      <c r="I7325" s="9">
        <v>4</v>
      </c>
    </row>
    <row r="7326" spans="1:9">
      <c r="A7326" s="257" t="s">
        <v>8424</v>
      </c>
      <c r="B7326" s="9">
        <v>6</v>
      </c>
      <c r="C7326" s="257" t="s">
        <v>13722</v>
      </c>
      <c r="D7326" s="9">
        <v>1.4373238271388377E-2</v>
      </c>
      <c r="E7326" s="9"/>
      <c r="F7326" s="257" t="s">
        <v>17748</v>
      </c>
      <c r="G7326" s="9"/>
      <c r="H7326" s="257" t="s">
        <v>25330</v>
      </c>
      <c r="I7326" s="9">
        <v>4</v>
      </c>
    </row>
    <row r="7327" spans="1:9">
      <c r="A7327" s="257" t="s">
        <v>8425</v>
      </c>
      <c r="B7327" s="9">
        <v>6</v>
      </c>
      <c r="C7327" s="257" t="s">
        <v>13722</v>
      </c>
      <c r="D7327" s="9">
        <v>-4.6738045703800532E-3</v>
      </c>
      <c r="E7327" s="9"/>
      <c r="F7327" s="257" t="s">
        <v>17749</v>
      </c>
      <c r="G7327" s="9"/>
      <c r="H7327" s="257" t="s">
        <v>25331</v>
      </c>
      <c r="I7327" s="9">
        <v>4</v>
      </c>
    </row>
    <row r="7328" spans="1:9">
      <c r="A7328" s="257" t="s">
        <v>8426</v>
      </c>
      <c r="B7328" s="9">
        <v>6</v>
      </c>
      <c r="C7328" s="257" t="s">
        <v>13722</v>
      </c>
      <c r="D7328" s="9"/>
      <c r="E7328" s="9"/>
      <c r="F7328" s="257" t="s">
        <v>17750</v>
      </c>
      <c r="G7328" s="9"/>
      <c r="H7328" s="257" t="s">
        <v>25332</v>
      </c>
      <c r="I7328" s="9">
        <v>4</v>
      </c>
    </row>
    <row r="7329" spans="1:9">
      <c r="A7329" s="257" t="s">
        <v>8427</v>
      </c>
      <c r="B7329" s="9">
        <v>6</v>
      </c>
      <c r="C7329" s="257" t="s">
        <v>13722</v>
      </c>
      <c r="D7329" s="9">
        <v>1.071960954384181E-2</v>
      </c>
      <c r="E7329" s="9"/>
      <c r="F7329" s="257" t="s">
        <v>17751</v>
      </c>
      <c r="G7329" s="9"/>
      <c r="H7329" s="257" t="s">
        <v>25333</v>
      </c>
      <c r="I7329" s="9">
        <v>4</v>
      </c>
    </row>
    <row r="7330" spans="1:9">
      <c r="A7330" s="257" t="s">
        <v>8428</v>
      </c>
      <c r="B7330" s="9">
        <v>6</v>
      </c>
      <c r="C7330" s="257" t="s">
        <v>13722</v>
      </c>
      <c r="D7330" s="9">
        <v>2.1454890557265825E-2</v>
      </c>
      <c r="E7330" s="9"/>
      <c r="F7330" s="257" t="s">
        <v>17752</v>
      </c>
      <c r="G7330" s="9"/>
      <c r="H7330" s="257" t="s">
        <v>25334</v>
      </c>
      <c r="I7330" s="9">
        <v>4</v>
      </c>
    </row>
    <row r="7331" spans="1:9">
      <c r="A7331" s="257" t="s">
        <v>8429</v>
      </c>
      <c r="B7331" s="9">
        <v>6</v>
      </c>
      <c r="C7331" s="257" t="s">
        <v>13722</v>
      </c>
      <c r="D7331" s="9">
        <v>6.2776024297454E-3</v>
      </c>
      <c r="E7331" s="9"/>
      <c r="F7331" s="257" t="s">
        <v>17753</v>
      </c>
      <c r="G7331" s="9"/>
      <c r="H7331" s="257" t="s">
        <v>25335</v>
      </c>
      <c r="I7331" s="9">
        <v>4</v>
      </c>
    </row>
    <row r="7332" spans="1:9">
      <c r="A7332" s="257" t="s">
        <v>8430</v>
      </c>
      <c r="B7332" s="9">
        <v>6</v>
      </c>
      <c r="C7332" s="257" t="s">
        <v>13722</v>
      </c>
      <c r="D7332" s="9">
        <v>5.8067906600741922E-4</v>
      </c>
      <c r="E7332" s="9"/>
      <c r="F7332" s="257" t="s">
        <v>17754</v>
      </c>
      <c r="G7332" s="9"/>
      <c r="H7332" s="257" t="s">
        <v>25336</v>
      </c>
      <c r="I7332" s="9">
        <v>4</v>
      </c>
    </row>
    <row r="7333" spans="1:9">
      <c r="A7333" s="257" t="s">
        <v>8431</v>
      </c>
      <c r="B7333" s="9">
        <v>6</v>
      </c>
      <c r="C7333" s="257" t="s">
        <v>13722</v>
      </c>
      <c r="D7333" s="9">
        <v>4.6790105260712472E-4</v>
      </c>
      <c r="E7333" s="9"/>
      <c r="F7333" s="257" t="s">
        <v>17755</v>
      </c>
      <c r="G7333" s="9"/>
      <c r="H7333" s="257" t="s">
        <v>25337</v>
      </c>
      <c r="I7333" s="9">
        <v>4</v>
      </c>
    </row>
    <row r="7334" spans="1:9">
      <c r="A7334" s="257" t="s">
        <v>8432</v>
      </c>
      <c r="B7334" s="9">
        <v>6</v>
      </c>
      <c r="C7334" s="257" t="s">
        <v>13722</v>
      </c>
      <c r="D7334" s="9">
        <v>1.3460410413994411E-2</v>
      </c>
      <c r="E7334" s="9"/>
      <c r="F7334" s="257" t="s">
        <v>17756</v>
      </c>
      <c r="G7334" s="9"/>
      <c r="H7334" s="257" t="s">
        <v>25338</v>
      </c>
      <c r="I7334" s="9">
        <v>4</v>
      </c>
    </row>
    <row r="7335" spans="1:9">
      <c r="A7335" s="257" t="s">
        <v>8433</v>
      </c>
      <c r="B7335" s="9">
        <v>6</v>
      </c>
      <c r="C7335" s="257" t="s">
        <v>13722</v>
      </c>
      <c r="D7335" s="9"/>
      <c r="E7335" s="9"/>
      <c r="F7335" s="257" t="s">
        <v>17757</v>
      </c>
      <c r="G7335" s="9"/>
      <c r="H7335" s="257" t="s">
        <v>25339</v>
      </c>
      <c r="I7335" s="9">
        <v>4</v>
      </c>
    </row>
    <row r="7336" spans="1:9">
      <c r="A7336" s="257" t="s">
        <v>8434</v>
      </c>
      <c r="B7336" s="9">
        <v>6</v>
      </c>
      <c r="C7336" s="257" t="s">
        <v>13722</v>
      </c>
      <c r="D7336" s="9">
        <v>1.2615936009303084E-2</v>
      </c>
      <c r="E7336" s="9"/>
      <c r="F7336" s="257" t="s">
        <v>17758</v>
      </c>
      <c r="G7336" s="9"/>
      <c r="H7336" s="257" t="s">
        <v>25340</v>
      </c>
      <c r="I7336" s="9">
        <v>4</v>
      </c>
    </row>
    <row r="7337" spans="1:9">
      <c r="A7337" s="257" t="s">
        <v>8435</v>
      </c>
      <c r="B7337" s="9">
        <v>6</v>
      </c>
      <c r="C7337" s="257" t="s">
        <v>13722</v>
      </c>
      <c r="D7337" s="9">
        <v>6.8301549165220065E-3</v>
      </c>
      <c r="E7337" s="9"/>
      <c r="F7337" s="257" t="s">
        <v>17759</v>
      </c>
      <c r="G7337" s="9"/>
      <c r="H7337" s="257" t="s">
        <v>25341</v>
      </c>
      <c r="I7337" s="9">
        <v>4</v>
      </c>
    </row>
    <row r="7338" spans="1:9">
      <c r="A7338" s="257" t="s">
        <v>8436</v>
      </c>
      <c r="B7338" s="9">
        <v>6</v>
      </c>
      <c r="C7338" s="257" t="s">
        <v>13722</v>
      </c>
      <c r="D7338" s="9">
        <v>2.2516207305204629E-3</v>
      </c>
      <c r="E7338" s="9"/>
      <c r="F7338" s="257" t="s">
        <v>17760</v>
      </c>
      <c r="G7338" s="9"/>
      <c r="H7338" s="257" t="s">
        <v>25342</v>
      </c>
      <c r="I7338" s="9">
        <v>4</v>
      </c>
    </row>
    <row r="7339" spans="1:9">
      <c r="A7339" s="257" t="s">
        <v>8437</v>
      </c>
      <c r="B7339" s="9">
        <v>6</v>
      </c>
      <c r="C7339" s="257" t="s">
        <v>13722</v>
      </c>
      <c r="D7339" s="9">
        <v>6.5048556274067857E-3</v>
      </c>
      <c r="E7339" s="9"/>
      <c r="F7339" s="257" t="s">
        <v>17761</v>
      </c>
      <c r="G7339" s="9"/>
      <c r="H7339" s="257" t="s">
        <v>25343</v>
      </c>
      <c r="I7339" s="9">
        <v>4</v>
      </c>
    </row>
    <row r="7340" spans="1:9">
      <c r="A7340" s="257" t="s">
        <v>8438</v>
      </c>
      <c r="B7340" s="9">
        <v>6</v>
      </c>
      <c r="C7340" s="257" t="s">
        <v>13722</v>
      </c>
      <c r="D7340" s="9">
        <v>-2.4481663107221228E-3</v>
      </c>
      <c r="E7340" s="9"/>
      <c r="F7340" s="257" t="s">
        <v>17762</v>
      </c>
      <c r="G7340" s="9"/>
      <c r="H7340" s="257" t="s">
        <v>25344</v>
      </c>
      <c r="I7340" s="9">
        <v>4</v>
      </c>
    </row>
    <row r="7341" spans="1:9">
      <c r="A7341" s="257" t="s">
        <v>8439</v>
      </c>
      <c r="B7341" s="9">
        <v>6</v>
      </c>
      <c r="C7341" s="257" t="s">
        <v>13722</v>
      </c>
      <c r="D7341" s="9">
        <v>-4.2125389883847942E-3</v>
      </c>
      <c r="E7341" s="9"/>
      <c r="F7341" s="257" t="s">
        <v>17763</v>
      </c>
      <c r="G7341" s="9"/>
      <c r="H7341" s="257" t="s">
        <v>25345</v>
      </c>
      <c r="I7341" s="9">
        <v>4</v>
      </c>
    </row>
    <row r="7342" spans="1:9">
      <c r="A7342" s="257" t="s">
        <v>8440</v>
      </c>
      <c r="B7342" s="9">
        <v>7</v>
      </c>
      <c r="C7342" s="257" t="s">
        <v>13722</v>
      </c>
      <c r="D7342" s="9">
        <v>1.1842037135533671E-2</v>
      </c>
      <c r="E7342" s="9"/>
      <c r="F7342" s="257" t="s">
        <v>17764</v>
      </c>
      <c r="G7342" s="9"/>
      <c r="H7342" s="257" t="s">
        <v>25346</v>
      </c>
      <c r="I7342" s="9">
        <v>4</v>
      </c>
    </row>
    <row r="7343" spans="1:9">
      <c r="A7343" s="257" t="s">
        <v>8441</v>
      </c>
      <c r="B7343" s="9">
        <v>7</v>
      </c>
      <c r="C7343" s="257" t="s">
        <v>13722</v>
      </c>
      <c r="D7343" s="9">
        <v>1.2433918386876705E-2</v>
      </c>
      <c r="E7343" s="9"/>
      <c r="F7343" s="257" t="s">
        <v>17765</v>
      </c>
      <c r="G7343" s="9"/>
      <c r="H7343" s="257" t="s">
        <v>25347</v>
      </c>
      <c r="I7343" s="9">
        <v>4</v>
      </c>
    </row>
    <row r="7344" spans="1:9">
      <c r="A7344" s="257" t="s">
        <v>8442</v>
      </c>
      <c r="B7344" s="9">
        <v>7</v>
      </c>
      <c r="C7344" s="257" t="s">
        <v>13722</v>
      </c>
      <c r="D7344" s="9">
        <v>4.1496544814371671E-3</v>
      </c>
      <c r="E7344" s="9"/>
      <c r="F7344" s="257" t="s">
        <v>17766</v>
      </c>
      <c r="G7344" s="9"/>
      <c r="H7344" s="257" t="s">
        <v>25348</v>
      </c>
      <c r="I7344" s="9">
        <v>4</v>
      </c>
    </row>
    <row r="7345" spans="1:9">
      <c r="A7345" s="257" t="s">
        <v>8443</v>
      </c>
      <c r="B7345" s="9">
        <v>7</v>
      </c>
      <c r="C7345" s="257" t="s">
        <v>13722</v>
      </c>
      <c r="D7345" s="9">
        <v>5.0266341021368089E-3</v>
      </c>
      <c r="E7345" s="9"/>
      <c r="F7345" s="257" t="s">
        <v>17767</v>
      </c>
      <c r="G7345" s="9"/>
      <c r="H7345" s="257" t="s">
        <v>25349</v>
      </c>
      <c r="I7345" s="9">
        <v>4</v>
      </c>
    </row>
    <row r="7346" spans="1:9">
      <c r="A7346" s="257" t="s">
        <v>8444</v>
      </c>
      <c r="B7346" s="9">
        <v>7</v>
      </c>
      <c r="C7346" s="257" t="s">
        <v>13722</v>
      </c>
      <c r="D7346" s="9">
        <v>3.404176388587689E-3</v>
      </c>
      <c r="E7346" s="9"/>
      <c r="F7346" s="257" t="s">
        <v>17768</v>
      </c>
      <c r="G7346" s="9"/>
      <c r="H7346" s="257" t="s">
        <v>25350</v>
      </c>
      <c r="I7346" s="9">
        <v>4</v>
      </c>
    </row>
    <row r="7347" spans="1:9">
      <c r="A7347" s="257" t="s">
        <v>8445</v>
      </c>
      <c r="B7347" s="9">
        <v>7</v>
      </c>
      <c r="C7347" s="257" t="s">
        <v>13722</v>
      </c>
      <c r="D7347" s="9">
        <v>1.5760515275657593E-2</v>
      </c>
      <c r="E7347" s="9"/>
      <c r="F7347" s="257" t="s">
        <v>17769</v>
      </c>
      <c r="G7347" s="9"/>
      <c r="H7347" s="257" t="s">
        <v>25351</v>
      </c>
      <c r="I7347" s="9">
        <v>4</v>
      </c>
    </row>
    <row r="7348" spans="1:9">
      <c r="A7348" s="257" t="s">
        <v>8446</v>
      </c>
      <c r="B7348" s="9">
        <v>7</v>
      </c>
      <c r="C7348" s="257" t="s">
        <v>13722</v>
      </c>
      <c r="D7348" s="9">
        <v>1.2876899117968419E-2</v>
      </c>
      <c r="E7348" s="9"/>
      <c r="F7348" s="257" t="s">
        <v>17770</v>
      </c>
      <c r="G7348" s="9"/>
      <c r="H7348" s="257" t="s">
        <v>25352</v>
      </c>
      <c r="I7348" s="9">
        <v>4</v>
      </c>
    </row>
    <row r="7349" spans="1:9">
      <c r="A7349" s="257" t="s">
        <v>8447</v>
      </c>
      <c r="B7349" s="9">
        <v>7</v>
      </c>
      <c r="C7349" s="257" t="s">
        <v>13722</v>
      </c>
      <c r="D7349" s="9">
        <v>1.3331236646333013E-2</v>
      </c>
      <c r="E7349" s="9"/>
      <c r="F7349" s="257" t="s">
        <v>17771</v>
      </c>
      <c r="G7349" s="9"/>
      <c r="H7349" s="257" t="s">
        <v>25353</v>
      </c>
      <c r="I7349" s="9">
        <v>4</v>
      </c>
    </row>
    <row r="7350" spans="1:9">
      <c r="A7350" s="257" t="s">
        <v>8448</v>
      </c>
      <c r="B7350" s="9">
        <v>7</v>
      </c>
      <c r="C7350" s="257" t="s">
        <v>13722</v>
      </c>
      <c r="D7350" s="9">
        <v>1.5972826336891354E-2</v>
      </c>
      <c r="E7350" s="9"/>
      <c r="F7350" s="257" t="s">
        <v>17772</v>
      </c>
      <c r="G7350" s="9"/>
      <c r="H7350" s="257" t="s">
        <v>25354</v>
      </c>
      <c r="I7350" s="9">
        <v>4</v>
      </c>
    </row>
    <row r="7351" spans="1:9">
      <c r="A7351" s="257" t="s">
        <v>8449</v>
      </c>
      <c r="B7351" s="9">
        <v>7</v>
      </c>
      <c r="C7351" s="257" t="s">
        <v>13722</v>
      </c>
      <c r="D7351" s="9">
        <v>1.64282776811502E-2</v>
      </c>
      <c r="E7351" s="9"/>
      <c r="F7351" s="257" t="s">
        <v>17773</v>
      </c>
      <c r="G7351" s="9"/>
      <c r="H7351" s="257" t="s">
        <v>25355</v>
      </c>
      <c r="I7351" s="9">
        <v>4</v>
      </c>
    </row>
    <row r="7352" spans="1:9">
      <c r="A7352" s="257" t="s">
        <v>8450</v>
      </c>
      <c r="B7352" s="9">
        <v>7</v>
      </c>
      <c r="C7352" s="257" t="s">
        <v>13722</v>
      </c>
      <c r="D7352" s="9">
        <v>-4.6511772365891279E-3</v>
      </c>
      <c r="E7352" s="9"/>
      <c r="F7352" s="257" t="s">
        <v>17774</v>
      </c>
      <c r="G7352" s="9"/>
      <c r="H7352" s="257" t="s">
        <v>25356</v>
      </c>
      <c r="I7352" s="9">
        <v>4</v>
      </c>
    </row>
    <row r="7353" spans="1:9">
      <c r="A7353" s="257" t="s">
        <v>8451</v>
      </c>
      <c r="B7353" s="9">
        <v>7</v>
      </c>
      <c r="C7353" s="257" t="s">
        <v>13722</v>
      </c>
      <c r="D7353" s="9"/>
      <c r="E7353" s="9"/>
      <c r="F7353" s="257" t="s">
        <v>17775</v>
      </c>
      <c r="G7353" s="9"/>
      <c r="H7353" s="257" t="s">
        <v>25357</v>
      </c>
      <c r="I7353" s="9">
        <v>4</v>
      </c>
    </row>
    <row r="7354" spans="1:9">
      <c r="A7354" s="257" t="s">
        <v>8452</v>
      </c>
      <c r="B7354" s="9">
        <v>7</v>
      </c>
      <c r="C7354" s="257" t="s">
        <v>13722</v>
      </c>
      <c r="D7354" s="9">
        <v>1.4395657686401468E-2</v>
      </c>
      <c r="E7354" s="9"/>
      <c r="F7354" s="257" t="s">
        <v>17776</v>
      </c>
      <c r="G7354" s="9"/>
      <c r="H7354" s="257" t="s">
        <v>25358</v>
      </c>
      <c r="I7354" s="9">
        <v>4</v>
      </c>
    </row>
    <row r="7355" spans="1:9">
      <c r="A7355" s="257" t="s">
        <v>8453</v>
      </c>
      <c r="B7355" s="9">
        <v>7</v>
      </c>
      <c r="C7355" s="257" t="s">
        <v>13722</v>
      </c>
      <c r="D7355" s="9">
        <v>1.7447967007355871E-2</v>
      </c>
      <c r="E7355" s="9"/>
      <c r="F7355" s="257" t="s">
        <v>17777</v>
      </c>
      <c r="G7355" s="9"/>
      <c r="H7355" s="257" t="s">
        <v>25359</v>
      </c>
      <c r="I7355" s="9">
        <v>4</v>
      </c>
    </row>
    <row r="7356" spans="1:9">
      <c r="A7356" s="257" t="s">
        <v>8454</v>
      </c>
      <c r="B7356" s="9">
        <v>7</v>
      </c>
      <c r="C7356" s="257" t="s">
        <v>13722</v>
      </c>
      <c r="D7356" s="9">
        <v>7.0364821509637026E-3</v>
      </c>
      <c r="E7356" s="9"/>
      <c r="F7356" s="257" t="s">
        <v>17778</v>
      </c>
      <c r="G7356" s="9"/>
      <c r="H7356" s="257" t="s">
        <v>25360</v>
      </c>
      <c r="I7356" s="9">
        <v>4</v>
      </c>
    </row>
    <row r="7357" spans="1:9">
      <c r="A7357" s="257" t="s">
        <v>8455</v>
      </c>
      <c r="B7357" s="9">
        <v>7</v>
      </c>
      <c r="C7357" s="257" t="s">
        <v>13722</v>
      </c>
      <c r="D7357" s="9">
        <v>6.0118875026291397E-4</v>
      </c>
      <c r="E7357" s="9"/>
      <c r="F7357" s="257" t="s">
        <v>17779</v>
      </c>
      <c r="G7357" s="9"/>
      <c r="H7357" s="257" t="s">
        <v>25361</v>
      </c>
      <c r="I7357" s="9">
        <v>4</v>
      </c>
    </row>
    <row r="7358" spans="1:9">
      <c r="A7358" s="257" t="s">
        <v>8456</v>
      </c>
      <c r="B7358" s="9">
        <v>7</v>
      </c>
      <c r="C7358" s="257" t="s">
        <v>13722</v>
      </c>
      <c r="D7358" s="9">
        <v>4.4472384995538792E-4</v>
      </c>
      <c r="E7358" s="9"/>
      <c r="F7358" s="257" t="s">
        <v>17780</v>
      </c>
      <c r="G7358" s="9"/>
      <c r="H7358" s="257" t="s">
        <v>25362</v>
      </c>
      <c r="I7358" s="9">
        <v>4</v>
      </c>
    </row>
    <row r="7359" spans="1:9">
      <c r="A7359" s="257" t="s">
        <v>8457</v>
      </c>
      <c r="B7359" s="9">
        <v>7</v>
      </c>
      <c r="C7359" s="257" t="s">
        <v>13722</v>
      </c>
      <c r="D7359" s="9">
        <v>1.3772694105107021E-2</v>
      </c>
      <c r="E7359" s="9"/>
      <c r="F7359" s="257" t="s">
        <v>17781</v>
      </c>
      <c r="G7359" s="9"/>
      <c r="H7359" s="257" t="s">
        <v>25363</v>
      </c>
      <c r="I7359" s="9">
        <v>4</v>
      </c>
    </row>
    <row r="7360" spans="1:9">
      <c r="A7360" s="257" t="s">
        <v>8458</v>
      </c>
      <c r="B7360" s="9">
        <v>7</v>
      </c>
      <c r="C7360" s="257" t="s">
        <v>13722</v>
      </c>
      <c r="D7360" s="9"/>
      <c r="E7360" s="9"/>
      <c r="F7360" s="257" t="s">
        <v>17782</v>
      </c>
      <c r="G7360" s="9"/>
      <c r="H7360" s="257" t="s">
        <v>25364</v>
      </c>
      <c r="I7360" s="9">
        <v>4</v>
      </c>
    </row>
    <row r="7361" spans="1:9">
      <c r="A7361" s="257" t="s">
        <v>8459</v>
      </c>
      <c r="B7361" s="9">
        <v>7</v>
      </c>
      <c r="C7361" s="257" t="s">
        <v>13722</v>
      </c>
      <c r="D7361" s="9">
        <v>1.2840626760786763E-2</v>
      </c>
      <c r="E7361" s="9"/>
      <c r="F7361" s="257" t="s">
        <v>17783</v>
      </c>
      <c r="G7361" s="9"/>
      <c r="H7361" s="257" t="s">
        <v>25365</v>
      </c>
      <c r="I7361" s="9">
        <v>4</v>
      </c>
    </row>
    <row r="7362" spans="1:9">
      <c r="A7362" s="257" t="s">
        <v>8460</v>
      </c>
      <c r="B7362" s="9">
        <v>7</v>
      </c>
      <c r="C7362" s="257" t="s">
        <v>13722</v>
      </c>
      <c r="D7362" s="9">
        <v>6.9547183458394399E-3</v>
      </c>
      <c r="E7362" s="9"/>
      <c r="F7362" s="257" t="s">
        <v>17784</v>
      </c>
      <c r="G7362" s="9"/>
      <c r="H7362" s="257" t="s">
        <v>25366</v>
      </c>
      <c r="I7362" s="9">
        <v>4</v>
      </c>
    </row>
    <row r="7363" spans="1:9">
      <c r="A7363" s="257" t="s">
        <v>8461</v>
      </c>
      <c r="B7363" s="9">
        <v>7</v>
      </c>
      <c r="C7363" s="257" t="s">
        <v>13722</v>
      </c>
      <c r="D7363" s="9">
        <v>2.3029299593017617E-3</v>
      </c>
      <c r="E7363" s="9"/>
      <c r="F7363" s="257" t="s">
        <v>17785</v>
      </c>
      <c r="G7363" s="9"/>
      <c r="H7363" s="257" t="s">
        <v>25367</v>
      </c>
      <c r="I7363" s="9">
        <v>4</v>
      </c>
    </row>
    <row r="7364" spans="1:9">
      <c r="A7364" s="257" t="s">
        <v>8462</v>
      </c>
      <c r="B7364" s="9">
        <v>7</v>
      </c>
      <c r="C7364" s="257" t="s">
        <v>13722</v>
      </c>
      <c r="D7364" s="9">
        <v>6.9276210357893959E-3</v>
      </c>
      <c r="E7364" s="9"/>
      <c r="F7364" s="257" t="s">
        <v>17786</v>
      </c>
      <c r="G7364" s="9"/>
      <c r="H7364" s="257" t="s">
        <v>25368</v>
      </c>
      <c r="I7364" s="9">
        <v>4</v>
      </c>
    </row>
    <row r="7365" spans="1:9">
      <c r="A7365" s="257" t="s">
        <v>8463</v>
      </c>
      <c r="B7365" s="9">
        <v>7</v>
      </c>
      <c r="C7365" s="257" t="s">
        <v>13722</v>
      </c>
      <c r="D7365" s="9">
        <v>-3.7348179455102904E-3</v>
      </c>
      <c r="E7365" s="9"/>
      <c r="F7365" s="257" t="s">
        <v>17787</v>
      </c>
      <c r="G7365" s="9"/>
      <c r="H7365" s="257" t="s">
        <v>25369</v>
      </c>
      <c r="I7365" s="9">
        <v>4</v>
      </c>
    </row>
    <row r="7366" spans="1:9">
      <c r="A7366" s="257" t="s">
        <v>8464</v>
      </c>
      <c r="B7366" s="9">
        <v>7</v>
      </c>
      <c r="C7366" s="257" t="s">
        <v>13722</v>
      </c>
      <c r="D7366" s="9">
        <v>-4.1775709209867862E-3</v>
      </c>
      <c r="E7366" s="9"/>
      <c r="F7366" s="257" t="s">
        <v>17788</v>
      </c>
      <c r="G7366" s="9"/>
      <c r="H7366" s="257" t="s">
        <v>25370</v>
      </c>
      <c r="I7366" s="9">
        <v>4</v>
      </c>
    </row>
    <row r="7367" spans="1:9">
      <c r="A7367" s="257" t="s">
        <v>8465</v>
      </c>
      <c r="B7367" s="9">
        <v>8</v>
      </c>
      <c r="C7367" s="257" t="s">
        <v>13722</v>
      </c>
      <c r="D7367" s="9">
        <v>1.082432977100076E-2</v>
      </c>
      <c r="E7367" s="9"/>
      <c r="F7367" s="257" t="s">
        <v>17789</v>
      </c>
      <c r="G7367" s="9"/>
      <c r="H7367" s="257" t="s">
        <v>25371</v>
      </c>
      <c r="I7367" s="9">
        <v>4</v>
      </c>
    </row>
    <row r="7368" spans="1:9">
      <c r="A7368" s="257" t="s">
        <v>8466</v>
      </c>
      <c r="B7368" s="9">
        <v>8</v>
      </c>
      <c r="C7368" s="257" t="s">
        <v>13722</v>
      </c>
      <c r="D7368" s="9">
        <v>1.1372771406345638E-2</v>
      </c>
      <c r="E7368" s="9"/>
      <c r="F7368" s="257" t="s">
        <v>17790</v>
      </c>
      <c r="G7368" s="9"/>
      <c r="H7368" s="257" t="s">
        <v>25372</v>
      </c>
      <c r="I7368" s="9">
        <v>4</v>
      </c>
    </row>
    <row r="7369" spans="1:9">
      <c r="A7369" s="257" t="s">
        <v>8467</v>
      </c>
      <c r="B7369" s="9">
        <v>8</v>
      </c>
      <c r="C7369" s="257" t="s">
        <v>13722</v>
      </c>
      <c r="D7369" s="9">
        <v>4.6117304519982154E-3</v>
      </c>
      <c r="E7369" s="9"/>
      <c r="F7369" s="257" t="s">
        <v>17791</v>
      </c>
      <c r="G7369" s="9"/>
      <c r="H7369" s="257" t="s">
        <v>25373</v>
      </c>
      <c r="I7369" s="9">
        <v>4</v>
      </c>
    </row>
    <row r="7370" spans="1:9">
      <c r="A7370" s="257" t="s">
        <v>8468</v>
      </c>
      <c r="B7370" s="9">
        <v>8</v>
      </c>
      <c r="C7370" s="257" t="s">
        <v>13722</v>
      </c>
      <c r="D7370" s="9">
        <v>1.9710086395429796E-3</v>
      </c>
      <c r="E7370" s="9"/>
      <c r="F7370" s="257" t="s">
        <v>17792</v>
      </c>
      <c r="G7370" s="9"/>
      <c r="H7370" s="257" t="s">
        <v>25374</v>
      </c>
      <c r="I7370" s="9">
        <v>4</v>
      </c>
    </row>
    <row r="7371" spans="1:9">
      <c r="A7371" s="257" t="s">
        <v>8469</v>
      </c>
      <c r="B7371" s="9">
        <v>8</v>
      </c>
      <c r="C7371" s="257" t="s">
        <v>13722</v>
      </c>
      <c r="D7371" s="9">
        <v>1.6811034688980471E-3</v>
      </c>
      <c r="E7371" s="9"/>
      <c r="F7371" s="257" t="s">
        <v>17793</v>
      </c>
      <c r="G7371" s="9"/>
      <c r="H7371" s="257" t="s">
        <v>25375</v>
      </c>
      <c r="I7371" s="9">
        <v>4</v>
      </c>
    </row>
    <row r="7372" spans="1:9">
      <c r="A7372" s="257" t="s">
        <v>8470</v>
      </c>
      <c r="B7372" s="9">
        <v>8</v>
      </c>
      <c r="C7372" s="257" t="s">
        <v>13722</v>
      </c>
      <c r="D7372" s="9">
        <v>1.4948428251131331E-2</v>
      </c>
      <c r="E7372" s="9"/>
      <c r="F7372" s="257" t="s">
        <v>17794</v>
      </c>
      <c r="G7372" s="9"/>
      <c r="H7372" s="257" t="s">
        <v>25376</v>
      </c>
      <c r="I7372" s="9">
        <v>4</v>
      </c>
    </row>
    <row r="7373" spans="1:9">
      <c r="A7373" s="257" t="s">
        <v>8471</v>
      </c>
      <c r="B7373" s="9">
        <v>8</v>
      </c>
      <c r="C7373" s="257" t="s">
        <v>13722</v>
      </c>
      <c r="D7373" s="9">
        <v>1.3479541260480029E-2</v>
      </c>
      <c r="E7373" s="9"/>
      <c r="F7373" s="257" t="s">
        <v>17795</v>
      </c>
      <c r="G7373" s="9"/>
      <c r="H7373" s="257" t="s">
        <v>25377</v>
      </c>
      <c r="I7373" s="9">
        <v>4</v>
      </c>
    </row>
    <row r="7374" spans="1:9">
      <c r="A7374" s="257" t="s">
        <v>8472</v>
      </c>
      <c r="B7374" s="9">
        <v>8</v>
      </c>
      <c r="C7374" s="257" t="s">
        <v>13722</v>
      </c>
      <c r="D7374" s="9">
        <v>1.3915114557201883E-2</v>
      </c>
      <c r="E7374" s="9"/>
      <c r="F7374" s="257" t="s">
        <v>17796</v>
      </c>
      <c r="G7374" s="9"/>
      <c r="H7374" s="257" t="s">
        <v>25378</v>
      </c>
      <c r="I7374" s="9">
        <v>4</v>
      </c>
    </row>
    <row r="7375" spans="1:9">
      <c r="A7375" s="257" t="s">
        <v>8473</v>
      </c>
      <c r="B7375" s="9">
        <v>8</v>
      </c>
      <c r="C7375" s="257" t="s">
        <v>13722</v>
      </c>
      <c r="D7375" s="9">
        <v>1.7653234474353068E-2</v>
      </c>
      <c r="E7375" s="9"/>
      <c r="F7375" s="257" t="s">
        <v>17797</v>
      </c>
      <c r="G7375" s="9"/>
      <c r="H7375" s="257" t="s">
        <v>25379</v>
      </c>
      <c r="I7375" s="9">
        <v>4</v>
      </c>
    </row>
    <row r="7376" spans="1:9">
      <c r="A7376" s="257" t="s">
        <v>8474</v>
      </c>
      <c r="B7376" s="9">
        <v>8</v>
      </c>
      <c r="C7376" s="257" t="s">
        <v>13722</v>
      </c>
      <c r="D7376" s="9">
        <v>1.8110066155884452E-2</v>
      </c>
      <c r="E7376" s="9"/>
      <c r="F7376" s="257" t="s">
        <v>17798</v>
      </c>
      <c r="G7376" s="9"/>
      <c r="H7376" s="257" t="s">
        <v>25380</v>
      </c>
      <c r="I7376" s="9">
        <v>4</v>
      </c>
    </row>
    <row r="7377" spans="1:9">
      <c r="A7377" s="257" t="s">
        <v>8475</v>
      </c>
      <c r="B7377" s="9">
        <v>8</v>
      </c>
      <c r="C7377" s="257" t="s">
        <v>13722</v>
      </c>
      <c r="D7377" s="9">
        <v>-5.1704955125131211E-3</v>
      </c>
      <c r="E7377" s="9"/>
      <c r="F7377" s="257" t="s">
        <v>17799</v>
      </c>
      <c r="G7377" s="9"/>
      <c r="H7377" s="257" t="s">
        <v>25381</v>
      </c>
      <c r="I7377" s="9">
        <v>4</v>
      </c>
    </row>
    <row r="7378" spans="1:9">
      <c r="A7378" s="257" t="s">
        <v>8476</v>
      </c>
      <c r="B7378" s="9">
        <v>8</v>
      </c>
      <c r="C7378" s="257" t="s">
        <v>13722</v>
      </c>
      <c r="D7378" s="9"/>
      <c r="E7378" s="9"/>
      <c r="F7378" s="257" t="s">
        <v>17800</v>
      </c>
      <c r="G7378" s="9"/>
      <c r="H7378" s="257" t="s">
        <v>25382</v>
      </c>
      <c r="I7378" s="9">
        <v>4</v>
      </c>
    </row>
    <row r="7379" spans="1:9">
      <c r="A7379" s="257" t="s">
        <v>8477</v>
      </c>
      <c r="B7379" s="9">
        <v>8</v>
      </c>
      <c r="C7379" s="257" t="s">
        <v>13722</v>
      </c>
      <c r="D7379" s="9">
        <v>8.4300055208469862E-3</v>
      </c>
      <c r="E7379" s="9"/>
      <c r="F7379" s="257" t="s">
        <v>17801</v>
      </c>
      <c r="G7379" s="9"/>
      <c r="H7379" s="257" t="s">
        <v>25383</v>
      </c>
      <c r="I7379" s="9">
        <v>4</v>
      </c>
    </row>
    <row r="7380" spans="1:9">
      <c r="A7380" s="257" t="s">
        <v>8478</v>
      </c>
      <c r="B7380" s="9">
        <v>8</v>
      </c>
      <c r="C7380" s="257" t="s">
        <v>13722</v>
      </c>
      <c r="D7380" s="9">
        <v>1.4342791615649053E-2</v>
      </c>
      <c r="E7380" s="9"/>
      <c r="F7380" s="257" t="s">
        <v>17802</v>
      </c>
      <c r="G7380" s="9"/>
      <c r="H7380" s="257" t="s">
        <v>25384</v>
      </c>
      <c r="I7380" s="9">
        <v>4</v>
      </c>
    </row>
    <row r="7381" spans="1:9">
      <c r="A7381" s="257" t="s">
        <v>8479</v>
      </c>
      <c r="B7381" s="9">
        <v>8</v>
      </c>
      <c r="C7381" s="257" t="s">
        <v>13722</v>
      </c>
      <c r="D7381" s="9">
        <v>5.0897794619369809E-3</v>
      </c>
      <c r="E7381" s="9"/>
      <c r="F7381" s="257" t="s">
        <v>17803</v>
      </c>
      <c r="G7381" s="9"/>
      <c r="H7381" s="257" t="s">
        <v>25385</v>
      </c>
      <c r="I7381" s="9">
        <v>4</v>
      </c>
    </row>
    <row r="7382" spans="1:9">
      <c r="A7382" s="257" t="s">
        <v>8480</v>
      </c>
      <c r="B7382" s="9">
        <v>8</v>
      </c>
      <c r="C7382" s="257" t="s">
        <v>13722</v>
      </c>
      <c r="D7382" s="9">
        <v>5.4464665294508741E-4</v>
      </c>
      <c r="E7382" s="9"/>
      <c r="F7382" s="257" t="s">
        <v>17804</v>
      </c>
      <c r="G7382" s="9"/>
      <c r="H7382" s="257" t="s">
        <v>25386</v>
      </c>
      <c r="I7382" s="9">
        <v>4</v>
      </c>
    </row>
    <row r="7383" spans="1:9">
      <c r="A7383" s="257" t="s">
        <v>8481</v>
      </c>
      <c r="B7383" s="9">
        <v>8</v>
      </c>
      <c r="C7383" s="257" t="s">
        <v>13722</v>
      </c>
      <c r="D7383" s="9">
        <v>3.4721572046289014E-4</v>
      </c>
      <c r="E7383" s="9"/>
      <c r="F7383" s="257" t="s">
        <v>17805</v>
      </c>
      <c r="G7383" s="9"/>
      <c r="H7383" s="257" t="s">
        <v>25387</v>
      </c>
      <c r="I7383" s="9">
        <v>4</v>
      </c>
    </row>
    <row r="7384" spans="1:9">
      <c r="A7384" s="257" t="s">
        <v>8482</v>
      </c>
      <c r="B7384" s="9">
        <v>8</v>
      </c>
      <c r="C7384" s="257" t="s">
        <v>13722</v>
      </c>
      <c r="D7384" s="9">
        <v>1.290403393190314E-2</v>
      </c>
      <c r="E7384" s="9"/>
      <c r="F7384" s="257" t="s">
        <v>17806</v>
      </c>
      <c r="G7384" s="9"/>
      <c r="H7384" s="257" t="s">
        <v>25388</v>
      </c>
      <c r="I7384" s="9">
        <v>4</v>
      </c>
    </row>
    <row r="7385" spans="1:9">
      <c r="A7385" s="257" t="s">
        <v>8483</v>
      </c>
      <c r="B7385" s="9">
        <v>8</v>
      </c>
      <c r="C7385" s="257" t="s">
        <v>13722</v>
      </c>
      <c r="D7385" s="9"/>
      <c r="E7385" s="9"/>
      <c r="F7385" s="257" t="s">
        <v>17807</v>
      </c>
      <c r="G7385" s="9"/>
      <c r="H7385" s="257" t="s">
        <v>25389</v>
      </c>
      <c r="I7385" s="9">
        <v>4</v>
      </c>
    </row>
    <row r="7386" spans="1:9">
      <c r="A7386" s="257" t="s">
        <v>8484</v>
      </c>
      <c r="B7386" s="9">
        <v>8</v>
      </c>
      <c r="C7386" s="257" t="s">
        <v>13722</v>
      </c>
      <c r="D7386" s="9">
        <v>1.1971986888221492E-2</v>
      </c>
      <c r="E7386" s="9"/>
      <c r="F7386" s="257" t="s">
        <v>17808</v>
      </c>
      <c r="G7386" s="9"/>
      <c r="H7386" s="257" t="s">
        <v>25390</v>
      </c>
      <c r="I7386" s="9">
        <v>4</v>
      </c>
    </row>
    <row r="7387" spans="1:9">
      <c r="A7387" s="257" t="s">
        <v>8485</v>
      </c>
      <c r="B7387" s="9">
        <v>8</v>
      </c>
      <c r="C7387" s="257" t="s">
        <v>13722</v>
      </c>
      <c r="D7387" s="9">
        <v>7.538914681252562E-3</v>
      </c>
      <c r="E7387" s="9"/>
      <c r="F7387" s="257" t="s">
        <v>17809</v>
      </c>
      <c r="G7387" s="9"/>
      <c r="H7387" s="257" t="s">
        <v>25391</v>
      </c>
      <c r="I7387" s="9">
        <v>4</v>
      </c>
    </row>
    <row r="7388" spans="1:9">
      <c r="A7388" s="257" t="s">
        <v>8486</v>
      </c>
      <c r="B7388" s="9">
        <v>8</v>
      </c>
      <c r="C7388" s="257" t="s">
        <v>13722</v>
      </c>
      <c r="D7388" s="9">
        <v>2.3022181413043623E-3</v>
      </c>
      <c r="E7388" s="9"/>
      <c r="F7388" s="257" t="s">
        <v>17810</v>
      </c>
      <c r="G7388" s="9"/>
      <c r="H7388" s="257" t="s">
        <v>25392</v>
      </c>
      <c r="I7388" s="9">
        <v>4</v>
      </c>
    </row>
    <row r="7389" spans="1:9">
      <c r="A7389" s="257" t="s">
        <v>8487</v>
      </c>
      <c r="B7389" s="9">
        <v>8</v>
      </c>
      <c r="C7389" s="257" t="s">
        <v>13722</v>
      </c>
      <c r="D7389" s="9">
        <v>8.2871060096914168E-3</v>
      </c>
      <c r="E7389" s="9"/>
      <c r="F7389" s="257" t="s">
        <v>17811</v>
      </c>
      <c r="G7389" s="9"/>
      <c r="H7389" s="257" t="s">
        <v>25393</v>
      </c>
      <c r="I7389" s="9">
        <v>4</v>
      </c>
    </row>
    <row r="7390" spans="1:9">
      <c r="A7390" s="257" t="s">
        <v>8488</v>
      </c>
      <c r="B7390" s="9">
        <v>8</v>
      </c>
      <c r="C7390" s="257" t="s">
        <v>13722</v>
      </c>
      <c r="D7390" s="9">
        <v>-2.3436388970730138E-3</v>
      </c>
      <c r="E7390" s="9"/>
      <c r="F7390" s="257" t="s">
        <v>17812</v>
      </c>
      <c r="G7390" s="9"/>
      <c r="H7390" s="257" t="s">
        <v>25394</v>
      </c>
      <c r="I7390" s="9">
        <v>4</v>
      </c>
    </row>
    <row r="7391" spans="1:9">
      <c r="A7391" s="257" t="s">
        <v>8489</v>
      </c>
      <c r="B7391" s="9">
        <v>8</v>
      </c>
      <c r="C7391" s="257" t="s">
        <v>13722</v>
      </c>
      <c r="D7391" s="9">
        <v>-4.6297179429825447E-3</v>
      </c>
      <c r="E7391" s="9"/>
      <c r="F7391" s="257" t="s">
        <v>17813</v>
      </c>
      <c r="G7391" s="9"/>
      <c r="H7391" s="257" t="s">
        <v>25395</v>
      </c>
      <c r="I7391" s="9">
        <v>4</v>
      </c>
    </row>
    <row r="7392" spans="1:9">
      <c r="A7392" s="257" t="s">
        <v>8490</v>
      </c>
      <c r="B7392" s="9">
        <v>9</v>
      </c>
      <c r="C7392" s="257" t="s">
        <v>13722</v>
      </c>
      <c r="D7392" s="9">
        <v>1.0682584659853328E-2</v>
      </c>
      <c r="E7392" s="9"/>
      <c r="F7392" s="257" t="s">
        <v>17814</v>
      </c>
      <c r="G7392" s="9"/>
      <c r="H7392" s="257" t="s">
        <v>25396</v>
      </c>
      <c r="I7392" s="9">
        <v>4</v>
      </c>
    </row>
    <row r="7393" spans="1:9">
      <c r="A7393" s="257" t="s">
        <v>8491</v>
      </c>
      <c r="B7393" s="9">
        <v>9</v>
      </c>
      <c r="C7393" s="257" t="s">
        <v>13722</v>
      </c>
      <c r="D7393" s="9">
        <v>1.1215027619475959E-2</v>
      </c>
      <c r="E7393" s="9"/>
      <c r="F7393" s="257" t="s">
        <v>17815</v>
      </c>
      <c r="G7393" s="9"/>
      <c r="H7393" s="257" t="s">
        <v>25397</v>
      </c>
      <c r="I7393" s="9">
        <v>4</v>
      </c>
    </row>
    <row r="7394" spans="1:9">
      <c r="A7394" s="257" t="s">
        <v>8492</v>
      </c>
      <c r="B7394" s="9">
        <v>9</v>
      </c>
      <c r="C7394" s="257" t="s">
        <v>13722</v>
      </c>
      <c r="D7394" s="9">
        <v>4.7370832644419488E-3</v>
      </c>
      <c r="E7394" s="9"/>
      <c r="F7394" s="257" t="s">
        <v>17816</v>
      </c>
      <c r="G7394" s="9"/>
      <c r="H7394" s="257" t="s">
        <v>25398</v>
      </c>
      <c r="I7394" s="9">
        <v>4</v>
      </c>
    </row>
    <row r="7395" spans="1:9">
      <c r="A7395" s="257" t="s">
        <v>8493</v>
      </c>
      <c r="B7395" s="9">
        <v>9</v>
      </c>
      <c r="C7395" s="257" t="s">
        <v>13722</v>
      </c>
      <c r="D7395" s="9">
        <v>1.3699141714829995E-3</v>
      </c>
      <c r="E7395" s="9"/>
      <c r="F7395" s="257" t="s">
        <v>17817</v>
      </c>
      <c r="G7395" s="9"/>
      <c r="H7395" s="257" t="s">
        <v>25399</v>
      </c>
      <c r="I7395" s="9">
        <v>4</v>
      </c>
    </row>
    <row r="7396" spans="1:9">
      <c r="A7396" s="257" t="s">
        <v>8494</v>
      </c>
      <c r="B7396" s="9">
        <v>9</v>
      </c>
      <c r="C7396" s="257" t="s">
        <v>13722</v>
      </c>
      <c r="D7396" s="9">
        <v>1.3947353528079715E-3</v>
      </c>
      <c r="E7396" s="9"/>
      <c r="F7396" s="257" t="s">
        <v>17818</v>
      </c>
      <c r="G7396" s="9"/>
      <c r="H7396" s="257" t="s">
        <v>25400</v>
      </c>
      <c r="I7396" s="9">
        <v>4</v>
      </c>
    </row>
    <row r="7397" spans="1:9">
      <c r="A7397" s="257" t="s">
        <v>8495</v>
      </c>
      <c r="B7397" s="9">
        <v>9</v>
      </c>
      <c r="C7397" s="257" t="s">
        <v>13722</v>
      </c>
      <c r="D7397" s="9">
        <v>1.5441463002583214E-2</v>
      </c>
      <c r="E7397" s="9"/>
      <c r="F7397" s="257" t="s">
        <v>17819</v>
      </c>
      <c r="G7397" s="9"/>
      <c r="H7397" s="257" t="s">
        <v>25401</v>
      </c>
      <c r="I7397" s="9">
        <v>4</v>
      </c>
    </row>
    <row r="7398" spans="1:9">
      <c r="A7398" s="257" t="s">
        <v>8496</v>
      </c>
      <c r="B7398" s="9">
        <v>9</v>
      </c>
      <c r="C7398" s="257" t="s">
        <v>13722</v>
      </c>
      <c r="D7398" s="9">
        <v>1.412652608074369E-2</v>
      </c>
      <c r="E7398" s="9"/>
      <c r="F7398" s="257" t="s">
        <v>17820</v>
      </c>
      <c r="G7398" s="9"/>
      <c r="H7398" s="257" t="s">
        <v>25402</v>
      </c>
      <c r="I7398" s="9">
        <v>4</v>
      </c>
    </row>
    <row r="7399" spans="1:9">
      <c r="A7399" s="257" t="s">
        <v>8497</v>
      </c>
      <c r="B7399" s="9">
        <v>9</v>
      </c>
      <c r="C7399" s="257" t="s">
        <v>13722</v>
      </c>
      <c r="D7399" s="9">
        <v>1.4605552419759792E-2</v>
      </c>
      <c r="E7399" s="9"/>
      <c r="F7399" s="257" t="s">
        <v>17821</v>
      </c>
      <c r="G7399" s="9"/>
      <c r="H7399" s="257" t="s">
        <v>25403</v>
      </c>
      <c r="I7399" s="9">
        <v>4</v>
      </c>
    </row>
    <row r="7400" spans="1:9">
      <c r="A7400" s="257" t="s">
        <v>8498</v>
      </c>
      <c r="B7400" s="9">
        <v>9</v>
      </c>
      <c r="C7400" s="257" t="s">
        <v>13722</v>
      </c>
      <c r="D7400" s="9">
        <v>1.8628800004389393E-2</v>
      </c>
      <c r="E7400" s="9"/>
      <c r="F7400" s="257" t="s">
        <v>17822</v>
      </c>
      <c r="G7400" s="9"/>
      <c r="H7400" s="257" t="s">
        <v>25404</v>
      </c>
      <c r="I7400" s="9">
        <v>4</v>
      </c>
    </row>
    <row r="7401" spans="1:9">
      <c r="A7401" s="257" t="s">
        <v>8499</v>
      </c>
      <c r="B7401" s="9">
        <v>9</v>
      </c>
      <c r="C7401" s="257" t="s">
        <v>13722</v>
      </c>
      <c r="D7401" s="9">
        <v>1.9107826343405493E-2</v>
      </c>
      <c r="E7401" s="9"/>
      <c r="F7401" s="257" t="s">
        <v>17823</v>
      </c>
      <c r="G7401" s="9"/>
      <c r="H7401" s="257" t="s">
        <v>25405</v>
      </c>
      <c r="I7401" s="9">
        <v>4</v>
      </c>
    </row>
    <row r="7402" spans="1:9">
      <c r="A7402" s="257" t="s">
        <v>8500</v>
      </c>
      <c r="B7402" s="9">
        <v>9</v>
      </c>
      <c r="C7402" s="257" t="s">
        <v>13722</v>
      </c>
      <c r="D7402" s="9">
        <v>-4.9696058745183512E-3</v>
      </c>
      <c r="E7402" s="9"/>
      <c r="F7402" s="257" t="s">
        <v>17824</v>
      </c>
      <c r="G7402" s="9"/>
      <c r="H7402" s="257" t="s">
        <v>25406</v>
      </c>
      <c r="I7402" s="9">
        <v>4</v>
      </c>
    </row>
    <row r="7403" spans="1:9">
      <c r="A7403" s="257" t="s">
        <v>8501</v>
      </c>
      <c r="B7403" s="9">
        <v>9</v>
      </c>
      <c r="C7403" s="257" t="s">
        <v>13722</v>
      </c>
      <c r="D7403" s="9"/>
      <c r="E7403" s="9"/>
      <c r="F7403" s="257" t="s">
        <v>17825</v>
      </c>
      <c r="G7403" s="9"/>
      <c r="H7403" s="257" t="s">
        <v>25407</v>
      </c>
      <c r="I7403" s="9">
        <v>4</v>
      </c>
    </row>
    <row r="7404" spans="1:9">
      <c r="A7404" s="257" t="s">
        <v>8502</v>
      </c>
      <c r="B7404" s="9">
        <v>9</v>
      </c>
      <c r="C7404" s="257" t="s">
        <v>13722</v>
      </c>
      <c r="D7404" s="9">
        <v>8.029849285082602E-3</v>
      </c>
      <c r="E7404" s="9"/>
      <c r="F7404" s="257" t="s">
        <v>17826</v>
      </c>
      <c r="G7404" s="9"/>
      <c r="H7404" s="257" t="s">
        <v>25408</v>
      </c>
      <c r="I7404" s="9">
        <v>4</v>
      </c>
    </row>
    <row r="7405" spans="1:9">
      <c r="A7405" s="257" t="s">
        <v>8503</v>
      </c>
      <c r="B7405" s="9">
        <v>9</v>
      </c>
      <c r="C7405" s="257" t="s">
        <v>13722</v>
      </c>
      <c r="D7405" s="9">
        <v>1.821492795737574E-2</v>
      </c>
      <c r="E7405" s="9"/>
      <c r="F7405" s="257" t="s">
        <v>17827</v>
      </c>
      <c r="G7405" s="9"/>
      <c r="H7405" s="257" t="s">
        <v>25409</v>
      </c>
      <c r="I7405" s="9">
        <v>4</v>
      </c>
    </row>
    <row r="7406" spans="1:9">
      <c r="A7406" s="257" t="s">
        <v>8504</v>
      </c>
      <c r="B7406" s="9">
        <v>9</v>
      </c>
      <c r="C7406" s="257" t="s">
        <v>13722</v>
      </c>
      <c r="D7406" s="9">
        <v>4.7810867538669701E-3</v>
      </c>
      <c r="E7406" s="9"/>
      <c r="F7406" s="257" t="s">
        <v>17828</v>
      </c>
      <c r="G7406" s="9"/>
      <c r="H7406" s="257" t="s">
        <v>25410</v>
      </c>
      <c r="I7406" s="9">
        <v>4</v>
      </c>
    </row>
    <row r="7407" spans="1:9">
      <c r="A7407" s="257" t="s">
        <v>8505</v>
      </c>
      <c r="B7407" s="9">
        <v>9</v>
      </c>
      <c r="C7407" s="257" t="s">
        <v>13722</v>
      </c>
      <c r="D7407" s="9">
        <v>5.3597786159955156E-4</v>
      </c>
      <c r="E7407" s="9"/>
      <c r="F7407" s="257" t="s">
        <v>17829</v>
      </c>
      <c r="G7407" s="9"/>
      <c r="H7407" s="257" t="s">
        <v>25411</v>
      </c>
      <c r="I7407" s="9">
        <v>4</v>
      </c>
    </row>
    <row r="7408" spans="1:9">
      <c r="A7408" s="257" t="s">
        <v>8506</v>
      </c>
      <c r="B7408" s="9">
        <v>9</v>
      </c>
      <c r="C7408" s="257" t="s">
        <v>13722</v>
      </c>
      <c r="D7408" s="9">
        <v>3.9080835020924526E-4</v>
      </c>
      <c r="E7408" s="9"/>
      <c r="F7408" s="257" t="s">
        <v>17830</v>
      </c>
      <c r="G7408" s="9"/>
      <c r="H7408" s="257" t="s">
        <v>25412</v>
      </c>
      <c r="I7408" s="9">
        <v>4</v>
      </c>
    </row>
    <row r="7409" spans="1:9">
      <c r="A7409" s="257" t="s">
        <v>8507</v>
      </c>
      <c r="B7409" s="9">
        <v>9</v>
      </c>
      <c r="C7409" s="257" t="s">
        <v>13722</v>
      </c>
      <c r="D7409" s="9">
        <v>1.2819401516288225E-2</v>
      </c>
      <c r="E7409" s="9"/>
      <c r="F7409" s="257" t="s">
        <v>17831</v>
      </c>
      <c r="G7409" s="9"/>
      <c r="H7409" s="257" t="s">
        <v>25413</v>
      </c>
      <c r="I7409" s="9">
        <v>4</v>
      </c>
    </row>
    <row r="7410" spans="1:9">
      <c r="A7410" s="257" t="s">
        <v>8508</v>
      </c>
      <c r="B7410" s="9">
        <v>9</v>
      </c>
      <c r="C7410" s="257" t="s">
        <v>13722</v>
      </c>
      <c r="D7410" s="9"/>
      <c r="E7410" s="9"/>
      <c r="F7410" s="257" t="s">
        <v>17832</v>
      </c>
      <c r="G7410" s="9"/>
      <c r="H7410" s="257" t="s">
        <v>25414</v>
      </c>
      <c r="I7410" s="9">
        <v>4</v>
      </c>
    </row>
    <row r="7411" spans="1:9">
      <c r="A7411" s="257" t="s">
        <v>8509</v>
      </c>
      <c r="B7411" s="9">
        <v>9</v>
      </c>
      <c r="C7411" s="257" t="s">
        <v>13722</v>
      </c>
      <c r="D7411" s="9">
        <v>1.1912938219868588E-2</v>
      </c>
      <c r="E7411" s="9"/>
      <c r="F7411" s="257" t="s">
        <v>17833</v>
      </c>
      <c r="G7411" s="9"/>
      <c r="H7411" s="257" t="s">
        <v>25415</v>
      </c>
      <c r="I7411" s="9">
        <v>4</v>
      </c>
    </row>
    <row r="7412" spans="1:9">
      <c r="A7412" s="257" t="s">
        <v>8510</v>
      </c>
      <c r="B7412" s="9">
        <v>9</v>
      </c>
      <c r="C7412" s="257" t="s">
        <v>13722</v>
      </c>
      <c r="D7412" s="9">
        <v>7.0702291596736458E-3</v>
      </c>
      <c r="E7412" s="9"/>
      <c r="F7412" s="257" t="s">
        <v>17834</v>
      </c>
      <c r="G7412" s="9"/>
      <c r="H7412" s="257" t="s">
        <v>25416</v>
      </c>
      <c r="I7412" s="9">
        <v>4</v>
      </c>
    </row>
    <row r="7413" spans="1:9">
      <c r="A7413" s="257" t="s">
        <v>8511</v>
      </c>
      <c r="B7413" s="9">
        <v>9</v>
      </c>
      <c r="C7413" s="257" t="s">
        <v>13722</v>
      </c>
      <c r="D7413" s="9">
        <v>2.2806541471394118E-3</v>
      </c>
      <c r="E7413" s="9"/>
      <c r="F7413" s="257" t="s">
        <v>17835</v>
      </c>
      <c r="G7413" s="9"/>
      <c r="H7413" s="257" t="s">
        <v>25417</v>
      </c>
      <c r="I7413" s="9">
        <v>4</v>
      </c>
    </row>
    <row r="7414" spans="1:9">
      <c r="A7414" s="257" t="s">
        <v>8512</v>
      </c>
      <c r="B7414" s="9">
        <v>9</v>
      </c>
      <c r="C7414" s="257" t="s">
        <v>13722</v>
      </c>
      <c r="D7414" s="9">
        <v>8.6024617664559044E-3</v>
      </c>
      <c r="E7414" s="9"/>
      <c r="F7414" s="257" t="s">
        <v>17836</v>
      </c>
      <c r="G7414" s="9"/>
      <c r="H7414" s="257" t="s">
        <v>25418</v>
      </c>
      <c r="I7414" s="9">
        <v>4</v>
      </c>
    </row>
    <row r="7415" spans="1:9">
      <c r="A7415" s="257" t="s">
        <v>8513</v>
      </c>
      <c r="B7415" s="9">
        <v>9</v>
      </c>
      <c r="C7415" s="257" t="s">
        <v>13722</v>
      </c>
      <c r="D7415" s="9">
        <v>-2.0836672745609746E-3</v>
      </c>
      <c r="E7415" s="9"/>
      <c r="F7415" s="257" t="s">
        <v>17837</v>
      </c>
      <c r="G7415" s="9"/>
      <c r="H7415" s="257" t="s">
        <v>25419</v>
      </c>
      <c r="I7415" s="9">
        <v>4</v>
      </c>
    </row>
    <row r="7416" spans="1:9">
      <c r="A7416" s="257" t="s">
        <v>8514</v>
      </c>
      <c r="B7416" s="9">
        <v>9</v>
      </c>
      <c r="C7416" s="257" t="s">
        <v>13722</v>
      </c>
      <c r="D7416" s="9">
        <v>-4.3229901072297265E-3</v>
      </c>
      <c r="E7416" s="9"/>
      <c r="F7416" s="257" t="s">
        <v>17838</v>
      </c>
      <c r="G7416" s="9"/>
      <c r="H7416" s="257" t="s">
        <v>25420</v>
      </c>
      <c r="I7416" s="9">
        <v>4</v>
      </c>
    </row>
    <row r="7417" spans="1:9">
      <c r="A7417" s="257" t="s">
        <v>8515</v>
      </c>
      <c r="B7417" s="9">
        <v>10</v>
      </c>
      <c r="C7417" s="257" t="s">
        <v>13722</v>
      </c>
      <c r="D7417" s="9">
        <v>8.6021233096515246E-3</v>
      </c>
      <c r="E7417" s="9"/>
      <c r="F7417" s="257" t="s">
        <v>17839</v>
      </c>
      <c r="G7417" s="9"/>
      <c r="H7417" s="257" t="s">
        <v>25421</v>
      </c>
      <c r="I7417" s="9">
        <v>4</v>
      </c>
    </row>
    <row r="7418" spans="1:9">
      <c r="A7418" s="257" t="s">
        <v>8516</v>
      </c>
      <c r="B7418" s="9">
        <v>10</v>
      </c>
      <c r="C7418" s="257" t="s">
        <v>13722</v>
      </c>
      <c r="D7418" s="9">
        <v>9.0407741444062575E-3</v>
      </c>
      <c r="E7418" s="9"/>
      <c r="F7418" s="257" t="s">
        <v>17840</v>
      </c>
      <c r="G7418" s="9"/>
      <c r="H7418" s="257" t="s">
        <v>25422</v>
      </c>
      <c r="I7418" s="9">
        <v>4</v>
      </c>
    </row>
    <row r="7419" spans="1:9">
      <c r="A7419" s="257" t="s">
        <v>8517</v>
      </c>
      <c r="B7419" s="9">
        <v>10</v>
      </c>
      <c r="C7419" s="257" t="s">
        <v>13722</v>
      </c>
      <c r="D7419" s="9">
        <v>4.9036105591507752E-3</v>
      </c>
      <c r="E7419" s="9"/>
      <c r="F7419" s="257" t="s">
        <v>17841</v>
      </c>
      <c r="G7419" s="9"/>
      <c r="H7419" s="257" t="s">
        <v>25423</v>
      </c>
      <c r="I7419" s="9">
        <v>4</v>
      </c>
    </row>
    <row r="7420" spans="1:9">
      <c r="A7420" s="257" t="s">
        <v>8518</v>
      </c>
      <c r="B7420" s="9">
        <v>10</v>
      </c>
      <c r="C7420" s="257" t="s">
        <v>13722</v>
      </c>
      <c r="D7420" s="9">
        <v>8.0476942921673875E-4</v>
      </c>
      <c r="E7420" s="9"/>
      <c r="F7420" s="257" t="s">
        <v>17842</v>
      </c>
      <c r="G7420" s="9"/>
      <c r="H7420" s="257" t="s">
        <v>25424</v>
      </c>
      <c r="I7420" s="9">
        <v>4</v>
      </c>
    </row>
    <row r="7421" spans="1:9">
      <c r="A7421" s="257" t="s">
        <v>8519</v>
      </c>
      <c r="B7421" s="9">
        <v>10</v>
      </c>
      <c r="C7421" s="257" t="s">
        <v>13722</v>
      </c>
      <c r="D7421" s="9">
        <v>9.7232917621784497E-4</v>
      </c>
      <c r="E7421" s="9"/>
      <c r="F7421" s="257" t="s">
        <v>17843</v>
      </c>
      <c r="G7421" s="9"/>
      <c r="H7421" s="257" t="s">
        <v>25425</v>
      </c>
      <c r="I7421" s="9">
        <v>4</v>
      </c>
    </row>
    <row r="7422" spans="1:9">
      <c r="A7422" s="257" t="s">
        <v>8520</v>
      </c>
      <c r="B7422" s="9">
        <v>10</v>
      </c>
      <c r="C7422" s="257" t="s">
        <v>13722</v>
      </c>
      <c r="D7422" s="9">
        <v>1.3870848269477334E-2</v>
      </c>
      <c r="E7422" s="9"/>
      <c r="F7422" s="257" t="s">
        <v>17844</v>
      </c>
      <c r="G7422" s="9"/>
      <c r="H7422" s="257" t="s">
        <v>25426</v>
      </c>
      <c r="I7422" s="9">
        <v>4</v>
      </c>
    </row>
    <row r="7423" spans="1:9">
      <c r="A7423" s="257" t="s">
        <v>8521</v>
      </c>
      <c r="B7423" s="9">
        <v>10</v>
      </c>
      <c r="C7423" s="257" t="s">
        <v>13722</v>
      </c>
      <c r="D7423" s="9">
        <v>1.2932880760211048E-2</v>
      </c>
      <c r="E7423" s="9"/>
      <c r="F7423" s="257" t="s">
        <v>17845</v>
      </c>
      <c r="G7423" s="9"/>
      <c r="H7423" s="257" t="s">
        <v>25427</v>
      </c>
      <c r="I7423" s="9">
        <v>4</v>
      </c>
    </row>
    <row r="7424" spans="1:9">
      <c r="A7424" s="257" t="s">
        <v>8522</v>
      </c>
      <c r="B7424" s="9">
        <v>10</v>
      </c>
      <c r="C7424" s="257" t="s">
        <v>13722</v>
      </c>
      <c r="D7424" s="9">
        <v>1.3356149709600754E-2</v>
      </c>
      <c r="E7424" s="9"/>
      <c r="F7424" s="257" t="s">
        <v>17846</v>
      </c>
      <c r="G7424" s="9"/>
      <c r="H7424" s="257" t="s">
        <v>25428</v>
      </c>
      <c r="I7424" s="9">
        <v>4</v>
      </c>
    </row>
    <row r="7425" spans="1:9">
      <c r="A7425" s="257" t="s">
        <v>8523</v>
      </c>
      <c r="B7425" s="9">
        <v>10</v>
      </c>
      <c r="C7425" s="257" t="s">
        <v>13722</v>
      </c>
      <c r="D7425" s="9">
        <v>1.879211929954663E-2</v>
      </c>
      <c r="E7425" s="9"/>
      <c r="F7425" s="257" t="s">
        <v>17847</v>
      </c>
      <c r="G7425" s="9"/>
      <c r="H7425" s="257" t="s">
        <v>25429</v>
      </c>
      <c r="I7425" s="9">
        <v>4</v>
      </c>
    </row>
    <row r="7426" spans="1:9">
      <c r="A7426" s="257" t="s">
        <v>8524</v>
      </c>
      <c r="B7426" s="9">
        <v>10</v>
      </c>
      <c r="C7426" s="257" t="s">
        <v>13722</v>
      </c>
      <c r="D7426" s="9">
        <v>1.9215085715444873E-2</v>
      </c>
      <c r="E7426" s="9"/>
      <c r="F7426" s="257" t="s">
        <v>17848</v>
      </c>
      <c r="G7426" s="9"/>
      <c r="H7426" s="257" t="s">
        <v>25430</v>
      </c>
      <c r="I7426" s="9">
        <v>4</v>
      </c>
    </row>
    <row r="7427" spans="1:9">
      <c r="A7427" s="257" t="s">
        <v>8525</v>
      </c>
      <c r="B7427" s="9">
        <v>10</v>
      </c>
      <c r="C7427" s="257" t="s">
        <v>13722</v>
      </c>
      <c r="D7427" s="9">
        <v>-6.3152694976430458E-3</v>
      </c>
      <c r="E7427" s="9"/>
      <c r="F7427" s="257" t="s">
        <v>17849</v>
      </c>
      <c r="G7427" s="9"/>
      <c r="H7427" s="257" t="s">
        <v>25431</v>
      </c>
      <c r="I7427" s="9">
        <v>4</v>
      </c>
    </row>
    <row r="7428" spans="1:9">
      <c r="A7428" s="257" t="s">
        <v>8526</v>
      </c>
      <c r="B7428" s="9">
        <v>10</v>
      </c>
      <c r="C7428" s="257" t="s">
        <v>13722</v>
      </c>
      <c r="D7428" s="9"/>
      <c r="E7428" s="9"/>
      <c r="F7428" s="257" t="s">
        <v>17850</v>
      </c>
      <c r="G7428" s="9"/>
      <c r="H7428" s="257" t="s">
        <v>25432</v>
      </c>
      <c r="I7428" s="9">
        <v>4</v>
      </c>
    </row>
    <row r="7429" spans="1:9">
      <c r="A7429" s="257" t="s">
        <v>8527</v>
      </c>
      <c r="B7429" s="9">
        <v>10</v>
      </c>
      <c r="C7429" s="257" t="s">
        <v>13722</v>
      </c>
      <c r="D7429" s="9">
        <v>1.7272205858178902E-2</v>
      </c>
      <c r="E7429" s="9"/>
      <c r="F7429" s="257" t="s">
        <v>17851</v>
      </c>
      <c r="G7429" s="9"/>
      <c r="H7429" s="257" t="s">
        <v>25433</v>
      </c>
      <c r="I7429" s="9">
        <v>4</v>
      </c>
    </row>
    <row r="7430" spans="1:9">
      <c r="A7430" s="257" t="s">
        <v>8528</v>
      </c>
      <c r="B7430" s="9">
        <v>10</v>
      </c>
      <c r="C7430" s="257" t="s">
        <v>13722</v>
      </c>
      <c r="D7430" s="9">
        <v>1.5137913981338069E-2</v>
      </c>
      <c r="E7430" s="9"/>
      <c r="F7430" s="257" t="s">
        <v>17852</v>
      </c>
      <c r="G7430" s="9"/>
      <c r="H7430" s="257" t="s">
        <v>25434</v>
      </c>
      <c r="I7430" s="9">
        <v>4</v>
      </c>
    </row>
    <row r="7431" spans="1:9">
      <c r="A7431" s="257" t="s">
        <v>8529</v>
      </c>
      <c r="B7431" s="9">
        <v>10</v>
      </c>
      <c r="C7431" s="257" t="s">
        <v>13722</v>
      </c>
      <c r="D7431" s="9">
        <v>6.5447113483949456E-3</v>
      </c>
      <c r="E7431" s="9"/>
      <c r="F7431" s="257" t="s">
        <v>17853</v>
      </c>
      <c r="G7431" s="9"/>
      <c r="H7431" s="257" t="s">
        <v>25435</v>
      </c>
      <c r="I7431" s="9">
        <v>4</v>
      </c>
    </row>
    <row r="7432" spans="1:9">
      <c r="A7432" s="257" t="s">
        <v>8530</v>
      </c>
      <c r="B7432" s="9">
        <v>10</v>
      </c>
      <c r="C7432" s="257" t="s">
        <v>13722</v>
      </c>
      <c r="D7432" s="9">
        <v>4.5866127439267098E-4</v>
      </c>
      <c r="E7432" s="9"/>
      <c r="F7432" s="257" t="s">
        <v>17854</v>
      </c>
      <c r="G7432" s="9"/>
      <c r="H7432" s="257" t="s">
        <v>25436</v>
      </c>
      <c r="I7432" s="9">
        <v>4</v>
      </c>
    </row>
    <row r="7433" spans="1:9">
      <c r="A7433" s="257" t="s">
        <v>8531</v>
      </c>
      <c r="B7433" s="9">
        <v>10</v>
      </c>
      <c r="C7433" s="257" t="s">
        <v>13722</v>
      </c>
      <c r="D7433" s="9">
        <v>3.583891823049844E-4</v>
      </c>
      <c r="E7433" s="9"/>
      <c r="F7433" s="257" t="s">
        <v>17855</v>
      </c>
      <c r="G7433" s="9"/>
      <c r="H7433" s="257" t="s">
        <v>25437</v>
      </c>
      <c r="I7433" s="9">
        <v>4</v>
      </c>
    </row>
    <row r="7434" spans="1:9">
      <c r="A7434" s="257" t="s">
        <v>8532</v>
      </c>
      <c r="B7434" s="9">
        <v>10</v>
      </c>
      <c r="C7434" s="257" t="s">
        <v>13722</v>
      </c>
      <c r="D7434" s="9">
        <v>1.115861241822306E-2</v>
      </c>
      <c r="E7434" s="9"/>
      <c r="F7434" s="257" t="s">
        <v>17856</v>
      </c>
      <c r="G7434" s="9"/>
      <c r="H7434" s="257" t="s">
        <v>25438</v>
      </c>
      <c r="I7434" s="9">
        <v>4</v>
      </c>
    </row>
    <row r="7435" spans="1:9">
      <c r="A7435" s="257" t="s">
        <v>8533</v>
      </c>
      <c r="B7435" s="9">
        <v>10</v>
      </c>
      <c r="C7435" s="257" t="s">
        <v>13722</v>
      </c>
      <c r="D7435" s="9"/>
      <c r="E7435" s="9"/>
      <c r="F7435" s="257" t="s">
        <v>17857</v>
      </c>
      <c r="G7435" s="9"/>
      <c r="H7435" s="257" t="s">
        <v>25439</v>
      </c>
      <c r="I7435" s="9">
        <v>4</v>
      </c>
    </row>
    <row r="7436" spans="1:9">
      <c r="A7436" s="257" t="s">
        <v>8534</v>
      </c>
      <c r="B7436" s="9">
        <v>10</v>
      </c>
      <c r="C7436" s="257" t="s">
        <v>13722</v>
      </c>
      <c r="D7436" s="9">
        <v>1.0214849966826381E-2</v>
      </c>
      <c r="E7436" s="9"/>
      <c r="F7436" s="257" t="s">
        <v>17858</v>
      </c>
      <c r="G7436" s="9"/>
      <c r="H7436" s="257" t="s">
        <v>25440</v>
      </c>
      <c r="I7436" s="9">
        <v>4</v>
      </c>
    </row>
    <row r="7437" spans="1:9">
      <c r="A7437" s="257" t="s">
        <v>8535</v>
      </c>
      <c r="B7437" s="9">
        <v>10</v>
      </c>
      <c r="C7437" s="257" t="s">
        <v>13722</v>
      </c>
      <c r="D7437" s="9">
        <v>7.9098158453898438E-3</v>
      </c>
      <c r="E7437" s="9"/>
      <c r="F7437" s="257" t="s">
        <v>17859</v>
      </c>
      <c r="G7437" s="9"/>
      <c r="H7437" s="257" t="s">
        <v>25441</v>
      </c>
      <c r="I7437" s="9">
        <v>4</v>
      </c>
    </row>
    <row r="7438" spans="1:9">
      <c r="A7438" s="257" t="s">
        <v>8536</v>
      </c>
      <c r="B7438" s="9">
        <v>10</v>
      </c>
      <c r="C7438" s="257" t="s">
        <v>13722</v>
      </c>
      <c r="D7438" s="9">
        <v>2.3443047247540243E-3</v>
      </c>
      <c r="E7438" s="9"/>
      <c r="F7438" s="257" t="s">
        <v>17860</v>
      </c>
      <c r="G7438" s="9"/>
      <c r="H7438" s="257" t="s">
        <v>25442</v>
      </c>
      <c r="I7438" s="9">
        <v>4</v>
      </c>
    </row>
    <row r="7439" spans="1:9">
      <c r="A7439" s="257" t="s">
        <v>8537</v>
      </c>
      <c r="B7439" s="9">
        <v>10</v>
      </c>
      <c r="C7439" s="257" t="s">
        <v>13722</v>
      </c>
      <c r="D7439" s="9">
        <v>9.5837287608474923E-3</v>
      </c>
      <c r="E7439" s="9"/>
      <c r="F7439" s="257" t="s">
        <v>17861</v>
      </c>
      <c r="G7439" s="9"/>
      <c r="H7439" s="257" t="s">
        <v>25443</v>
      </c>
      <c r="I7439" s="9">
        <v>4</v>
      </c>
    </row>
    <row r="7440" spans="1:9">
      <c r="A7440" s="257" t="s">
        <v>8538</v>
      </c>
      <c r="B7440" s="9">
        <v>10</v>
      </c>
      <c r="C7440" s="257" t="s">
        <v>13722</v>
      </c>
      <c r="D7440" s="9">
        <v>-2.6959651846983883E-3</v>
      </c>
      <c r="E7440" s="9"/>
      <c r="F7440" s="257" t="s">
        <v>17862</v>
      </c>
      <c r="G7440" s="9"/>
      <c r="H7440" s="257" t="s">
        <v>25444</v>
      </c>
      <c r="I7440" s="9">
        <v>4</v>
      </c>
    </row>
    <row r="7441" spans="1:9">
      <c r="A7441" s="257" t="s">
        <v>8539</v>
      </c>
      <c r="B7441" s="9">
        <v>10</v>
      </c>
      <c r="C7441" s="257" t="s">
        <v>13722</v>
      </c>
      <c r="D7441" s="9">
        <v>-5.1135108159867113E-3</v>
      </c>
      <c r="E7441" s="9"/>
      <c r="F7441" s="257" t="s">
        <v>17863</v>
      </c>
      <c r="G7441" s="9"/>
      <c r="H7441" s="257" t="s">
        <v>25445</v>
      </c>
      <c r="I7441" s="9">
        <v>4</v>
      </c>
    </row>
    <row r="7442" spans="1:9">
      <c r="A7442" s="257" t="s">
        <v>8540</v>
      </c>
      <c r="B7442" s="9">
        <v>1</v>
      </c>
      <c r="C7442" s="257" t="s">
        <v>13723</v>
      </c>
      <c r="D7442" s="9">
        <v>1.3757723997457637E-2</v>
      </c>
      <c r="E7442" s="9">
        <v>1721536.5294189453</v>
      </c>
      <c r="F7442" s="257" t="s">
        <v>17864</v>
      </c>
      <c r="G7442" s="9"/>
      <c r="H7442" s="257" t="s">
        <v>25446</v>
      </c>
      <c r="I7442" s="9">
        <v>4</v>
      </c>
    </row>
    <row r="7443" spans="1:9">
      <c r="A7443" s="257" t="s">
        <v>8541</v>
      </c>
      <c r="B7443" s="9">
        <v>1</v>
      </c>
      <c r="C7443" s="257" t="s">
        <v>13723</v>
      </c>
      <c r="D7443" s="9">
        <v>0.1603139701727751</v>
      </c>
      <c r="E7443" s="9">
        <v>1721536.5294189453</v>
      </c>
      <c r="F7443" s="257" t="s">
        <v>17865</v>
      </c>
      <c r="G7443" s="9"/>
      <c r="H7443" s="257" t="s">
        <v>25447</v>
      </c>
      <c r="I7443" s="9">
        <v>4</v>
      </c>
    </row>
    <row r="7444" spans="1:9">
      <c r="A7444" s="257" t="s">
        <v>8542</v>
      </c>
      <c r="B7444" s="9">
        <v>1</v>
      </c>
      <c r="C7444" s="257" t="s">
        <v>13723</v>
      </c>
      <c r="D7444" s="9">
        <v>4.5366456344851551E-3</v>
      </c>
      <c r="E7444" s="9">
        <v>1721536.5294189453</v>
      </c>
      <c r="F7444" s="257" t="s">
        <v>17866</v>
      </c>
      <c r="G7444" s="9"/>
      <c r="H7444" s="257" t="s">
        <v>25448</v>
      </c>
      <c r="I7444" s="9">
        <v>4</v>
      </c>
    </row>
    <row r="7445" spans="1:9">
      <c r="A7445" s="257" t="s">
        <v>8543</v>
      </c>
      <c r="B7445" s="9">
        <v>1</v>
      </c>
      <c r="C7445" s="257" t="s">
        <v>13723</v>
      </c>
      <c r="D7445" s="9">
        <v>0.17088125666933568</v>
      </c>
      <c r="E7445" s="9">
        <v>1721536.5294189453</v>
      </c>
      <c r="F7445" s="257" t="s">
        <v>17867</v>
      </c>
      <c r="G7445" s="9"/>
      <c r="H7445" s="257" t="s">
        <v>25449</v>
      </c>
      <c r="I7445" s="9">
        <v>4</v>
      </c>
    </row>
    <row r="7446" spans="1:9">
      <c r="A7446" s="257" t="s">
        <v>8544</v>
      </c>
      <c r="B7446" s="9">
        <v>1</v>
      </c>
      <c r="C7446" s="257" t="s">
        <v>13723</v>
      </c>
      <c r="D7446" s="9">
        <v>7.2884851897996716E-3</v>
      </c>
      <c r="E7446" s="9">
        <v>1721536.5294189453</v>
      </c>
      <c r="F7446" s="257" t="s">
        <v>17868</v>
      </c>
      <c r="G7446" s="9"/>
      <c r="H7446" s="257" t="s">
        <v>25450</v>
      </c>
      <c r="I7446" s="9">
        <v>4</v>
      </c>
    </row>
    <row r="7447" spans="1:9">
      <c r="A7447" s="257" t="s">
        <v>8545</v>
      </c>
      <c r="B7447" s="9">
        <v>1</v>
      </c>
      <c r="C7447" s="257" t="s">
        <v>13723</v>
      </c>
      <c r="D7447" s="9">
        <v>1.0398797876575366E-2</v>
      </c>
      <c r="E7447" s="9">
        <v>1721536.5294189453</v>
      </c>
      <c r="F7447" s="257" t="s">
        <v>17869</v>
      </c>
      <c r="G7447" s="9"/>
      <c r="H7447" s="257" t="s">
        <v>25451</v>
      </c>
      <c r="I7447" s="9">
        <v>4</v>
      </c>
    </row>
    <row r="7448" spans="1:9">
      <c r="A7448" s="257" t="s">
        <v>8546</v>
      </c>
      <c r="B7448" s="9">
        <v>1</v>
      </c>
      <c r="C7448" s="257" t="s">
        <v>13723</v>
      </c>
      <c r="D7448" s="9">
        <v>9.0229254804509683E-3</v>
      </c>
      <c r="E7448" s="9">
        <v>1721536.5294189453</v>
      </c>
      <c r="F7448" s="257" t="s">
        <v>17870</v>
      </c>
      <c r="G7448" s="9"/>
      <c r="H7448" s="257" t="s">
        <v>25452</v>
      </c>
      <c r="I7448" s="9">
        <v>4</v>
      </c>
    </row>
    <row r="7449" spans="1:9">
      <c r="A7449" s="257" t="s">
        <v>8547</v>
      </c>
      <c r="B7449" s="9">
        <v>1</v>
      </c>
      <c r="C7449" s="257" t="s">
        <v>13723</v>
      </c>
      <c r="D7449" s="9">
        <v>2.3851802028715809E-2</v>
      </c>
      <c r="E7449" s="9">
        <v>1721536.5294189453</v>
      </c>
      <c r="F7449" s="257" t="s">
        <v>17871</v>
      </c>
      <c r="G7449" s="9"/>
      <c r="H7449" s="257" t="s">
        <v>25453</v>
      </c>
      <c r="I7449" s="9">
        <v>4</v>
      </c>
    </row>
    <row r="7450" spans="1:9">
      <c r="A7450" s="257" t="s">
        <v>8548</v>
      </c>
      <c r="B7450" s="9">
        <v>1</v>
      </c>
      <c r="C7450" s="257" t="s">
        <v>13723</v>
      </c>
      <c r="D7450" s="9">
        <v>7.8943701682321777E-3</v>
      </c>
      <c r="E7450" s="9">
        <v>1721536.5294189453</v>
      </c>
      <c r="F7450" s="257" t="s">
        <v>17872</v>
      </c>
      <c r="G7450" s="9"/>
      <c r="H7450" s="257" t="s">
        <v>25454</v>
      </c>
      <c r="I7450" s="9">
        <v>4</v>
      </c>
    </row>
    <row r="7451" spans="1:9">
      <c r="A7451" s="257" t="s">
        <v>8549</v>
      </c>
      <c r="B7451" s="9">
        <v>1</v>
      </c>
      <c r="C7451" s="257" t="s">
        <v>13723</v>
      </c>
      <c r="D7451" s="9">
        <v>0.2109463765735432</v>
      </c>
      <c r="E7451" s="9">
        <v>1721536.5294189453</v>
      </c>
      <c r="F7451" s="257" t="s">
        <v>17873</v>
      </c>
      <c r="G7451" s="9"/>
      <c r="H7451" s="257" t="s">
        <v>25455</v>
      </c>
      <c r="I7451" s="9">
        <v>4</v>
      </c>
    </row>
    <row r="7452" spans="1:9">
      <c r="A7452" s="257" t="s">
        <v>8550</v>
      </c>
      <c r="B7452" s="9">
        <v>1</v>
      </c>
      <c r="C7452" s="257" t="s">
        <v>13723</v>
      </c>
      <c r="D7452" s="9">
        <v>9.6236455056904497E-3</v>
      </c>
      <c r="E7452" s="9">
        <v>1721536.5294189453</v>
      </c>
      <c r="F7452" s="257" t="s">
        <v>17874</v>
      </c>
      <c r="G7452" s="9"/>
      <c r="H7452" s="257" t="s">
        <v>25456</v>
      </c>
      <c r="I7452" s="9">
        <v>4</v>
      </c>
    </row>
    <row r="7453" spans="1:9">
      <c r="A7453" s="257" t="s">
        <v>8551</v>
      </c>
      <c r="B7453" s="9">
        <v>1</v>
      </c>
      <c r="C7453" s="257" t="s">
        <v>13723</v>
      </c>
      <c r="D7453" s="9"/>
      <c r="E7453" s="9">
        <v>1721536.5294189453</v>
      </c>
      <c r="F7453" s="257" t="s">
        <v>17875</v>
      </c>
      <c r="G7453" s="9"/>
      <c r="H7453" s="257" t="s">
        <v>25457</v>
      </c>
      <c r="I7453" s="9">
        <v>4</v>
      </c>
    </row>
    <row r="7454" spans="1:9">
      <c r="A7454" s="257" t="s">
        <v>8552</v>
      </c>
      <c r="B7454" s="9">
        <v>1</v>
      </c>
      <c r="C7454" s="257" t="s">
        <v>13723</v>
      </c>
      <c r="D7454" s="9">
        <v>2.4113190096632726E-2</v>
      </c>
      <c r="E7454" s="9">
        <v>1721536.5294189453</v>
      </c>
      <c r="F7454" s="257" t="s">
        <v>17876</v>
      </c>
      <c r="G7454" s="9"/>
      <c r="H7454" s="257" t="s">
        <v>25458</v>
      </c>
      <c r="I7454" s="9">
        <v>4</v>
      </c>
    </row>
    <row r="7455" spans="1:9">
      <c r="A7455" s="257" t="s">
        <v>8553</v>
      </c>
      <c r="B7455" s="9">
        <v>1</v>
      </c>
      <c r="C7455" s="257" t="s">
        <v>13723</v>
      </c>
      <c r="D7455" s="9">
        <v>1.0956873979061336E-2</v>
      </c>
      <c r="E7455" s="9">
        <v>1721536.5294189453</v>
      </c>
      <c r="F7455" s="257" t="s">
        <v>17877</v>
      </c>
      <c r="G7455" s="9"/>
      <c r="H7455" s="257" t="s">
        <v>25459</v>
      </c>
      <c r="I7455" s="9">
        <v>4</v>
      </c>
    </row>
    <row r="7456" spans="1:9">
      <c r="A7456" s="257" t="s">
        <v>8554</v>
      </c>
      <c r="B7456" s="9">
        <v>1</v>
      </c>
      <c r="C7456" s="257" t="s">
        <v>13723</v>
      </c>
      <c r="D7456" s="9">
        <v>9.905679452263786E-3</v>
      </c>
      <c r="E7456" s="9">
        <v>1721536.5294189453</v>
      </c>
      <c r="F7456" s="257" t="s">
        <v>17878</v>
      </c>
      <c r="G7456" s="9"/>
      <c r="H7456" s="257" t="s">
        <v>25460</v>
      </c>
      <c r="I7456" s="9">
        <v>4</v>
      </c>
    </row>
    <row r="7457" spans="1:9">
      <c r="A7457" s="257" t="s">
        <v>8555</v>
      </c>
      <c r="B7457" s="9">
        <v>1</v>
      </c>
      <c r="C7457" s="257" t="s">
        <v>13723</v>
      </c>
      <c r="D7457" s="9">
        <v>9.2088397891329048E-3</v>
      </c>
      <c r="E7457" s="9">
        <v>1721536.5294189453</v>
      </c>
      <c r="F7457" s="257" t="s">
        <v>17879</v>
      </c>
      <c r="G7457" s="9"/>
      <c r="H7457" s="257" t="s">
        <v>25461</v>
      </c>
      <c r="I7457" s="9">
        <v>4</v>
      </c>
    </row>
    <row r="7458" spans="1:9">
      <c r="A7458" s="257" t="s">
        <v>8556</v>
      </c>
      <c r="B7458" s="9">
        <v>1</v>
      </c>
      <c r="C7458" s="257" t="s">
        <v>13723</v>
      </c>
      <c r="D7458" s="9">
        <v>7.7869126299968377E-3</v>
      </c>
      <c r="E7458" s="9">
        <v>1721536.5294189453</v>
      </c>
      <c r="F7458" s="257" t="s">
        <v>17880</v>
      </c>
      <c r="G7458" s="9"/>
      <c r="H7458" s="257" t="s">
        <v>25462</v>
      </c>
      <c r="I7458" s="9">
        <v>4</v>
      </c>
    </row>
    <row r="7459" spans="1:9">
      <c r="A7459" s="257" t="s">
        <v>8557</v>
      </c>
      <c r="B7459" s="9">
        <v>1</v>
      </c>
      <c r="C7459" s="257" t="s">
        <v>13723</v>
      </c>
      <c r="D7459" s="9">
        <v>1.6061001913693522E-2</v>
      </c>
      <c r="E7459" s="9">
        <v>1721536.5294189453</v>
      </c>
      <c r="F7459" s="257" t="s">
        <v>17881</v>
      </c>
      <c r="G7459" s="9"/>
      <c r="H7459" s="257" t="s">
        <v>25463</v>
      </c>
      <c r="I7459" s="9">
        <v>4</v>
      </c>
    </row>
    <row r="7460" spans="1:9">
      <c r="A7460" s="257" t="s">
        <v>8558</v>
      </c>
      <c r="B7460" s="9">
        <v>1</v>
      </c>
      <c r="C7460" s="257" t="s">
        <v>13723</v>
      </c>
      <c r="D7460" s="9">
        <v>1.0808190330463126E-2</v>
      </c>
      <c r="E7460" s="9">
        <v>1721536.5294189453</v>
      </c>
      <c r="F7460" s="257" t="s">
        <v>17882</v>
      </c>
      <c r="G7460" s="9"/>
      <c r="H7460" s="257" t="s">
        <v>25464</v>
      </c>
      <c r="I7460" s="9">
        <v>4</v>
      </c>
    </row>
    <row r="7461" spans="1:9">
      <c r="A7461" s="257" t="s">
        <v>8559</v>
      </c>
      <c r="B7461" s="9">
        <v>1</v>
      </c>
      <c r="C7461" s="257" t="s">
        <v>13723</v>
      </c>
      <c r="D7461" s="9">
        <v>1.2132348124812798E-3</v>
      </c>
      <c r="E7461" s="9">
        <v>1721536.5294189453</v>
      </c>
      <c r="F7461" s="257" t="s">
        <v>17883</v>
      </c>
      <c r="G7461" s="9"/>
      <c r="H7461" s="257" t="s">
        <v>25465</v>
      </c>
      <c r="I7461" s="9">
        <v>4</v>
      </c>
    </row>
    <row r="7462" spans="1:9">
      <c r="A7462" s="257" t="s">
        <v>8560</v>
      </c>
      <c r="B7462" s="9">
        <v>1</v>
      </c>
      <c r="C7462" s="257" t="s">
        <v>13723</v>
      </c>
      <c r="D7462" s="9">
        <v>1.0838624295860246E-2</v>
      </c>
      <c r="E7462" s="9">
        <v>1721536.5294189453</v>
      </c>
      <c r="F7462" s="257" t="s">
        <v>17884</v>
      </c>
      <c r="G7462" s="9"/>
      <c r="H7462" s="257" t="s">
        <v>25466</v>
      </c>
      <c r="I7462" s="9">
        <v>4</v>
      </c>
    </row>
    <row r="7463" spans="1:9">
      <c r="A7463" s="257" t="s">
        <v>8561</v>
      </c>
      <c r="B7463" s="9">
        <v>1</v>
      </c>
      <c r="C7463" s="257" t="s">
        <v>13723</v>
      </c>
      <c r="D7463" s="9">
        <v>3.7839516748299731E-2</v>
      </c>
      <c r="E7463" s="9">
        <v>1721536.5294189453</v>
      </c>
      <c r="F7463" s="257" t="s">
        <v>17885</v>
      </c>
      <c r="G7463" s="9"/>
      <c r="H7463" s="257" t="s">
        <v>25467</v>
      </c>
      <c r="I7463" s="9">
        <v>4</v>
      </c>
    </row>
    <row r="7464" spans="1:9">
      <c r="A7464" s="257" t="s">
        <v>8562</v>
      </c>
      <c r="B7464" s="9">
        <v>1</v>
      </c>
      <c r="C7464" s="257" t="s">
        <v>13723</v>
      </c>
      <c r="D7464" s="9">
        <v>0.10745944253664091</v>
      </c>
      <c r="E7464" s="9">
        <v>1721536.5294189453</v>
      </c>
      <c r="F7464" s="257" t="s">
        <v>17886</v>
      </c>
      <c r="G7464" s="9"/>
      <c r="H7464" s="257" t="s">
        <v>25468</v>
      </c>
      <c r="I7464" s="9">
        <v>4</v>
      </c>
    </row>
    <row r="7465" spans="1:9">
      <c r="A7465" s="257" t="s">
        <v>8563</v>
      </c>
      <c r="B7465" s="9">
        <v>1</v>
      </c>
      <c r="C7465" s="257" t="s">
        <v>13723</v>
      </c>
      <c r="D7465" s="9">
        <v>0.14094593915291478</v>
      </c>
      <c r="E7465" s="9">
        <v>1721536.5294189453</v>
      </c>
      <c r="F7465" s="257" t="s">
        <v>17887</v>
      </c>
      <c r="G7465" s="9"/>
      <c r="H7465" s="257" t="s">
        <v>25469</v>
      </c>
      <c r="I7465" s="9">
        <v>4</v>
      </c>
    </row>
    <row r="7466" spans="1:9">
      <c r="A7466" s="257" t="s">
        <v>8564</v>
      </c>
      <c r="B7466" s="9">
        <v>1</v>
      </c>
      <c r="C7466" s="257" t="s">
        <v>13723</v>
      </c>
      <c r="D7466" s="9">
        <v>1.0386948499812282E-2</v>
      </c>
      <c r="E7466" s="9">
        <v>1721536.5294189453</v>
      </c>
      <c r="F7466" s="257" t="s">
        <v>17888</v>
      </c>
      <c r="G7466" s="9"/>
      <c r="H7466" s="257" t="s">
        <v>25470</v>
      </c>
      <c r="I7466" s="9">
        <v>4</v>
      </c>
    </row>
    <row r="7467" spans="1:9">
      <c r="A7467" s="257" t="s">
        <v>8565</v>
      </c>
      <c r="B7467" s="9">
        <v>2</v>
      </c>
      <c r="C7467" s="257" t="s">
        <v>13723</v>
      </c>
      <c r="D7467" s="9">
        <v>2.1085401717721913E-2</v>
      </c>
      <c r="E7467" s="9">
        <v>1728935.5716552734</v>
      </c>
      <c r="F7467" s="257" t="s">
        <v>17889</v>
      </c>
      <c r="G7467" s="9"/>
      <c r="H7467" s="257" t="s">
        <v>25471</v>
      </c>
      <c r="I7467" s="9">
        <v>4</v>
      </c>
    </row>
    <row r="7468" spans="1:9">
      <c r="A7468" s="257" t="s">
        <v>8566</v>
      </c>
      <c r="B7468" s="9">
        <v>2</v>
      </c>
      <c r="C7468" s="257" t="s">
        <v>13723</v>
      </c>
      <c r="D7468" s="9">
        <v>0.16328763085539913</v>
      </c>
      <c r="E7468" s="9">
        <v>1728935.5716552734</v>
      </c>
      <c r="F7468" s="257" t="s">
        <v>17890</v>
      </c>
      <c r="G7468" s="9"/>
      <c r="H7468" s="257" t="s">
        <v>25472</v>
      </c>
      <c r="I7468" s="9">
        <v>4</v>
      </c>
    </row>
    <row r="7469" spans="1:9">
      <c r="A7469" s="257" t="s">
        <v>8567</v>
      </c>
      <c r="B7469" s="9">
        <v>2</v>
      </c>
      <c r="C7469" s="257" t="s">
        <v>13723</v>
      </c>
      <c r="D7469" s="9">
        <v>2.0396537499281421E-2</v>
      </c>
      <c r="E7469" s="9">
        <v>1728935.5716552734</v>
      </c>
      <c r="F7469" s="257" t="s">
        <v>17891</v>
      </c>
      <c r="G7469" s="9"/>
      <c r="H7469" s="257" t="s">
        <v>25473</v>
      </c>
      <c r="I7469" s="9">
        <v>4</v>
      </c>
    </row>
    <row r="7470" spans="1:9">
      <c r="A7470" s="257" t="s">
        <v>8568</v>
      </c>
      <c r="B7470" s="9">
        <v>2</v>
      </c>
      <c r="C7470" s="257" t="s">
        <v>13723</v>
      </c>
      <c r="D7470" s="9">
        <v>0.17355511628153952</v>
      </c>
      <c r="E7470" s="9">
        <v>1728935.5716552734</v>
      </c>
      <c r="F7470" s="257" t="s">
        <v>17892</v>
      </c>
      <c r="G7470" s="9"/>
      <c r="H7470" s="257" t="s">
        <v>25474</v>
      </c>
      <c r="I7470" s="9">
        <v>4</v>
      </c>
    </row>
    <row r="7471" spans="1:9">
      <c r="A7471" s="257" t="s">
        <v>8569</v>
      </c>
      <c r="B7471" s="9">
        <v>2</v>
      </c>
      <c r="C7471" s="257" t="s">
        <v>13723</v>
      </c>
      <c r="D7471" s="9">
        <v>8.6740431979074589E-3</v>
      </c>
      <c r="E7471" s="9">
        <v>1728935.5716552734</v>
      </c>
      <c r="F7471" s="257" t="s">
        <v>17893</v>
      </c>
      <c r="G7471" s="9"/>
      <c r="H7471" s="257" t="s">
        <v>25475</v>
      </c>
      <c r="I7471" s="9">
        <v>4</v>
      </c>
    </row>
    <row r="7472" spans="1:9">
      <c r="A7472" s="257" t="s">
        <v>8570</v>
      </c>
      <c r="B7472" s="9">
        <v>2</v>
      </c>
      <c r="C7472" s="257" t="s">
        <v>13723</v>
      </c>
      <c r="D7472" s="9">
        <v>1.8708571073556876E-2</v>
      </c>
      <c r="E7472" s="9">
        <v>1728935.5716552734</v>
      </c>
      <c r="F7472" s="257" t="s">
        <v>17894</v>
      </c>
      <c r="G7472" s="9"/>
      <c r="H7472" s="257" t="s">
        <v>25476</v>
      </c>
      <c r="I7472" s="9">
        <v>4</v>
      </c>
    </row>
    <row r="7473" spans="1:9">
      <c r="A7473" s="257" t="s">
        <v>8571</v>
      </c>
      <c r="B7473" s="9">
        <v>2</v>
      </c>
      <c r="C7473" s="257" t="s">
        <v>13723</v>
      </c>
      <c r="D7473" s="9">
        <v>1.600166417820309E-2</v>
      </c>
      <c r="E7473" s="9">
        <v>1728935.5716552734</v>
      </c>
      <c r="F7473" s="257" t="s">
        <v>17895</v>
      </c>
      <c r="G7473" s="9"/>
      <c r="H7473" s="257" t="s">
        <v>25477</v>
      </c>
      <c r="I7473" s="9">
        <v>4</v>
      </c>
    </row>
    <row r="7474" spans="1:9">
      <c r="A7474" s="257" t="s">
        <v>8572</v>
      </c>
      <c r="B7474" s="9">
        <v>2</v>
      </c>
      <c r="C7474" s="257" t="s">
        <v>13723</v>
      </c>
      <c r="D7474" s="9">
        <v>1.7616386049189917E-2</v>
      </c>
      <c r="E7474" s="9">
        <v>1728935.5716552734</v>
      </c>
      <c r="F7474" s="257" t="s">
        <v>17896</v>
      </c>
      <c r="G7474" s="9"/>
      <c r="H7474" s="257" t="s">
        <v>25478</v>
      </c>
      <c r="I7474" s="9">
        <v>4</v>
      </c>
    </row>
    <row r="7475" spans="1:9">
      <c r="A7475" s="257" t="s">
        <v>8573</v>
      </c>
      <c r="B7475" s="9">
        <v>2</v>
      </c>
      <c r="C7475" s="257" t="s">
        <v>13723</v>
      </c>
      <c r="D7475" s="9">
        <v>1.1929814452804107E-2</v>
      </c>
      <c r="E7475" s="9">
        <v>1728935.5716552734</v>
      </c>
      <c r="F7475" s="257" t="s">
        <v>17897</v>
      </c>
      <c r="G7475" s="9"/>
      <c r="H7475" s="257" t="s">
        <v>25479</v>
      </c>
      <c r="I7475" s="9">
        <v>4</v>
      </c>
    </row>
    <row r="7476" spans="1:9">
      <c r="A7476" s="257" t="s">
        <v>8574</v>
      </c>
      <c r="B7476" s="9">
        <v>2</v>
      </c>
      <c r="C7476" s="257" t="s">
        <v>13723</v>
      </c>
      <c r="D7476" s="9">
        <v>2.0356133076464715E-2</v>
      </c>
      <c r="E7476" s="9">
        <v>1728935.5716552734</v>
      </c>
      <c r="F7476" s="257" t="s">
        <v>17898</v>
      </c>
      <c r="G7476" s="9"/>
      <c r="H7476" s="257" t="s">
        <v>25480</v>
      </c>
      <c r="I7476" s="9">
        <v>4</v>
      </c>
    </row>
    <row r="7477" spans="1:9">
      <c r="A7477" s="257" t="s">
        <v>8575</v>
      </c>
      <c r="B7477" s="9">
        <v>2</v>
      </c>
      <c r="C7477" s="257" t="s">
        <v>13723</v>
      </c>
      <c r="D7477" s="9">
        <v>1.5337152049170041E-2</v>
      </c>
      <c r="E7477" s="9">
        <v>1728935.5716552734</v>
      </c>
      <c r="F7477" s="257" t="s">
        <v>17899</v>
      </c>
      <c r="G7477" s="9"/>
      <c r="H7477" s="257" t="s">
        <v>25481</v>
      </c>
      <c r="I7477" s="9">
        <v>4</v>
      </c>
    </row>
    <row r="7478" spans="1:9">
      <c r="A7478" s="257" t="s">
        <v>8576</v>
      </c>
      <c r="B7478" s="9">
        <v>2</v>
      </c>
      <c r="C7478" s="257" t="s">
        <v>13723</v>
      </c>
      <c r="D7478" s="9">
        <v>1.5857043182557942E-2</v>
      </c>
      <c r="E7478" s="9">
        <v>1728935.5716552734</v>
      </c>
      <c r="F7478" s="257" t="s">
        <v>17900</v>
      </c>
      <c r="G7478" s="9"/>
      <c r="H7478" s="257" t="s">
        <v>25482</v>
      </c>
      <c r="I7478" s="9">
        <v>4</v>
      </c>
    </row>
    <row r="7479" spans="1:9">
      <c r="A7479" s="257" t="s">
        <v>8577</v>
      </c>
      <c r="B7479" s="9">
        <v>2</v>
      </c>
      <c r="C7479" s="257" t="s">
        <v>13723</v>
      </c>
      <c r="D7479" s="9">
        <v>2.0243131947405946E-2</v>
      </c>
      <c r="E7479" s="9">
        <v>1728935.5716552734</v>
      </c>
      <c r="F7479" s="257" t="s">
        <v>17901</v>
      </c>
      <c r="G7479" s="9"/>
      <c r="H7479" s="257" t="s">
        <v>25483</v>
      </c>
      <c r="I7479" s="9">
        <v>4</v>
      </c>
    </row>
    <row r="7480" spans="1:9">
      <c r="A7480" s="257" t="s">
        <v>8578</v>
      </c>
      <c r="B7480" s="9">
        <v>2</v>
      </c>
      <c r="C7480" s="257" t="s">
        <v>13723</v>
      </c>
      <c r="D7480" s="9">
        <v>4.6231898451779101E-2</v>
      </c>
      <c r="E7480" s="9">
        <v>1728935.5716552734</v>
      </c>
      <c r="F7480" s="257" t="s">
        <v>17902</v>
      </c>
      <c r="G7480" s="9"/>
      <c r="H7480" s="257" t="s">
        <v>25484</v>
      </c>
      <c r="I7480" s="9">
        <v>4</v>
      </c>
    </row>
    <row r="7481" spans="1:9">
      <c r="A7481" s="257" t="s">
        <v>8579</v>
      </c>
      <c r="B7481" s="9">
        <v>2</v>
      </c>
      <c r="C7481" s="257" t="s">
        <v>13723</v>
      </c>
      <c r="D7481" s="9">
        <v>0.1446702281759131</v>
      </c>
      <c r="E7481" s="9">
        <v>1728935.5716552734</v>
      </c>
      <c r="F7481" s="257" t="s">
        <v>17903</v>
      </c>
      <c r="G7481" s="9"/>
      <c r="H7481" s="257" t="s">
        <v>25485</v>
      </c>
      <c r="I7481" s="9">
        <v>4</v>
      </c>
    </row>
    <row r="7482" spans="1:9">
      <c r="A7482" s="257" t="s">
        <v>8580</v>
      </c>
      <c r="B7482" s="9">
        <v>2</v>
      </c>
      <c r="C7482" s="257" t="s">
        <v>13723</v>
      </c>
      <c r="D7482" s="9">
        <v>2.2772416815717275E-2</v>
      </c>
      <c r="E7482" s="9">
        <v>1728935.5716552734</v>
      </c>
      <c r="F7482" s="257" t="s">
        <v>17904</v>
      </c>
      <c r="G7482" s="9"/>
      <c r="H7482" s="257" t="s">
        <v>25486</v>
      </c>
      <c r="I7482" s="9">
        <v>4</v>
      </c>
    </row>
    <row r="7483" spans="1:9">
      <c r="A7483" s="257" t="s">
        <v>8581</v>
      </c>
      <c r="B7483" s="9">
        <v>2</v>
      </c>
      <c r="C7483" s="257" t="s">
        <v>13723</v>
      </c>
      <c r="D7483" s="9">
        <v>0.16811179424220557</v>
      </c>
      <c r="E7483" s="9">
        <v>1728935.5716552734</v>
      </c>
      <c r="F7483" s="257" t="s">
        <v>17905</v>
      </c>
      <c r="G7483" s="9"/>
      <c r="H7483" s="257" t="s">
        <v>25487</v>
      </c>
      <c r="I7483" s="9">
        <v>4</v>
      </c>
    </row>
    <row r="7484" spans="1:9">
      <c r="A7484" s="257" t="s">
        <v>8582</v>
      </c>
      <c r="B7484" s="9">
        <v>2</v>
      </c>
      <c r="C7484" s="257" t="s">
        <v>13723</v>
      </c>
      <c r="D7484" s="9">
        <v>2.5816213308908369E-2</v>
      </c>
      <c r="E7484" s="9">
        <v>1728935.5716552734</v>
      </c>
      <c r="F7484" s="257" t="s">
        <v>17906</v>
      </c>
      <c r="G7484" s="9"/>
      <c r="H7484" s="257" t="s">
        <v>25488</v>
      </c>
      <c r="I7484" s="9">
        <v>4</v>
      </c>
    </row>
    <row r="7485" spans="1:9">
      <c r="A7485" s="257" t="s">
        <v>8583</v>
      </c>
      <c r="B7485" s="9">
        <v>2</v>
      </c>
      <c r="C7485" s="257" t="s">
        <v>13723</v>
      </c>
      <c r="D7485" s="9">
        <v>0.17699379669719012</v>
      </c>
      <c r="E7485" s="9">
        <v>1728935.5716552734</v>
      </c>
      <c r="F7485" s="257" t="s">
        <v>17907</v>
      </c>
      <c r="G7485" s="9"/>
      <c r="H7485" s="257" t="s">
        <v>25489</v>
      </c>
      <c r="I7485" s="9">
        <v>4</v>
      </c>
    </row>
    <row r="7486" spans="1:9">
      <c r="A7486" s="257" t="s">
        <v>8584</v>
      </c>
      <c r="B7486" s="9">
        <v>2</v>
      </c>
      <c r="C7486" s="257" t="s">
        <v>13723</v>
      </c>
      <c r="D7486" s="9">
        <v>2.8319278163590395E-2</v>
      </c>
      <c r="E7486" s="9">
        <v>1728935.5716552734</v>
      </c>
      <c r="F7486" s="257" t="s">
        <v>17908</v>
      </c>
      <c r="G7486" s="9"/>
      <c r="H7486" s="257" t="s">
        <v>25490</v>
      </c>
      <c r="I7486" s="9">
        <v>4</v>
      </c>
    </row>
    <row r="7487" spans="1:9">
      <c r="A7487" s="257" t="s">
        <v>8585</v>
      </c>
      <c r="B7487" s="9">
        <v>2</v>
      </c>
      <c r="C7487" s="257" t="s">
        <v>13723</v>
      </c>
      <c r="D7487" s="9">
        <v>3.7367319909258317E-2</v>
      </c>
      <c r="E7487" s="9">
        <v>1728935.5716552734</v>
      </c>
      <c r="F7487" s="257" t="s">
        <v>17909</v>
      </c>
      <c r="G7487" s="9"/>
      <c r="H7487" s="257" t="s">
        <v>25491</v>
      </c>
      <c r="I7487" s="9">
        <v>4</v>
      </c>
    </row>
    <row r="7488" spans="1:9">
      <c r="A7488" s="257" t="s">
        <v>8586</v>
      </c>
      <c r="B7488" s="9">
        <v>2</v>
      </c>
      <c r="C7488" s="257" t="s">
        <v>13723</v>
      </c>
      <c r="D7488" s="9">
        <v>2.0396697876990402E-2</v>
      </c>
      <c r="E7488" s="9">
        <v>1728935.5716552734</v>
      </c>
      <c r="F7488" s="257" t="s">
        <v>17910</v>
      </c>
      <c r="G7488" s="9"/>
      <c r="H7488" s="257" t="s">
        <v>25492</v>
      </c>
      <c r="I7488" s="9">
        <v>4</v>
      </c>
    </row>
    <row r="7489" spans="1:9">
      <c r="A7489" s="257" t="s">
        <v>8587</v>
      </c>
      <c r="B7489" s="9">
        <v>2</v>
      </c>
      <c r="C7489" s="257" t="s">
        <v>13723</v>
      </c>
      <c r="D7489" s="9"/>
      <c r="E7489" s="9">
        <v>1728935.5716552734</v>
      </c>
      <c r="F7489" s="257" t="s">
        <v>17911</v>
      </c>
      <c r="G7489" s="9"/>
      <c r="H7489" s="257" t="s">
        <v>25493</v>
      </c>
      <c r="I7489" s="9">
        <v>4</v>
      </c>
    </row>
    <row r="7490" spans="1:9">
      <c r="A7490" s="257" t="s">
        <v>8588</v>
      </c>
      <c r="B7490" s="9">
        <v>2</v>
      </c>
      <c r="C7490" s="257" t="s">
        <v>13723</v>
      </c>
      <c r="D7490" s="9">
        <v>2.0453458155899426E-2</v>
      </c>
      <c r="E7490" s="9">
        <v>1728935.5716552734</v>
      </c>
      <c r="F7490" s="257" t="s">
        <v>17912</v>
      </c>
      <c r="G7490" s="9"/>
      <c r="H7490" s="257" t="s">
        <v>25494</v>
      </c>
      <c r="I7490" s="9">
        <v>4</v>
      </c>
    </row>
    <row r="7491" spans="1:9">
      <c r="A7491" s="257" t="s">
        <v>8589</v>
      </c>
      <c r="B7491" s="9">
        <v>2</v>
      </c>
      <c r="C7491" s="257" t="s">
        <v>13723</v>
      </c>
      <c r="D7491" s="9">
        <v>3.7446555105965555E-2</v>
      </c>
      <c r="E7491" s="9">
        <v>1728935.5716552734</v>
      </c>
      <c r="F7491" s="257" t="s">
        <v>17913</v>
      </c>
      <c r="G7491" s="9"/>
      <c r="H7491" s="257" t="s">
        <v>25495</v>
      </c>
      <c r="I7491" s="9">
        <v>4</v>
      </c>
    </row>
    <row r="7492" spans="1:9">
      <c r="A7492" s="257" t="s">
        <v>8590</v>
      </c>
      <c r="B7492" s="9">
        <v>3</v>
      </c>
      <c r="C7492" s="257" t="s">
        <v>13723</v>
      </c>
      <c r="D7492" s="9">
        <v>5.0490828401866625E-2</v>
      </c>
      <c r="E7492" s="9">
        <v>1724459.8235549927</v>
      </c>
      <c r="F7492" s="257" t="s">
        <v>17914</v>
      </c>
      <c r="G7492" s="9"/>
      <c r="H7492" s="257" t="s">
        <v>25496</v>
      </c>
      <c r="I7492" s="9">
        <v>4</v>
      </c>
    </row>
    <row r="7493" spans="1:9">
      <c r="A7493" s="257" t="s">
        <v>8591</v>
      </c>
      <c r="B7493" s="9">
        <v>3</v>
      </c>
      <c r="C7493" s="257" t="s">
        <v>13723</v>
      </c>
      <c r="D7493" s="9">
        <v>0.1298370858489937</v>
      </c>
      <c r="E7493" s="9">
        <v>1724459.8235549927</v>
      </c>
      <c r="F7493" s="257" t="s">
        <v>17915</v>
      </c>
      <c r="G7493" s="9"/>
      <c r="H7493" s="257" t="s">
        <v>25497</v>
      </c>
      <c r="I7493" s="9">
        <v>4</v>
      </c>
    </row>
    <row r="7494" spans="1:9">
      <c r="A7494" s="257" t="s">
        <v>8592</v>
      </c>
      <c r="B7494" s="9">
        <v>3</v>
      </c>
      <c r="C7494" s="257" t="s">
        <v>13723</v>
      </c>
      <c r="D7494" s="9">
        <v>3.4924892030359277E-2</v>
      </c>
      <c r="E7494" s="9">
        <v>1724459.8235549927</v>
      </c>
      <c r="F7494" s="257" t="s">
        <v>17916</v>
      </c>
      <c r="G7494" s="9"/>
      <c r="H7494" s="257" t="s">
        <v>25498</v>
      </c>
      <c r="I7494" s="9">
        <v>4</v>
      </c>
    </row>
    <row r="7495" spans="1:9">
      <c r="A7495" s="257" t="s">
        <v>8593</v>
      </c>
      <c r="B7495" s="9">
        <v>3</v>
      </c>
      <c r="C7495" s="257" t="s">
        <v>13723</v>
      </c>
      <c r="D7495" s="9">
        <v>1.6136921957196078E-2</v>
      </c>
      <c r="E7495" s="9">
        <v>1724459.8235549927</v>
      </c>
      <c r="F7495" s="257" t="s">
        <v>17917</v>
      </c>
      <c r="G7495" s="9"/>
      <c r="H7495" s="257" t="s">
        <v>25499</v>
      </c>
      <c r="I7495" s="9">
        <v>4</v>
      </c>
    </row>
    <row r="7496" spans="1:9">
      <c r="A7496" s="257" t="s">
        <v>8594</v>
      </c>
      <c r="B7496" s="9">
        <v>3</v>
      </c>
      <c r="C7496" s="257" t="s">
        <v>13723</v>
      </c>
      <c r="D7496" s="9">
        <v>1.4205059467144864E-2</v>
      </c>
      <c r="E7496" s="9">
        <v>1724459.8235549927</v>
      </c>
      <c r="F7496" s="257" t="s">
        <v>17918</v>
      </c>
      <c r="G7496" s="9"/>
      <c r="H7496" s="257" t="s">
        <v>25500</v>
      </c>
      <c r="I7496" s="9">
        <v>4</v>
      </c>
    </row>
    <row r="7497" spans="1:9">
      <c r="A7497" s="257" t="s">
        <v>8595</v>
      </c>
      <c r="B7497" s="9">
        <v>3</v>
      </c>
      <c r="C7497" s="257" t="s">
        <v>13723</v>
      </c>
      <c r="D7497" s="9">
        <v>2.2893337762086428E-2</v>
      </c>
      <c r="E7497" s="9">
        <v>1724459.8235549927</v>
      </c>
      <c r="F7497" s="257" t="s">
        <v>17919</v>
      </c>
      <c r="G7497" s="9"/>
      <c r="H7497" s="257" t="s">
        <v>25501</v>
      </c>
      <c r="I7497" s="9">
        <v>4</v>
      </c>
    </row>
    <row r="7498" spans="1:9">
      <c r="A7498" s="257" t="s">
        <v>8596</v>
      </c>
      <c r="B7498" s="9">
        <v>3</v>
      </c>
      <c r="C7498" s="257" t="s">
        <v>13723</v>
      </c>
      <c r="D7498" s="9">
        <v>0.14230388572725083</v>
      </c>
      <c r="E7498" s="9">
        <v>1724459.8235549927</v>
      </c>
      <c r="F7498" s="257" t="s">
        <v>17920</v>
      </c>
      <c r="G7498" s="9"/>
      <c r="H7498" s="257" t="s">
        <v>25502</v>
      </c>
      <c r="I7498" s="9">
        <v>4</v>
      </c>
    </row>
    <row r="7499" spans="1:9">
      <c r="A7499" s="257" t="s">
        <v>8597</v>
      </c>
      <c r="B7499" s="9">
        <v>3</v>
      </c>
      <c r="C7499" s="257" t="s">
        <v>13723</v>
      </c>
      <c r="D7499" s="9">
        <v>2.968862845444965E-2</v>
      </c>
      <c r="E7499" s="9">
        <v>1724459.8235549927</v>
      </c>
      <c r="F7499" s="257" t="s">
        <v>17921</v>
      </c>
      <c r="G7499" s="9"/>
      <c r="H7499" s="257" t="s">
        <v>25503</v>
      </c>
      <c r="I7499" s="9">
        <v>4</v>
      </c>
    </row>
    <row r="7500" spans="1:9">
      <c r="A7500" s="257" t="s">
        <v>8598</v>
      </c>
      <c r="B7500" s="9">
        <v>3</v>
      </c>
      <c r="C7500" s="257" t="s">
        <v>13723</v>
      </c>
      <c r="D7500" s="9">
        <v>4.6386531257942239E-2</v>
      </c>
      <c r="E7500" s="9">
        <v>1724459.8235549927</v>
      </c>
      <c r="F7500" s="257" t="s">
        <v>17922</v>
      </c>
      <c r="G7500" s="9"/>
      <c r="H7500" s="257" t="s">
        <v>25504</v>
      </c>
      <c r="I7500" s="9">
        <v>4</v>
      </c>
    </row>
    <row r="7501" spans="1:9">
      <c r="A7501" s="257" t="s">
        <v>8599</v>
      </c>
      <c r="B7501" s="9">
        <v>3</v>
      </c>
      <c r="C7501" s="257" t="s">
        <v>13723</v>
      </c>
      <c r="D7501" s="9">
        <v>2.5643255922646886E-2</v>
      </c>
      <c r="E7501" s="9">
        <v>1724459.8235549927</v>
      </c>
      <c r="F7501" s="257" t="s">
        <v>17923</v>
      </c>
      <c r="G7501" s="9"/>
      <c r="H7501" s="257" t="s">
        <v>25505</v>
      </c>
      <c r="I7501" s="9">
        <v>4</v>
      </c>
    </row>
    <row r="7502" spans="1:9">
      <c r="A7502" s="257" t="s">
        <v>8600</v>
      </c>
      <c r="B7502" s="9">
        <v>3</v>
      </c>
      <c r="C7502" s="257" t="s">
        <v>13723</v>
      </c>
      <c r="D7502" s="9">
        <v>0.1534661876118289</v>
      </c>
      <c r="E7502" s="9">
        <v>1724459.8235549927</v>
      </c>
      <c r="F7502" s="257" t="s">
        <v>17924</v>
      </c>
      <c r="G7502" s="9"/>
      <c r="H7502" s="257" t="s">
        <v>25506</v>
      </c>
      <c r="I7502" s="9">
        <v>4</v>
      </c>
    </row>
    <row r="7503" spans="1:9">
      <c r="A7503" s="257" t="s">
        <v>8601</v>
      </c>
      <c r="B7503" s="9">
        <v>3</v>
      </c>
      <c r="C7503" s="257" t="s">
        <v>13723</v>
      </c>
      <c r="D7503" s="9">
        <v>2.1741740658339559E-2</v>
      </c>
      <c r="E7503" s="9">
        <v>1724459.8235549927</v>
      </c>
      <c r="F7503" s="257" t="s">
        <v>17925</v>
      </c>
      <c r="G7503" s="9"/>
      <c r="H7503" s="257" t="s">
        <v>25507</v>
      </c>
      <c r="I7503" s="9">
        <v>4</v>
      </c>
    </row>
    <row r="7504" spans="1:9">
      <c r="A7504" s="257" t="s">
        <v>8602</v>
      </c>
      <c r="B7504" s="9">
        <v>3</v>
      </c>
      <c r="C7504" s="257" t="s">
        <v>13723</v>
      </c>
      <c r="D7504" s="9">
        <v>2.7595552873641703E-2</v>
      </c>
      <c r="E7504" s="9">
        <v>1724459.8235549927</v>
      </c>
      <c r="F7504" s="257" t="s">
        <v>17926</v>
      </c>
      <c r="G7504" s="9"/>
      <c r="H7504" s="257" t="s">
        <v>25508</v>
      </c>
      <c r="I7504" s="9">
        <v>4</v>
      </c>
    </row>
    <row r="7505" spans="1:9">
      <c r="A7505" s="257" t="s">
        <v>8603</v>
      </c>
      <c r="B7505" s="9">
        <v>3</v>
      </c>
      <c r="C7505" s="257" t="s">
        <v>13723</v>
      </c>
      <c r="D7505" s="9">
        <v>2.666599867105364E-2</v>
      </c>
      <c r="E7505" s="9">
        <v>1724459.8235549927</v>
      </c>
      <c r="F7505" s="257" t="s">
        <v>17927</v>
      </c>
      <c r="G7505" s="9"/>
      <c r="H7505" s="257" t="s">
        <v>25509</v>
      </c>
      <c r="I7505" s="9">
        <v>4</v>
      </c>
    </row>
    <row r="7506" spans="1:9">
      <c r="A7506" s="257" t="s">
        <v>8604</v>
      </c>
      <c r="B7506" s="9">
        <v>3</v>
      </c>
      <c r="C7506" s="257" t="s">
        <v>13723</v>
      </c>
      <c r="D7506" s="9">
        <v>2.3389442919678136E-2</v>
      </c>
      <c r="E7506" s="9">
        <v>1724459.8235549927</v>
      </c>
      <c r="F7506" s="257" t="s">
        <v>17928</v>
      </c>
      <c r="G7506" s="9"/>
      <c r="H7506" s="257" t="s">
        <v>25510</v>
      </c>
      <c r="I7506" s="9">
        <v>4</v>
      </c>
    </row>
    <row r="7507" spans="1:9">
      <c r="A7507" s="257" t="s">
        <v>8605</v>
      </c>
      <c r="B7507" s="9">
        <v>3</v>
      </c>
      <c r="C7507" s="257" t="s">
        <v>13723</v>
      </c>
      <c r="D7507" s="9">
        <v>2.678398774147402E-2</v>
      </c>
      <c r="E7507" s="9">
        <v>1724459.8235549927</v>
      </c>
      <c r="F7507" s="257" t="s">
        <v>17929</v>
      </c>
      <c r="G7507" s="9"/>
      <c r="H7507" s="257" t="s">
        <v>25511</v>
      </c>
      <c r="I7507" s="9">
        <v>4</v>
      </c>
    </row>
    <row r="7508" spans="1:9">
      <c r="A7508" s="257" t="s">
        <v>8606</v>
      </c>
      <c r="B7508" s="9">
        <v>3</v>
      </c>
      <c r="C7508" s="257" t="s">
        <v>13723</v>
      </c>
      <c r="D7508" s="9">
        <v>4.5895122583935799E-2</v>
      </c>
      <c r="E7508" s="9">
        <v>1724459.8235549927</v>
      </c>
      <c r="F7508" s="257" t="s">
        <v>17930</v>
      </c>
      <c r="G7508" s="9"/>
      <c r="H7508" s="257" t="s">
        <v>25512</v>
      </c>
      <c r="I7508" s="9">
        <v>4</v>
      </c>
    </row>
    <row r="7509" spans="1:9">
      <c r="A7509" s="257" t="s">
        <v>8607</v>
      </c>
      <c r="B7509" s="9">
        <v>3</v>
      </c>
      <c r="C7509" s="257" t="s">
        <v>13723</v>
      </c>
      <c r="D7509" s="9">
        <v>0.14474214367973698</v>
      </c>
      <c r="E7509" s="9">
        <v>1724459.8235549927</v>
      </c>
      <c r="F7509" s="257" t="s">
        <v>17931</v>
      </c>
      <c r="G7509" s="9"/>
      <c r="H7509" s="257" t="s">
        <v>25513</v>
      </c>
      <c r="I7509" s="9">
        <v>4</v>
      </c>
    </row>
    <row r="7510" spans="1:9">
      <c r="A7510" s="257" t="s">
        <v>8608</v>
      </c>
      <c r="B7510" s="9">
        <v>3</v>
      </c>
      <c r="C7510" s="257" t="s">
        <v>13723</v>
      </c>
      <c r="D7510" s="9">
        <v>2.7561160500017348E-2</v>
      </c>
      <c r="E7510" s="9">
        <v>1724459.8235549927</v>
      </c>
      <c r="F7510" s="257" t="s">
        <v>17932</v>
      </c>
      <c r="G7510" s="9"/>
      <c r="H7510" s="257" t="s">
        <v>25514</v>
      </c>
      <c r="I7510" s="9">
        <v>4</v>
      </c>
    </row>
    <row r="7511" spans="1:9">
      <c r="A7511" s="257" t="s">
        <v>8609</v>
      </c>
      <c r="B7511" s="9">
        <v>3</v>
      </c>
      <c r="C7511" s="257" t="s">
        <v>13723</v>
      </c>
      <c r="D7511" s="9"/>
      <c r="E7511" s="9">
        <v>1724459.8235549927</v>
      </c>
      <c r="F7511" s="257" t="s">
        <v>17933</v>
      </c>
      <c r="G7511" s="9"/>
      <c r="H7511" s="257" t="s">
        <v>25515</v>
      </c>
      <c r="I7511" s="9">
        <v>4</v>
      </c>
    </row>
    <row r="7512" spans="1:9">
      <c r="A7512" s="257" t="s">
        <v>8610</v>
      </c>
      <c r="B7512" s="9">
        <v>3</v>
      </c>
      <c r="C7512" s="257" t="s">
        <v>13723</v>
      </c>
      <c r="D7512" s="9">
        <v>0.16051768825917534</v>
      </c>
      <c r="E7512" s="9">
        <v>1724459.8235549927</v>
      </c>
      <c r="F7512" s="257" t="s">
        <v>17934</v>
      </c>
      <c r="G7512" s="9"/>
      <c r="H7512" s="257" t="s">
        <v>25516</v>
      </c>
      <c r="I7512" s="9">
        <v>4</v>
      </c>
    </row>
    <row r="7513" spans="1:9">
      <c r="A7513" s="257" t="s">
        <v>8611</v>
      </c>
      <c r="B7513" s="9">
        <v>3</v>
      </c>
      <c r="C7513" s="257" t="s">
        <v>13723</v>
      </c>
      <c r="D7513" s="9">
        <v>2.8992418314590561E-2</v>
      </c>
      <c r="E7513" s="9">
        <v>1724459.8235549927</v>
      </c>
      <c r="F7513" s="257" t="s">
        <v>17935</v>
      </c>
      <c r="G7513" s="9"/>
      <c r="H7513" s="257" t="s">
        <v>25517</v>
      </c>
      <c r="I7513" s="9">
        <v>4</v>
      </c>
    </row>
    <row r="7514" spans="1:9">
      <c r="A7514" s="257" t="s">
        <v>8612</v>
      </c>
      <c r="B7514" s="9">
        <v>3</v>
      </c>
      <c r="C7514" s="257" t="s">
        <v>13723</v>
      </c>
      <c r="D7514" s="9">
        <v>2.9712105662112645E-2</v>
      </c>
      <c r="E7514" s="9">
        <v>1724459.8235549927</v>
      </c>
      <c r="F7514" s="257" t="s">
        <v>17936</v>
      </c>
      <c r="G7514" s="9"/>
      <c r="H7514" s="257" t="s">
        <v>25518</v>
      </c>
      <c r="I7514" s="9">
        <v>4</v>
      </c>
    </row>
    <row r="7515" spans="1:9">
      <c r="A7515" s="257" t="s">
        <v>8613</v>
      </c>
      <c r="B7515" s="9">
        <v>3</v>
      </c>
      <c r="C7515" s="257" t="s">
        <v>13723</v>
      </c>
      <c r="D7515" s="9">
        <v>2.7730998542368653E-2</v>
      </c>
      <c r="E7515" s="9">
        <v>1724459.8235549927</v>
      </c>
      <c r="F7515" s="257" t="s">
        <v>17937</v>
      </c>
      <c r="G7515" s="9"/>
      <c r="H7515" s="257" t="s">
        <v>25519</v>
      </c>
      <c r="I7515" s="9">
        <v>4</v>
      </c>
    </row>
    <row r="7516" spans="1:9">
      <c r="A7516" s="257" t="s">
        <v>8614</v>
      </c>
      <c r="B7516" s="9">
        <v>3</v>
      </c>
      <c r="C7516" s="257" t="s">
        <v>13723</v>
      </c>
      <c r="D7516" s="9">
        <v>2.9719429798462968E-2</v>
      </c>
      <c r="E7516" s="9">
        <v>1724459.8235549927</v>
      </c>
      <c r="F7516" s="257" t="s">
        <v>17938</v>
      </c>
      <c r="G7516" s="9"/>
      <c r="H7516" s="257" t="s">
        <v>25520</v>
      </c>
      <c r="I7516" s="9">
        <v>4</v>
      </c>
    </row>
    <row r="7517" spans="1:9">
      <c r="A7517" s="257" t="s">
        <v>8615</v>
      </c>
      <c r="B7517" s="9">
        <v>4</v>
      </c>
      <c r="C7517" s="257" t="s">
        <v>13723</v>
      </c>
      <c r="D7517" s="9">
        <v>5.8354640922200288E-2</v>
      </c>
      <c r="E7517" s="9">
        <v>1728561.5107574463</v>
      </c>
      <c r="F7517" s="257" t="s">
        <v>17939</v>
      </c>
      <c r="G7517" s="9"/>
      <c r="H7517" s="257" t="s">
        <v>25521</v>
      </c>
      <c r="I7517" s="9">
        <v>4</v>
      </c>
    </row>
    <row r="7518" spans="1:9">
      <c r="A7518" s="257" t="s">
        <v>8616</v>
      </c>
      <c r="B7518" s="9">
        <v>4</v>
      </c>
      <c r="C7518" s="257" t="s">
        <v>13723</v>
      </c>
      <c r="D7518" s="9">
        <v>4.4662868872254312E-2</v>
      </c>
      <c r="E7518" s="9">
        <v>1728561.5107574463</v>
      </c>
      <c r="F7518" s="257" t="s">
        <v>17940</v>
      </c>
      <c r="G7518" s="9"/>
      <c r="H7518" s="257" t="s">
        <v>25522</v>
      </c>
      <c r="I7518" s="9">
        <v>4</v>
      </c>
    </row>
    <row r="7519" spans="1:9">
      <c r="A7519" s="257" t="s">
        <v>8617</v>
      </c>
      <c r="B7519" s="9">
        <v>4</v>
      </c>
      <c r="C7519" s="257" t="s">
        <v>13723</v>
      </c>
      <c r="D7519" s="9">
        <v>4.0070906458886703E-2</v>
      </c>
      <c r="E7519" s="9">
        <v>1728561.5107574463</v>
      </c>
      <c r="F7519" s="257" t="s">
        <v>17941</v>
      </c>
      <c r="G7519" s="9"/>
      <c r="H7519" s="257" t="s">
        <v>25523</v>
      </c>
      <c r="I7519" s="9">
        <v>4</v>
      </c>
    </row>
    <row r="7520" spans="1:9">
      <c r="A7520" s="257" t="s">
        <v>8618</v>
      </c>
      <c r="B7520" s="9">
        <v>4</v>
      </c>
      <c r="C7520" s="257" t="s">
        <v>13723</v>
      </c>
      <c r="D7520" s="9"/>
      <c r="E7520" s="9">
        <v>1728561.5107574463</v>
      </c>
      <c r="F7520" s="257" t="s">
        <v>17942</v>
      </c>
      <c r="G7520" s="9"/>
      <c r="H7520" s="257" t="s">
        <v>25524</v>
      </c>
      <c r="I7520" s="9">
        <v>4</v>
      </c>
    </row>
    <row r="7521" spans="1:9">
      <c r="A7521" s="257" t="s">
        <v>8619</v>
      </c>
      <c r="B7521" s="9">
        <v>4</v>
      </c>
      <c r="C7521" s="257" t="s">
        <v>13723</v>
      </c>
      <c r="D7521" s="9">
        <v>4.2619928512645316E-2</v>
      </c>
      <c r="E7521" s="9">
        <v>1728561.5107574463</v>
      </c>
      <c r="F7521" s="257" t="s">
        <v>17943</v>
      </c>
      <c r="G7521" s="9"/>
      <c r="H7521" s="257" t="s">
        <v>25525</v>
      </c>
      <c r="I7521" s="9">
        <v>4</v>
      </c>
    </row>
    <row r="7522" spans="1:9">
      <c r="A7522" s="257" t="s">
        <v>8620</v>
      </c>
      <c r="B7522" s="9">
        <v>4</v>
      </c>
      <c r="C7522" s="257" t="s">
        <v>13723</v>
      </c>
      <c r="D7522" s="9">
        <v>4.5779260845661487E-2</v>
      </c>
      <c r="E7522" s="9">
        <v>1728561.5107574463</v>
      </c>
      <c r="F7522" s="257" t="s">
        <v>17944</v>
      </c>
      <c r="G7522" s="9"/>
      <c r="H7522" s="257" t="s">
        <v>25526</v>
      </c>
      <c r="I7522" s="9">
        <v>4</v>
      </c>
    </row>
    <row r="7523" spans="1:9">
      <c r="A7523" s="257" t="s">
        <v>8621</v>
      </c>
      <c r="B7523" s="9">
        <v>4</v>
      </c>
      <c r="C7523" s="257" t="s">
        <v>13723</v>
      </c>
      <c r="D7523" s="9">
        <v>4.4675356504297117E-2</v>
      </c>
      <c r="E7523" s="9">
        <v>1728561.5107574463</v>
      </c>
      <c r="F7523" s="257" t="s">
        <v>17945</v>
      </c>
      <c r="G7523" s="9"/>
      <c r="H7523" s="257" t="s">
        <v>25527</v>
      </c>
      <c r="I7523" s="9">
        <v>4</v>
      </c>
    </row>
    <row r="7524" spans="1:9">
      <c r="A7524" s="257" t="s">
        <v>8622</v>
      </c>
      <c r="B7524" s="9">
        <v>4</v>
      </c>
      <c r="C7524" s="257" t="s">
        <v>13723</v>
      </c>
      <c r="D7524" s="9">
        <v>4.5045673799941462E-2</v>
      </c>
      <c r="E7524" s="9">
        <v>1728561.5107574463</v>
      </c>
      <c r="F7524" s="257" t="s">
        <v>17946</v>
      </c>
      <c r="G7524" s="9"/>
      <c r="H7524" s="257" t="s">
        <v>25528</v>
      </c>
      <c r="I7524" s="9">
        <v>4</v>
      </c>
    </row>
    <row r="7525" spans="1:9">
      <c r="A7525" s="257" t="s">
        <v>8623</v>
      </c>
      <c r="B7525" s="9">
        <v>4</v>
      </c>
      <c r="C7525" s="257" t="s">
        <v>13723</v>
      </c>
      <c r="D7525" s="9">
        <v>0.10762648863626119</v>
      </c>
      <c r="E7525" s="9">
        <v>1728561.5107574463</v>
      </c>
      <c r="F7525" s="257" t="s">
        <v>17947</v>
      </c>
      <c r="G7525" s="9"/>
      <c r="H7525" s="257" t="s">
        <v>25529</v>
      </c>
      <c r="I7525" s="9">
        <v>4</v>
      </c>
    </row>
    <row r="7526" spans="1:9">
      <c r="A7526" s="257" t="s">
        <v>8624</v>
      </c>
      <c r="B7526" s="9">
        <v>4</v>
      </c>
      <c r="C7526" s="257" t="s">
        <v>13723</v>
      </c>
      <c r="D7526" s="9">
        <v>5.5847824462011336E-2</v>
      </c>
      <c r="E7526" s="9">
        <v>1728561.5107574463</v>
      </c>
      <c r="F7526" s="257" t="s">
        <v>17948</v>
      </c>
      <c r="G7526" s="9"/>
      <c r="H7526" s="257" t="s">
        <v>25530</v>
      </c>
      <c r="I7526" s="9">
        <v>4</v>
      </c>
    </row>
    <row r="7527" spans="1:9">
      <c r="A7527" s="257" t="s">
        <v>8625</v>
      </c>
      <c r="B7527" s="9">
        <v>4</v>
      </c>
      <c r="C7527" s="257" t="s">
        <v>13723</v>
      </c>
      <c r="D7527" s="9">
        <v>3.1202656400071711E-2</v>
      </c>
      <c r="E7527" s="9">
        <v>1728561.5107574463</v>
      </c>
      <c r="F7527" s="257" t="s">
        <v>17949</v>
      </c>
      <c r="G7527" s="9"/>
      <c r="H7527" s="257" t="s">
        <v>25531</v>
      </c>
      <c r="I7527" s="9">
        <v>4</v>
      </c>
    </row>
    <row r="7528" spans="1:9">
      <c r="A7528" s="257" t="s">
        <v>8626</v>
      </c>
      <c r="B7528" s="9">
        <v>4</v>
      </c>
      <c r="C7528" s="257" t="s">
        <v>13723</v>
      </c>
      <c r="D7528" s="9">
        <v>4.4063002781709652E-2</v>
      </c>
      <c r="E7528" s="9">
        <v>1728561.5107574463</v>
      </c>
      <c r="F7528" s="257" t="s">
        <v>17950</v>
      </c>
      <c r="G7528" s="9"/>
      <c r="H7528" s="257" t="s">
        <v>25532</v>
      </c>
      <c r="I7528" s="9">
        <v>4</v>
      </c>
    </row>
    <row r="7529" spans="1:9">
      <c r="A7529" s="257" t="s">
        <v>8627</v>
      </c>
      <c r="B7529" s="9">
        <v>4</v>
      </c>
      <c r="C7529" s="257" t="s">
        <v>13723</v>
      </c>
      <c r="D7529" s="9">
        <v>3.1357172683946492E-2</v>
      </c>
      <c r="E7529" s="9">
        <v>1728561.5107574463</v>
      </c>
      <c r="F7529" s="257" t="s">
        <v>17951</v>
      </c>
      <c r="G7529" s="9"/>
      <c r="H7529" s="257" t="s">
        <v>25533</v>
      </c>
      <c r="I7529" s="9">
        <v>4</v>
      </c>
    </row>
    <row r="7530" spans="1:9">
      <c r="A7530" s="257" t="s">
        <v>8628</v>
      </c>
      <c r="B7530" s="9">
        <v>4</v>
      </c>
      <c r="C7530" s="257" t="s">
        <v>13723</v>
      </c>
      <c r="D7530" s="9">
        <v>4.1099544591045888E-2</v>
      </c>
      <c r="E7530" s="9">
        <v>1728561.5107574463</v>
      </c>
      <c r="F7530" s="257" t="s">
        <v>17952</v>
      </c>
      <c r="G7530" s="9"/>
      <c r="H7530" s="257" t="s">
        <v>25534</v>
      </c>
      <c r="I7530" s="9">
        <v>4</v>
      </c>
    </row>
    <row r="7531" spans="1:9">
      <c r="A7531" s="257" t="s">
        <v>8629</v>
      </c>
      <c r="B7531" s="9">
        <v>4</v>
      </c>
      <c r="C7531" s="257" t="s">
        <v>13723</v>
      </c>
      <c r="D7531" s="9">
        <v>3.9198582055305915E-2</v>
      </c>
      <c r="E7531" s="9">
        <v>1728561.5107574463</v>
      </c>
      <c r="F7531" s="257" t="s">
        <v>17953</v>
      </c>
      <c r="G7531" s="9"/>
      <c r="H7531" s="257" t="s">
        <v>25535</v>
      </c>
      <c r="I7531" s="9">
        <v>4</v>
      </c>
    </row>
    <row r="7532" spans="1:9">
      <c r="A7532" s="257" t="s">
        <v>8630</v>
      </c>
      <c r="B7532" s="9">
        <v>4</v>
      </c>
      <c r="C7532" s="257" t="s">
        <v>13723</v>
      </c>
      <c r="D7532" s="9">
        <v>4.0190447505472238E-2</v>
      </c>
      <c r="E7532" s="9">
        <v>1728561.5107574463</v>
      </c>
      <c r="F7532" s="257" t="s">
        <v>17954</v>
      </c>
      <c r="G7532" s="9"/>
      <c r="H7532" s="257" t="s">
        <v>25536</v>
      </c>
      <c r="I7532" s="9">
        <v>4</v>
      </c>
    </row>
    <row r="7533" spans="1:9">
      <c r="A7533" s="257" t="s">
        <v>8631</v>
      </c>
      <c r="B7533" s="9">
        <v>4</v>
      </c>
      <c r="C7533" s="257" t="s">
        <v>13723</v>
      </c>
      <c r="D7533" s="9">
        <v>3.9201453325315272E-2</v>
      </c>
      <c r="E7533" s="9">
        <v>1728561.5107574463</v>
      </c>
      <c r="F7533" s="257" t="s">
        <v>17955</v>
      </c>
      <c r="G7533" s="9"/>
      <c r="H7533" s="257" t="s">
        <v>25537</v>
      </c>
      <c r="I7533" s="9">
        <v>4</v>
      </c>
    </row>
    <row r="7534" spans="1:9">
      <c r="A7534" s="257" t="s">
        <v>8632</v>
      </c>
      <c r="B7534" s="9">
        <v>4</v>
      </c>
      <c r="C7534" s="257" t="s">
        <v>13723</v>
      </c>
      <c r="D7534" s="9">
        <v>0.13383751467253235</v>
      </c>
      <c r="E7534" s="9">
        <v>1728561.5107574463</v>
      </c>
      <c r="F7534" s="257" t="s">
        <v>17956</v>
      </c>
      <c r="G7534" s="9"/>
      <c r="H7534" s="257" t="s">
        <v>25538</v>
      </c>
      <c r="I7534" s="9">
        <v>4</v>
      </c>
    </row>
    <row r="7535" spans="1:9">
      <c r="A7535" s="257" t="s">
        <v>8633</v>
      </c>
      <c r="B7535" s="9">
        <v>4</v>
      </c>
      <c r="C7535" s="257" t="s">
        <v>13723</v>
      </c>
      <c r="D7535" s="9">
        <v>5.772957405737069E-2</v>
      </c>
      <c r="E7535" s="9">
        <v>1728561.5107574463</v>
      </c>
      <c r="F7535" s="257" t="s">
        <v>17957</v>
      </c>
      <c r="G7535" s="9"/>
      <c r="H7535" s="257" t="s">
        <v>25539</v>
      </c>
      <c r="I7535" s="9">
        <v>4</v>
      </c>
    </row>
    <row r="7536" spans="1:9">
      <c r="A7536" s="257" t="s">
        <v>8634</v>
      </c>
      <c r="B7536" s="9">
        <v>4</v>
      </c>
      <c r="C7536" s="257" t="s">
        <v>13723</v>
      </c>
      <c r="D7536" s="9">
        <v>0.11475917903315982</v>
      </c>
      <c r="E7536" s="9">
        <v>1728561.5107574463</v>
      </c>
      <c r="F7536" s="257" t="s">
        <v>17958</v>
      </c>
      <c r="G7536" s="9"/>
      <c r="H7536" s="257" t="s">
        <v>25540</v>
      </c>
      <c r="I7536" s="9">
        <v>4</v>
      </c>
    </row>
    <row r="7537" spans="1:9">
      <c r="A7537" s="257" t="s">
        <v>8635</v>
      </c>
      <c r="B7537" s="9">
        <v>4</v>
      </c>
      <c r="C7537" s="257" t="s">
        <v>13723</v>
      </c>
      <c r="D7537" s="9">
        <v>0.11687606709227789</v>
      </c>
      <c r="E7537" s="9">
        <v>1728561.5107574463</v>
      </c>
      <c r="F7537" s="257" t="s">
        <v>17959</v>
      </c>
      <c r="G7537" s="9"/>
      <c r="H7537" s="257" t="s">
        <v>25541</v>
      </c>
      <c r="I7537" s="9">
        <v>4</v>
      </c>
    </row>
    <row r="7538" spans="1:9">
      <c r="A7538" s="257" t="s">
        <v>8636</v>
      </c>
      <c r="B7538" s="9">
        <v>4</v>
      </c>
      <c r="C7538" s="257" t="s">
        <v>13723</v>
      </c>
      <c r="D7538" s="9">
        <v>2.7647271653358268E-2</v>
      </c>
      <c r="E7538" s="9">
        <v>1728561.5107574463</v>
      </c>
      <c r="F7538" s="257" t="s">
        <v>17960</v>
      </c>
      <c r="G7538" s="9"/>
      <c r="H7538" s="257" t="s">
        <v>25542</v>
      </c>
      <c r="I7538" s="9">
        <v>4</v>
      </c>
    </row>
    <row r="7539" spans="1:9">
      <c r="A7539" s="257" t="s">
        <v>8637</v>
      </c>
      <c r="B7539" s="9">
        <v>4</v>
      </c>
      <c r="C7539" s="257" t="s">
        <v>13723</v>
      </c>
      <c r="D7539" s="9">
        <v>0.12214538495449485</v>
      </c>
      <c r="E7539" s="9">
        <v>1728561.5107574463</v>
      </c>
      <c r="F7539" s="257" t="s">
        <v>17961</v>
      </c>
      <c r="G7539" s="9"/>
      <c r="H7539" s="257" t="s">
        <v>25543</v>
      </c>
      <c r="I7539" s="9">
        <v>4</v>
      </c>
    </row>
    <row r="7540" spans="1:9">
      <c r="A7540" s="257" t="s">
        <v>8638</v>
      </c>
      <c r="B7540" s="9">
        <v>4</v>
      </c>
      <c r="C7540" s="257" t="s">
        <v>13723</v>
      </c>
      <c r="D7540" s="9">
        <v>1.1384745360381608E-2</v>
      </c>
      <c r="E7540" s="9">
        <v>1728561.5107574463</v>
      </c>
      <c r="F7540" s="257" t="s">
        <v>17962</v>
      </c>
      <c r="G7540" s="9"/>
      <c r="H7540" s="257" t="s">
        <v>25544</v>
      </c>
      <c r="I7540" s="9">
        <v>4</v>
      </c>
    </row>
    <row r="7541" spans="1:9">
      <c r="A7541" s="257" t="s">
        <v>8639</v>
      </c>
      <c r="B7541" s="9">
        <v>4</v>
      </c>
      <c r="C7541" s="257" t="s">
        <v>13723</v>
      </c>
      <c r="D7541" s="9">
        <v>4.4010501950856457E-2</v>
      </c>
      <c r="E7541" s="9">
        <v>1728561.5107574463</v>
      </c>
      <c r="F7541" s="257" t="s">
        <v>17963</v>
      </c>
      <c r="G7541" s="9"/>
      <c r="H7541" s="257" t="s">
        <v>25545</v>
      </c>
      <c r="I7541" s="9">
        <v>4</v>
      </c>
    </row>
    <row r="7542" spans="1:9">
      <c r="A7542" s="257" t="s">
        <v>8640</v>
      </c>
      <c r="B7542" s="9">
        <v>5</v>
      </c>
      <c r="C7542" s="257" t="s">
        <v>13723</v>
      </c>
      <c r="D7542" s="9">
        <v>9.2332127873948094E-2</v>
      </c>
      <c r="E7542" s="9">
        <v>1724465.2324523926</v>
      </c>
      <c r="F7542" s="257" t="s">
        <v>17964</v>
      </c>
      <c r="G7542" s="9"/>
      <c r="H7542" s="257" t="s">
        <v>25546</v>
      </c>
      <c r="I7542" s="9">
        <v>4</v>
      </c>
    </row>
    <row r="7543" spans="1:9">
      <c r="A7543" s="257" t="s">
        <v>8641</v>
      </c>
      <c r="B7543" s="9">
        <v>5</v>
      </c>
      <c r="C7543" s="257" t="s">
        <v>13723</v>
      </c>
      <c r="D7543" s="9">
        <v>5.3452922838709907E-2</v>
      </c>
      <c r="E7543" s="9">
        <v>1724465.2324523926</v>
      </c>
      <c r="F7543" s="257" t="s">
        <v>17965</v>
      </c>
      <c r="G7543" s="9"/>
      <c r="H7543" s="257" t="s">
        <v>25547</v>
      </c>
      <c r="I7543" s="9">
        <v>4</v>
      </c>
    </row>
    <row r="7544" spans="1:9">
      <c r="A7544" s="257" t="s">
        <v>8642</v>
      </c>
      <c r="B7544" s="9">
        <v>5</v>
      </c>
      <c r="C7544" s="257" t="s">
        <v>13723</v>
      </c>
      <c r="D7544" s="9">
        <v>4.1013061594515718E-2</v>
      </c>
      <c r="E7544" s="9">
        <v>1724465.2324523926</v>
      </c>
      <c r="F7544" s="257" t="s">
        <v>17966</v>
      </c>
      <c r="G7544" s="9"/>
      <c r="H7544" s="257" t="s">
        <v>25548</v>
      </c>
      <c r="I7544" s="9">
        <v>4</v>
      </c>
    </row>
    <row r="7545" spans="1:9">
      <c r="A7545" s="257" t="s">
        <v>8643</v>
      </c>
      <c r="B7545" s="9">
        <v>5</v>
      </c>
      <c r="C7545" s="257" t="s">
        <v>13723</v>
      </c>
      <c r="D7545" s="9">
        <v>0.10135258952142229</v>
      </c>
      <c r="E7545" s="9">
        <v>1724465.2324523926</v>
      </c>
      <c r="F7545" s="257" t="s">
        <v>17967</v>
      </c>
      <c r="G7545" s="9"/>
      <c r="H7545" s="257" t="s">
        <v>25549</v>
      </c>
      <c r="I7545" s="9">
        <v>4</v>
      </c>
    </row>
    <row r="7546" spans="1:9">
      <c r="A7546" s="257" t="s">
        <v>8644</v>
      </c>
      <c r="B7546" s="9">
        <v>5</v>
      </c>
      <c r="C7546" s="257" t="s">
        <v>13723</v>
      </c>
      <c r="D7546" s="9"/>
      <c r="E7546" s="9">
        <v>1724465.2324523926</v>
      </c>
      <c r="F7546" s="257" t="s">
        <v>17968</v>
      </c>
      <c r="G7546" s="9"/>
      <c r="H7546" s="257" t="s">
        <v>25550</v>
      </c>
      <c r="I7546" s="9">
        <v>4</v>
      </c>
    </row>
    <row r="7547" spans="1:9">
      <c r="A7547" s="257" t="s">
        <v>8645</v>
      </c>
      <c r="B7547" s="9">
        <v>5</v>
      </c>
      <c r="C7547" s="257" t="s">
        <v>13723</v>
      </c>
      <c r="D7547" s="9">
        <v>5.1954030817576609E-2</v>
      </c>
      <c r="E7547" s="9">
        <v>1724465.2324523926</v>
      </c>
      <c r="F7547" s="257" t="s">
        <v>17969</v>
      </c>
      <c r="G7547" s="9"/>
      <c r="H7547" s="257" t="s">
        <v>25551</v>
      </c>
      <c r="I7547" s="9">
        <v>4</v>
      </c>
    </row>
    <row r="7548" spans="1:9">
      <c r="A7548" s="257" t="s">
        <v>8646</v>
      </c>
      <c r="B7548" s="9">
        <v>5</v>
      </c>
      <c r="C7548" s="257" t="s">
        <v>13723</v>
      </c>
      <c r="D7548" s="9">
        <v>9.3118146511197653E-2</v>
      </c>
      <c r="E7548" s="9">
        <v>1724465.2324523926</v>
      </c>
      <c r="F7548" s="257" t="s">
        <v>17970</v>
      </c>
      <c r="G7548" s="9"/>
      <c r="H7548" s="257" t="s">
        <v>25552</v>
      </c>
      <c r="I7548" s="9">
        <v>4</v>
      </c>
    </row>
    <row r="7549" spans="1:9">
      <c r="A7549" s="257" t="s">
        <v>8647</v>
      </c>
      <c r="B7549" s="9">
        <v>5</v>
      </c>
      <c r="C7549" s="257" t="s">
        <v>13723</v>
      </c>
      <c r="D7549" s="9">
        <v>5.8565203957735533E-2</v>
      </c>
      <c r="E7549" s="9">
        <v>1724465.2324523926</v>
      </c>
      <c r="F7549" s="257" t="s">
        <v>17971</v>
      </c>
      <c r="G7549" s="9"/>
      <c r="H7549" s="257" t="s">
        <v>25553</v>
      </c>
      <c r="I7549" s="9">
        <v>4</v>
      </c>
    </row>
    <row r="7550" spans="1:9">
      <c r="A7550" s="257" t="s">
        <v>8648</v>
      </c>
      <c r="B7550" s="9">
        <v>5</v>
      </c>
      <c r="C7550" s="257" t="s">
        <v>13723</v>
      </c>
      <c r="D7550" s="9">
        <v>5.5971335361112207E-2</v>
      </c>
      <c r="E7550" s="9">
        <v>1724465.2324523926</v>
      </c>
      <c r="F7550" s="257" t="s">
        <v>17972</v>
      </c>
      <c r="G7550" s="9"/>
      <c r="H7550" s="257" t="s">
        <v>25554</v>
      </c>
      <c r="I7550" s="9">
        <v>4</v>
      </c>
    </row>
    <row r="7551" spans="1:9">
      <c r="A7551" s="257" t="s">
        <v>8649</v>
      </c>
      <c r="B7551" s="9">
        <v>5</v>
      </c>
      <c r="C7551" s="257" t="s">
        <v>13723</v>
      </c>
      <c r="D7551" s="9">
        <v>9.7519432109804946E-2</v>
      </c>
      <c r="E7551" s="9">
        <v>1724465.2324523926</v>
      </c>
      <c r="F7551" s="257" t="s">
        <v>17973</v>
      </c>
      <c r="G7551" s="9"/>
      <c r="H7551" s="257" t="s">
        <v>25555</v>
      </c>
      <c r="I7551" s="9">
        <v>4</v>
      </c>
    </row>
    <row r="7552" spans="1:9">
      <c r="A7552" s="257" t="s">
        <v>8650</v>
      </c>
      <c r="B7552" s="9">
        <v>5</v>
      </c>
      <c r="C7552" s="257" t="s">
        <v>13723</v>
      </c>
      <c r="D7552" s="9">
        <v>5.2080950288095965E-2</v>
      </c>
      <c r="E7552" s="9">
        <v>1724465.2324523926</v>
      </c>
      <c r="F7552" s="257" t="s">
        <v>17974</v>
      </c>
      <c r="G7552" s="9"/>
      <c r="H7552" s="257" t="s">
        <v>25556</v>
      </c>
      <c r="I7552" s="9">
        <v>4</v>
      </c>
    </row>
    <row r="7553" spans="1:9">
      <c r="A7553" s="257" t="s">
        <v>8651</v>
      </c>
      <c r="B7553" s="9">
        <v>5</v>
      </c>
      <c r="C7553" s="257" t="s">
        <v>13723</v>
      </c>
      <c r="D7553" s="9">
        <v>6.424157085089742E-2</v>
      </c>
      <c r="E7553" s="9">
        <v>1724465.2324523926</v>
      </c>
      <c r="F7553" s="257" t="s">
        <v>17975</v>
      </c>
      <c r="G7553" s="9"/>
      <c r="H7553" s="257" t="s">
        <v>25557</v>
      </c>
      <c r="I7553" s="9">
        <v>4</v>
      </c>
    </row>
    <row r="7554" spans="1:9">
      <c r="A7554" s="257" t="s">
        <v>8652</v>
      </c>
      <c r="B7554" s="9">
        <v>5</v>
      </c>
      <c r="C7554" s="257" t="s">
        <v>13723</v>
      </c>
      <c r="D7554" s="9">
        <v>6.8156677179737779E-2</v>
      </c>
      <c r="E7554" s="9">
        <v>1724465.2324523926</v>
      </c>
      <c r="F7554" s="257" t="s">
        <v>17976</v>
      </c>
      <c r="G7554" s="9"/>
      <c r="H7554" s="257" t="s">
        <v>25558</v>
      </c>
      <c r="I7554" s="9">
        <v>4</v>
      </c>
    </row>
    <row r="7555" spans="1:9">
      <c r="A7555" s="257" t="s">
        <v>8653</v>
      </c>
      <c r="B7555" s="9">
        <v>5</v>
      </c>
      <c r="C7555" s="257" t="s">
        <v>13723</v>
      </c>
      <c r="D7555" s="9">
        <v>5.7235855386778577E-2</v>
      </c>
      <c r="E7555" s="9">
        <v>1724465.2324523926</v>
      </c>
      <c r="F7555" s="257" t="s">
        <v>17977</v>
      </c>
      <c r="G7555" s="9"/>
      <c r="H7555" s="257" t="s">
        <v>25559</v>
      </c>
      <c r="I7555" s="9">
        <v>4</v>
      </c>
    </row>
    <row r="7556" spans="1:9">
      <c r="A7556" s="257" t="s">
        <v>8654</v>
      </c>
      <c r="B7556" s="9">
        <v>5</v>
      </c>
      <c r="C7556" s="257" t="s">
        <v>13723</v>
      </c>
      <c r="D7556" s="9">
        <v>5.6896816863228311E-2</v>
      </c>
      <c r="E7556" s="9">
        <v>1724465.2324523926</v>
      </c>
      <c r="F7556" s="257" t="s">
        <v>17978</v>
      </c>
      <c r="G7556" s="9"/>
      <c r="H7556" s="257" t="s">
        <v>25560</v>
      </c>
      <c r="I7556" s="9">
        <v>4</v>
      </c>
    </row>
    <row r="7557" spans="1:9">
      <c r="A7557" s="257" t="s">
        <v>8655</v>
      </c>
      <c r="B7557" s="9">
        <v>5</v>
      </c>
      <c r="C7557" s="257" t="s">
        <v>13723</v>
      </c>
      <c r="D7557" s="9">
        <v>5.5903776279032577E-2</v>
      </c>
      <c r="E7557" s="9">
        <v>1724465.2324523926</v>
      </c>
      <c r="F7557" s="257" t="s">
        <v>17979</v>
      </c>
      <c r="G7557" s="9"/>
      <c r="H7557" s="257" t="s">
        <v>25561</v>
      </c>
      <c r="I7557" s="9">
        <v>4</v>
      </c>
    </row>
    <row r="7558" spans="1:9">
      <c r="A7558" s="257" t="s">
        <v>8656</v>
      </c>
      <c r="B7558" s="9">
        <v>5</v>
      </c>
      <c r="C7558" s="257" t="s">
        <v>13723</v>
      </c>
      <c r="D7558" s="9">
        <v>3.8612168346694169E-2</v>
      </c>
      <c r="E7558" s="9">
        <v>1724465.2324523926</v>
      </c>
      <c r="F7558" s="257" t="s">
        <v>17980</v>
      </c>
      <c r="G7558" s="9"/>
      <c r="H7558" s="257" t="s">
        <v>25562</v>
      </c>
      <c r="I7558" s="9">
        <v>4</v>
      </c>
    </row>
    <row r="7559" spans="1:9">
      <c r="A7559" s="257" t="s">
        <v>8657</v>
      </c>
      <c r="B7559" s="9">
        <v>5</v>
      </c>
      <c r="C7559" s="257" t="s">
        <v>13723</v>
      </c>
      <c r="D7559" s="9">
        <v>6.9262926254852669E-2</v>
      </c>
      <c r="E7559" s="9">
        <v>1724465.2324523926</v>
      </c>
      <c r="F7559" s="257" t="s">
        <v>17981</v>
      </c>
      <c r="G7559" s="9"/>
      <c r="H7559" s="257" t="s">
        <v>25563</v>
      </c>
      <c r="I7559" s="9">
        <v>4</v>
      </c>
    </row>
    <row r="7560" spans="1:9">
      <c r="A7560" s="257" t="s">
        <v>8658</v>
      </c>
      <c r="B7560" s="9">
        <v>5</v>
      </c>
      <c r="C7560" s="257" t="s">
        <v>13723</v>
      </c>
      <c r="D7560" s="9">
        <v>5.1762907149682812E-2</v>
      </c>
      <c r="E7560" s="9">
        <v>1724465.2324523926</v>
      </c>
      <c r="F7560" s="257" t="s">
        <v>17982</v>
      </c>
      <c r="G7560" s="9"/>
      <c r="H7560" s="257" t="s">
        <v>25564</v>
      </c>
      <c r="I7560" s="9">
        <v>4</v>
      </c>
    </row>
    <row r="7561" spans="1:9">
      <c r="A7561" s="257" t="s">
        <v>8659</v>
      </c>
      <c r="B7561" s="9">
        <v>5</v>
      </c>
      <c r="C7561" s="257" t="s">
        <v>13723</v>
      </c>
      <c r="D7561" s="9">
        <v>5.6885383996386207E-2</v>
      </c>
      <c r="E7561" s="9">
        <v>1724465.2324523926</v>
      </c>
      <c r="F7561" s="257" t="s">
        <v>17983</v>
      </c>
      <c r="G7561" s="9"/>
      <c r="H7561" s="257" t="s">
        <v>25565</v>
      </c>
      <c r="I7561" s="9">
        <v>4</v>
      </c>
    </row>
    <row r="7562" spans="1:9">
      <c r="A7562" s="257" t="s">
        <v>8660</v>
      </c>
      <c r="B7562" s="9">
        <v>5</v>
      </c>
      <c r="C7562" s="257" t="s">
        <v>13723</v>
      </c>
      <c r="D7562" s="9">
        <v>0.11438745164911279</v>
      </c>
      <c r="E7562" s="9">
        <v>1724465.2324523926</v>
      </c>
      <c r="F7562" s="257" t="s">
        <v>17984</v>
      </c>
      <c r="G7562" s="9"/>
      <c r="H7562" s="257" t="s">
        <v>25566</v>
      </c>
      <c r="I7562" s="9">
        <v>4</v>
      </c>
    </row>
    <row r="7563" spans="1:9">
      <c r="A7563" s="257" t="s">
        <v>8661</v>
      </c>
      <c r="B7563" s="9">
        <v>5</v>
      </c>
      <c r="C7563" s="257" t="s">
        <v>13723</v>
      </c>
      <c r="D7563" s="9">
        <v>4.553168747092648E-2</v>
      </c>
      <c r="E7563" s="9">
        <v>1724465.2324523926</v>
      </c>
      <c r="F7563" s="257" t="s">
        <v>17985</v>
      </c>
      <c r="G7563" s="9"/>
      <c r="H7563" s="257" t="s">
        <v>25567</v>
      </c>
      <c r="I7563" s="9">
        <v>4</v>
      </c>
    </row>
    <row r="7564" spans="1:9">
      <c r="A7564" s="257" t="s">
        <v>8662</v>
      </c>
      <c r="B7564" s="9">
        <v>5</v>
      </c>
      <c r="C7564" s="257" t="s">
        <v>13723</v>
      </c>
      <c r="D7564" s="9">
        <v>9.5647078387357722E-3</v>
      </c>
      <c r="E7564" s="9">
        <v>1724465.2324523926</v>
      </c>
      <c r="F7564" s="257" t="s">
        <v>17986</v>
      </c>
      <c r="G7564" s="9"/>
      <c r="H7564" s="257" t="s">
        <v>25568</v>
      </c>
      <c r="I7564" s="9">
        <v>4</v>
      </c>
    </row>
    <row r="7565" spans="1:9">
      <c r="A7565" s="257" t="s">
        <v>8663</v>
      </c>
      <c r="B7565" s="9">
        <v>5</v>
      </c>
      <c r="C7565" s="257" t="s">
        <v>13723</v>
      </c>
      <c r="D7565" s="9">
        <v>4.4962651424182438E-2</v>
      </c>
      <c r="E7565" s="9">
        <v>1724465.2324523926</v>
      </c>
      <c r="F7565" s="257" t="s">
        <v>17987</v>
      </c>
      <c r="G7565" s="9"/>
      <c r="H7565" s="257" t="s">
        <v>25569</v>
      </c>
      <c r="I7565" s="9">
        <v>4</v>
      </c>
    </row>
    <row r="7566" spans="1:9">
      <c r="A7566" s="257" t="s">
        <v>8664</v>
      </c>
      <c r="B7566" s="9">
        <v>5</v>
      </c>
      <c r="C7566" s="257" t="s">
        <v>13723</v>
      </c>
      <c r="D7566" s="9">
        <v>5.2426945031584793E-2</v>
      </c>
      <c r="E7566" s="9">
        <v>1724465.2324523926</v>
      </c>
      <c r="F7566" s="257" t="s">
        <v>17988</v>
      </c>
      <c r="G7566" s="9"/>
      <c r="H7566" s="257" t="s">
        <v>25570</v>
      </c>
      <c r="I7566" s="9">
        <v>4</v>
      </c>
    </row>
    <row r="7567" spans="1:9">
      <c r="A7567" s="257" t="s">
        <v>8665</v>
      </c>
      <c r="B7567" s="9">
        <v>6</v>
      </c>
      <c r="C7567" s="257" t="s">
        <v>13723</v>
      </c>
      <c r="D7567" s="9">
        <v>7.9161225015622089E-2</v>
      </c>
      <c r="E7567" s="9">
        <v>1727309.5965805054</v>
      </c>
      <c r="F7567" s="257" t="s">
        <v>17989</v>
      </c>
      <c r="G7567" s="9"/>
      <c r="H7567" s="257" t="s">
        <v>25571</v>
      </c>
      <c r="I7567" s="9">
        <v>4</v>
      </c>
    </row>
    <row r="7568" spans="1:9">
      <c r="A7568" s="257" t="s">
        <v>8666</v>
      </c>
      <c r="B7568" s="9">
        <v>6</v>
      </c>
      <c r="C7568" s="257" t="s">
        <v>13723</v>
      </c>
      <c r="D7568" s="9">
        <v>6.312123584585376E-2</v>
      </c>
      <c r="E7568" s="9">
        <v>1727309.5965805054</v>
      </c>
      <c r="F7568" s="257" t="s">
        <v>17990</v>
      </c>
      <c r="G7568" s="9"/>
      <c r="H7568" s="257" t="s">
        <v>25572</v>
      </c>
      <c r="I7568" s="9">
        <v>4</v>
      </c>
    </row>
    <row r="7569" spans="1:9">
      <c r="A7569" s="257" t="s">
        <v>8667</v>
      </c>
      <c r="B7569" s="9">
        <v>6</v>
      </c>
      <c r="C7569" s="257" t="s">
        <v>13723</v>
      </c>
      <c r="D7569" s="9">
        <v>5.7175895232142122E-2</v>
      </c>
      <c r="E7569" s="9">
        <v>1727309.5965805054</v>
      </c>
      <c r="F7569" s="257" t="s">
        <v>17991</v>
      </c>
      <c r="G7569" s="9"/>
      <c r="H7569" s="257" t="s">
        <v>25573</v>
      </c>
      <c r="I7569" s="9">
        <v>4</v>
      </c>
    </row>
    <row r="7570" spans="1:9">
      <c r="A7570" s="257" t="s">
        <v>8668</v>
      </c>
      <c r="B7570" s="9">
        <v>6</v>
      </c>
      <c r="C7570" s="257" t="s">
        <v>13723</v>
      </c>
      <c r="D7570" s="9">
        <v>7.5766719554342818E-2</v>
      </c>
      <c r="E7570" s="9">
        <v>1727309.5965805054</v>
      </c>
      <c r="F7570" s="257" t="s">
        <v>17992</v>
      </c>
      <c r="G7570" s="9"/>
      <c r="H7570" s="257" t="s">
        <v>25574</v>
      </c>
      <c r="I7570" s="9">
        <v>4</v>
      </c>
    </row>
    <row r="7571" spans="1:9">
      <c r="A7571" s="257" t="s">
        <v>8669</v>
      </c>
      <c r="B7571" s="9">
        <v>6</v>
      </c>
      <c r="C7571" s="257" t="s">
        <v>13723</v>
      </c>
      <c r="D7571" s="9">
        <v>8.4534619503206343E-2</v>
      </c>
      <c r="E7571" s="9">
        <v>1727309.5965805054</v>
      </c>
      <c r="F7571" s="257" t="s">
        <v>17993</v>
      </c>
      <c r="G7571" s="9"/>
      <c r="H7571" s="257" t="s">
        <v>25575</v>
      </c>
      <c r="I7571" s="9">
        <v>4</v>
      </c>
    </row>
    <row r="7572" spans="1:9">
      <c r="A7572" s="257" t="s">
        <v>8670</v>
      </c>
      <c r="B7572" s="9">
        <v>6</v>
      </c>
      <c r="C7572" s="257" t="s">
        <v>13723</v>
      </c>
      <c r="D7572" s="9">
        <v>6.11360524424523E-2</v>
      </c>
      <c r="E7572" s="9">
        <v>1727309.5965805054</v>
      </c>
      <c r="F7572" s="257" t="s">
        <v>17994</v>
      </c>
      <c r="G7572" s="9"/>
      <c r="H7572" s="257" t="s">
        <v>25576</v>
      </c>
      <c r="I7572" s="9">
        <v>4</v>
      </c>
    </row>
    <row r="7573" spans="1:9">
      <c r="A7573" s="257" t="s">
        <v>8671</v>
      </c>
      <c r="B7573" s="9">
        <v>6</v>
      </c>
      <c r="C7573" s="257" t="s">
        <v>13723</v>
      </c>
      <c r="D7573" s="9">
        <v>7.4407416941388291E-2</v>
      </c>
      <c r="E7573" s="9">
        <v>1727309.5965805054</v>
      </c>
      <c r="F7573" s="257" t="s">
        <v>17995</v>
      </c>
      <c r="G7573" s="9"/>
      <c r="H7573" s="257" t="s">
        <v>25577</v>
      </c>
      <c r="I7573" s="9">
        <v>4</v>
      </c>
    </row>
    <row r="7574" spans="1:9">
      <c r="A7574" s="257" t="s">
        <v>8672</v>
      </c>
      <c r="B7574" s="9">
        <v>6</v>
      </c>
      <c r="C7574" s="257" t="s">
        <v>13723</v>
      </c>
      <c r="D7574" s="9">
        <v>7.9896364354204788E-2</v>
      </c>
      <c r="E7574" s="9">
        <v>1727309.5965805054</v>
      </c>
      <c r="F7574" s="257" t="s">
        <v>17996</v>
      </c>
      <c r="G7574" s="9"/>
      <c r="H7574" s="257" t="s">
        <v>25578</v>
      </c>
      <c r="I7574" s="9">
        <v>4</v>
      </c>
    </row>
    <row r="7575" spans="1:9">
      <c r="A7575" s="257" t="s">
        <v>8673</v>
      </c>
      <c r="B7575" s="9">
        <v>6</v>
      </c>
      <c r="C7575" s="257" t="s">
        <v>13723</v>
      </c>
      <c r="D7575" s="9">
        <v>3.9061917323978228E-2</v>
      </c>
      <c r="E7575" s="9">
        <v>1727309.5965805054</v>
      </c>
      <c r="F7575" s="257" t="s">
        <v>17997</v>
      </c>
      <c r="G7575" s="9"/>
      <c r="H7575" s="257" t="s">
        <v>25579</v>
      </c>
      <c r="I7575" s="9">
        <v>4</v>
      </c>
    </row>
    <row r="7576" spans="1:9">
      <c r="A7576" s="257" t="s">
        <v>8674</v>
      </c>
      <c r="B7576" s="9">
        <v>6</v>
      </c>
      <c r="C7576" s="257" t="s">
        <v>13723</v>
      </c>
      <c r="D7576" s="9">
        <v>6.84186092233625E-2</v>
      </c>
      <c r="E7576" s="9">
        <v>1727309.5965805054</v>
      </c>
      <c r="F7576" s="257" t="s">
        <v>17998</v>
      </c>
      <c r="G7576" s="9"/>
      <c r="H7576" s="257" t="s">
        <v>25580</v>
      </c>
      <c r="I7576" s="9">
        <v>4</v>
      </c>
    </row>
    <row r="7577" spans="1:9">
      <c r="A7577" s="257" t="s">
        <v>8675</v>
      </c>
      <c r="B7577" s="9">
        <v>6</v>
      </c>
      <c r="C7577" s="257" t="s">
        <v>13723</v>
      </c>
      <c r="D7577" s="9">
        <v>7.6973257904952158E-2</v>
      </c>
      <c r="E7577" s="9">
        <v>1727309.5965805054</v>
      </c>
      <c r="F7577" s="257" t="s">
        <v>17999</v>
      </c>
      <c r="G7577" s="9"/>
      <c r="H7577" s="257" t="s">
        <v>25581</v>
      </c>
      <c r="I7577" s="9">
        <v>4</v>
      </c>
    </row>
    <row r="7578" spans="1:9">
      <c r="A7578" s="257" t="s">
        <v>8676</v>
      </c>
      <c r="B7578" s="9">
        <v>6</v>
      </c>
      <c r="C7578" s="257" t="s">
        <v>13723</v>
      </c>
      <c r="D7578" s="9">
        <v>7.902223118131832E-2</v>
      </c>
      <c r="E7578" s="9">
        <v>1727309.5965805054</v>
      </c>
      <c r="F7578" s="257" t="s">
        <v>18000</v>
      </c>
      <c r="G7578" s="9"/>
      <c r="H7578" s="257" t="s">
        <v>25582</v>
      </c>
      <c r="I7578" s="9">
        <v>4</v>
      </c>
    </row>
    <row r="7579" spans="1:9">
      <c r="A7579" s="257" t="s">
        <v>8677</v>
      </c>
      <c r="B7579" s="9">
        <v>6</v>
      </c>
      <c r="C7579" s="257" t="s">
        <v>13723</v>
      </c>
      <c r="D7579" s="9">
        <v>7.2303243997629218E-2</v>
      </c>
      <c r="E7579" s="9">
        <v>1727309.5965805054</v>
      </c>
      <c r="F7579" s="257" t="s">
        <v>18001</v>
      </c>
      <c r="G7579" s="9"/>
      <c r="H7579" s="257" t="s">
        <v>25583</v>
      </c>
      <c r="I7579" s="9">
        <v>4</v>
      </c>
    </row>
    <row r="7580" spans="1:9">
      <c r="A7580" s="257" t="s">
        <v>8678</v>
      </c>
      <c r="B7580" s="9">
        <v>6</v>
      </c>
      <c r="C7580" s="257" t="s">
        <v>13723</v>
      </c>
      <c r="D7580" s="9">
        <v>7.7894539784439415E-2</v>
      </c>
      <c r="E7580" s="9">
        <v>1727309.5965805054</v>
      </c>
      <c r="F7580" s="257" t="s">
        <v>18002</v>
      </c>
      <c r="G7580" s="9"/>
      <c r="H7580" s="257" t="s">
        <v>25584</v>
      </c>
      <c r="I7580" s="9">
        <v>4</v>
      </c>
    </row>
    <row r="7581" spans="1:9">
      <c r="A7581" s="257" t="s">
        <v>8679</v>
      </c>
      <c r="B7581" s="9">
        <v>6</v>
      </c>
      <c r="C7581" s="257" t="s">
        <v>13723</v>
      </c>
      <c r="D7581" s="9">
        <v>7.8141060629726075E-2</v>
      </c>
      <c r="E7581" s="9">
        <v>1727309.5965805054</v>
      </c>
      <c r="F7581" s="257" t="s">
        <v>18003</v>
      </c>
      <c r="G7581" s="9"/>
      <c r="H7581" s="257" t="s">
        <v>25585</v>
      </c>
      <c r="I7581" s="9">
        <v>4</v>
      </c>
    </row>
    <row r="7582" spans="1:9">
      <c r="A7582" s="257" t="s">
        <v>8680</v>
      </c>
      <c r="B7582" s="9">
        <v>6</v>
      </c>
      <c r="C7582" s="257" t="s">
        <v>13723</v>
      </c>
      <c r="D7582" s="9">
        <v>7.6585967989752715E-2</v>
      </c>
      <c r="E7582" s="9">
        <v>1727309.5965805054</v>
      </c>
      <c r="F7582" s="257" t="s">
        <v>18004</v>
      </c>
      <c r="G7582" s="9"/>
      <c r="H7582" s="257" t="s">
        <v>25586</v>
      </c>
      <c r="I7582" s="9">
        <v>4</v>
      </c>
    </row>
    <row r="7583" spans="1:9">
      <c r="A7583" s="257" t="s">
        <v>8681</v>
      </c>
      <c r="B7583" s="9">
        <v>6</v>
      </c>
      <c r="C7583" s="257" t="s">
        <v>13723</v>
      </c>
      <c r="D7583" s="9">
        <v>7.7946577550652235E-2</v>
      </c>
      <c r="E7583" s="9">
        <v>1727309.5965805054</v>
      </c>
      <c r="F7583" s="257" t="s">
        <v>18005</v>
      </c>
      <c r="G7583" s="9"/>
      <c r="H7583" s="257" t="s">
        <v>25587</v>
      </c>
      <c r="I7583" s="9">
        <v>4</v>
      </c>
    </row>
    <row r="7584" spans="1:9">
      <c r="A7584" s="257" t="s">
        <v>8682</v>
      </c>
      <c r="B7584" s="9">
        <v>6</v>
      </c>
      <c r="C7584" s="257" t="s">
        <v>13723</v>
      </c>
      <c r="D7584" s="9">
        <v>7.9909807599407384E-2</v>
      </c>
      <c r="E7584" s="9">
        <v>1727309.5965805054</v>
      </c>
      <c r="F7584" s="257" t="s">
        <v>18006</v>
      </c>
      <c r="G7584" s="9"/>
      <c r="H7584" s="257" t="s">
        <v>25588</v>
      </c>
      <c r="I7584" s="9">
        <v>4</v>
      </c>
    </row>
    <row r="7585" spans="1:9">
      <c r="A7585" s="257" t="s">
        <v>8683</v>
      </c>
      <c r="B7585" s="9">
        <v>6</v>
      </c>
      <c r="C7585" s="257" t="s">
        <v>13723</v>
      </c>
      <c r="D7585" s="9">
        <v>7.9932250237260541E-2</v>
      </c>
      <c r="E7585" s="9">
        <v>1727309.5965805054</v>
      </c>
      <c r="F7585" s="257" t="s">
        <v>18007</v>
      </c>
      <c r="G7585" s="9"/>
      <c r="H7585" s="257" t="s">
        <v>25589</v>
      </c>
      <c r="I7585" s="9">
        <v>4</v>
      </c>
    </row>
    <row r="7586" spans="1:9">
      <c r="A7586" s="257" t="s">
        <v>8684</v>
      </c>
      <c r="B7586" s="9">
        <v>6</v>
      </c>
      <c r="C7586" s="257" t="s">
        <v>13723</v>
      </c>
      <c r="D7586" s="9">
        <v>7.6205478649203032E-2</v>
      </c>
      <c r="E7586" s="9">
        <v>1727309.5965805054</v>
      </c>
      <c r="F7586" s="257" t="s">
        <v>18008</v>
      </c>
      <c r="G7586" s="9"/>
      <c r="H7586" s="257" t="s">
        <v>25590</v>
      </c>
      <c r="I7586" s="9">
        <v>4</v>
      </c>
    </row>
    <row r="7587" spans="1:9">
      <c r="A7587" s="257" t="s">
        <v>8685</v>
      </c>
      <c r="B7587" s="9">
        <v>6</v>
      </c>
      <c r="C7587" s="257" t="s">
        <v>13723</v>
      </c>
      <c r="D7587" s="9">
        <v>7.2475931799384274E-2</v>
      </c>
      <c r="E7587" s="9">
        <v>1727309.5965805054</v>
      </c>
      <c r="F7587" s="257" t="s">
        <v>18009</v>
      </c>
      <c r="G7587" s="9"/>
      <c r="H7587" s="257" t="s">
        <v>25591</v>
      </c>
      <c r="I7587" s="9">
        <v>4</v>
      </c>
    </row>
    <row r="7588" spans="1:9">
      <c r="A7588" s="257" t="s">
        <v>8686</v>
      </c>
      <c r="B7588" s="9">
        <v>6</v>
      </c>
      <c r="C7588" s="257" t="s">
        <v>13723</v>
      </c>
      <c r="D7588" s="9">
        <v>8.1353075837813579E-2</v>
      </c>
      <c r="E7588" s="9">
        <v>1727309.5965805054</v>
      </c>
      <c r="F7588" s="257" t="s">
        <v>18010</v>
      </c>
      <c r="G7588" s="9"/>
      <c r="H7588" s="257" t="s">
        <v>25592</v>
      </c>
      <c r="I7588" s="9">
        <v>4</v>
      </c>
    </row>
    <row r="7589" spans="1:9">
      <c r="A7589" s="257" t="s">
        <v>8687</v>
      </c>
      <c r="B7589" s="9">
        <v>6</v>
      </c>
      <c r="C7589" s="257" t="s">
        <v>13723</v>
      </c>
      <c r="D7589" s="9"/>
      <c r="E7589" s="9">
        <v>1727309.5965805054</v>
      </c>
      <c r="F7589" s="257" t="s">
        <v>18011</v>
      </c>
      <c r="G7589" s="9"/>
      <c r="H7589" s="257" t="s">
        <v>25593</v>
      </c>
      <c r="I7589" s="9">
        <v>4</v>
      </c>
    </row>
    <row r="7590" spans="1:9">
      <c r="A7590" s="257" t="s">
        <v>8688</v>
      </c>
      <c r="B7590" s="9">
        <v>6</v>
      </c>
      <c r="C7590" s="257" t="s">
        <v>13723</v>
      </c>
      <c r="D7590" s="9">
        <v>7.9082432565873731E-2</v>
      </c>
      <c r="E7590" s="9">
        <v>1727309.5965805054</v>
      </c>
      <c r="F7590" s="257" t="s">
        <v>18012</v>
      </c>
      <c r="G7590" s="9"/>
      <c r="H7590" s="257" t="s">
        <v>25594</v>
      </c>
      <c r="I7590" s="9">
        <v>4</v>
      </c>
    </row>
    <row r="7591" spans="1:9">
      <c r="A7591" s="257" t="s">
        <v>8689</v>
      </c>
      <c r="B7591" s="9">
        <v>6</v>
      </c>
      <c r="C7591" s="257" t="s">
        <v>13723</v>
      </c>
      <c r="D7591" s="9">
        <v>7.9489743203614238E-2</v>
      </c>
      <c r="E7591" s="9">
        <v>1727309.5965805054</v>
      </c>
      <c r="F7591" s="257" t="s">
        <v>18013</v>
      </c>
      <c r="G7591" s="9"/>
      <c r="H7591" s="257" t="s">
        <v>25595</v>
      </c>
      <c r="I7591" s="9">
        <v>4</v>
      </c>
    </row>
    <row r="7592" spans="1:9">
      <c r="A7592" s="257" t="s">
        <v>8690</v>
      </c>
      <c r="B7592" s="9">
        <v>7</v>
      </c>
      <c r="C7592" s="257" t="s">
        <v>13723</v>
      </c>
      <c r="D7592" s="9">
        <v>9.8241105898608752E-2</v>
      </c>
      <c r="E7592" s="9">
        <v>1724929.0217895508</v>
      </c>
      <c r="F7592" s="257" t="s">
        <v>18014</v>
      </c>
      <c r="G7592" s="9"/>
      <c r="H7592" s="257" t="s">
        <v>25596</v>
      </c>
      <c r="I7592" s="9">
        <v>4</v>
      </c>
    </row>
    <row r="7593" spans="1:9">
      <c r="A7593" s="257" t="s">
        <v>8691</v>
      </c>
      <c r="B7593" s="9">
        <v>7</v>
      </c>
      <c r="C7593" s="257" t="s">
        <v>13723</v>
      </c>
      <c r="D7593" s="9">
        <v>0.1089258021868246</v>
      </c>
      <c r="E7593" s="9">
        <v>1724929.0217895508</v>
      </c>
      <c r="F7593" s="257" t="s">
        <v>18015</v>
      </c>
      <c r="G7593" s="9"/>
      <c r="H7593" s="257" t="s">
        <v>25597</v>
      </c>
      <c r="I7593" s="9">
        <v>4</v>
      </c>
    </row>
    <row r="7594" spans="1:9">
      <c r="A7594" s="257" t="s">
        <v>8692</v>
      </c>
      <c r="B7594" s="9">
        <v>7</v>
      </c>
      <c r="C7594" s="257" t="s">
        <v>13723</v>
      </c>
      <c r="D7594" s="9">
        <v>9.5481885625935778E-2</v>
      </c>
      <c r="E7594" s="9">
        <v>1724929.0217895508</v>
      </c>
      <c r="F7594" s="257" t="s">
        <v>18016</v>
      </c>
      <c r="G7594" s="9"/>
      <c r="H7594" s="257" t="s">
        <v>25598</v>
      </c>
      <c r="I7594" s="9">
        <v>4</v>
      </c>
    </row>
    <row r="7595" spans="1:9">
      <c r="A7595" s="257" t="s">
        <v>8693</v>
      </c>
      <c r="B7595" s="9">
        <v>7</v>
      </c>
      <c r="C7595" s="257" t="s">
        <v>13723</v>
      </c>
      <c r="D7595" s="9">
        <v>9.2981157141637044E-2</v>
      </c>
      <c r="E7595" s="9">
        <v>1724929.0217895508</v>
      </c>
      <c r="F7595" s="257" t="s">
        <v>18017</v>
      </c>
      <c r="G7595" s="9"/>
      <c r="H7595" s="257" t="s">
        <v>25599</v>
      </c>
      <c r="I7595" s="9">
        <v>4</v>
      </c>
    </row>
    <row r="7596" spans="1:9">
      <c r="A7596" s="257" t="s">
        <v>8694</v>
      </c>
      <c r="B7596" s="9">
        <v>7</v>
      </c>
      <c r="C7596" s="257" t="s">
        <v>13723</v>
      </c>
      <c r="D7596" s="9"/>
      <c r="E7596" s="9">
        <v>1724929.0217895508</v>
      </c>
      <c r="F7596" s="257" t="s">
        <v>18018</v>
      </c>
      <c r="G7596" s="9"/>
      <c r="H7596" s="257" t="s">
        <v>25600</v>
      </c>
      <c r="I7596" s="9">
        <v>4</v>
      </c>
    </row>
    <row r="7597" spans="1:9">
      <c r="A7597" s="257" t="s">
        <v>8695</v>
      </c>
      <c r="B7597" s="9">
        <v>7</v>
      </c>
      <c r="C7597" s="257" t="s">
        <v>13723</v>
      </c>
      <c r="D7597" s="9">
        <v>9.9040966384497928E-2</v>
      </c>
      <c r="E7597" s="9">
        <v>1724929.0217895508</v>
      </c>
      <c r="F7597" s="257" t="s">
        <v>18019</v>
      </c>
      <c r="G7597" s="9"/>
      <c r="H7597" s="257" t="s">
        <v>25601</v>
      </c>
      <c r="I7597" s="9">
        <v>4</v>
      </c>
    </row>
    <row r="7598" spans="1:9">
      <c r="A7598" s="257" t="s">
        <v>8696</v>
      </c>
      <c r="B7598" s="9">
        <v>7</v>
      </c>
      <c r="C7598" s="257" t="s">
        <v>13723</v>
      </c>
      <c r="D7598" s="9">
        <v>7.7414629360245471E-2</v>
      </c>
      <c r="E7598" s="9">
        <v>1724929.0217895508</v>
      </c>
      <c r="F7598" s="257" t="s">
        <v>18020</v>
      </c>
      <c r="G7598" s="9"/>
      <c r="H7598" s="257" t="s">
        <v>25602</v>
      </c>
      <c r="I7598" s="9">
        <v>4</v>
      </c>
    </row>
    <row r="7599" spans="1:9">
      <c r="A7599" s="257" t="s">
        <v>8697</v>
      </c>
      <c r="B7599" s="9">
        <v>7</v>
      </c>
      <c r="C7599" s="257" t="s">
        <v>13723</v>
      </c>
      <c r="D7599" s="9">
        <v>0.10065566794389562</v>
      </c>
      <c r="E7599" s="9">
        <v>1724929.0217895508</v>
      </c>
      <c r="F7599" s="257" t="s">
        <v>18021</v>
      </c>
      <c r="G7599" s="9"/>
      <c r="H7599" s="257" t="s">
        <v>25603</v>
      </c>
      <c r="I7599" s="9">
        <v>4</v>
      </c>
    </row>
    <row r="7600" spans="1:9">
      <c r="A7600" s="257" t="s">
        <v>8698</v>
      </c>
      <c r="B7600" s="9">
        <v>7</v>
      </c>
      <c r="C7600" s="257" t="s">
        <v>13723</v>
      </c>
      <c r="D7600" s="9">
        <v>0.1148105212209813</v>
      </c>
      <c r="E7600" s="9">
        <v>1724929.0217895508</v>
      </c>
      <c r="F7600" s="257" t="s">
        <v>18022</v>
      </c>
      <c r="G7600" s="9"/>
      <c r="H7600" s="257" t="s">
        <v>25604</v>
      </c>
      <c r="I7600" s="9">
        <v>4</v>
      </c>
    </row>
    <row r="7601" spans="1:9">
      <c r="A7601" s="257" t="s">
        <v>8699</v>
      </c>
      <c r="B7601" s="9">
        <v>7</v>
      </c>
      <c r="C7601" s="257" t="s">
        <v>13723</v>
      </c>
      <c r="D7601" s="9">
        <v>0.110534120392781</v>
      </c>
      <c r="E7601" s="9">
        <v>1724929.0217895508</v>
      </c>
      <c r="F7601" s="257" t="s">
        <v>18023</v>
      </c>
      <c r="G7601" s="9"/>
      <c r="H7601" s="257" t="s">
        <v>25605</v>
      </c>
      <c r="I7601" s="9">
        <v>4</v>
      </c>
    </row>
    <row r="7602" spans="1:9">
      <c r="A7602" s="257" t="s">
        <v>8700</v>
      </c>
      <c r="B7602" s="9">
        <v>7</v>
      </c>
      <c r="C7602" s="257" t="s">
        <v>13723</v>
      </c>
      <c r="D7602" s="9">
        <v>8.2094736661593781E-2</v>
      </c>
      <c r="E7602" s="9">
        <v>1724929.0217895508</v>
      </c>
      <c r="F7602" s="257" t="s">
        <v>18024</v>
      </c>
      <c r="G7602" s="9"/>
      <c r="H7602" s="257" t="s">
        <v>25606</v>
      </c>
      <c r="I7602" s="9">
        <v>4</v>
      </c>
    </row>
    <row r="7603" spans="1:9">
      <c r="A7603" s="257" t="s">
        <v>8701</v>
      </c>
      <c r="B7603" s="9">
        <v>7</v>
      </c>
      <c r="C7603" s="257" t="s">
        <v>13723</v>
      </c>
      <c r="D7603" s="9">
        <v>0.12293988604626278</v>
      </c>
      <c r="E7603" s="9">
        <v>1724929.0217895508</v>
      </c>
      <c r="F7603" s="257" t="s">
        <v>18025</v>
      </c>
      <c r="G7603" s="9"/>
      <c r="H7603" s="257" t="s">
        <v>25607</v>
      </c>
      <c r="I7603" s="9">
        <v>4</v>
      </c>
    </row>
    <row r="7604" spans="1:9">
      <c r="A7604" s="257" t="s">
        <v>8702</v>
      </c>
      <c r="B7604" s="9">
        <v>7</v>
      </c>
      <c r="C7604" s="257" t="s">
        <v>13723</v>
      </c>
      <c r="D7604" s="9">
        <v>0.11638336172684863</v>
      </c>
      <c r="E7604" s="9">
        <v>1724929.0217895508</v>
      </c>
      <c r="F7604" s="257" t="s">
        <v>18026</v>
      </c>
      <c r="G7604" s="9"/>
      <c r="H7604" s="257" t="s">
        <v>25608</v>
      </c>
      <c r="I7604" s="9">
        <v>4</v>
      </c>
    </row>
    <row r="7605" spans="1:9">
      <c r="A7605" s="257" t="s">
        <v>8703</v>
      </c>
      <c r="B7605" s="9">
        <v>7</v>
      </c>
      <c r="C7605" s="257" t="s">
        <v>13723</v>
      </c>
      <c r="D7605" s="9">
        <v>0.10604293768962861</v>
      </c>
      <c r="E7605" s="9">
        <v>1724929.0217895508</v>
      </c>
      <c r="F7605" s="257" t="s">
        <v>18027</v>
      </c>
      <c r="G7605" s="9"/>
      <c r="H7605" s="257" t="s">
        <v>25609</v>
      </c>
      <c r="I7605" s="9">
        <v>4</v>
      </c>
    </row>
    <row r="7606" spans="1:9">
      <c r="A7606" s="257" t="s">
        <v>8704</v>
      </c>
      <c r="B7606" s="9">
        <v>7</v>
      </c>
      <c r="C7606" s="257" t="s">
        <v>13723</v>
      </c>
      <c r="D7606" s="9">
        <v>0.10872736099372277</v>
      </c>
      <c r="E7606" s="9">
        <v>1724929.0217895508</v>
      </c>
      <c r="F7606" s="257" t="s">
        <v>18028</v>
      </c>
      <c r="G7606" s="9"/>
      <c r="H7606" s="257" t="s">
        <v>25610</v>
      </c>
      <c r="I7606" s="9">
        <v>4</v>
      </c>
    </row>
    <row r="7607" spans="1:9">
      <c r="A7607" s="257" t="s">
        <v>8705</v>
      </c>
      <c r="B7607" s="9">
        <v>7</v>
      </c>
      <c r="C7607" s="257" t="s">
        <v>13723</v>
      </c>
      <c r="D7607" s="9">
        <v>5.1883374976125718E-2</v>
      </c>
      <c r="E7607" s="9">
        <v>1724929.0217895508</v>
      </c>
      <c r="F7607" s="257" t="s">
        <v>18029</v>
      </c>
      <c r="G7607" s="9"/>
      <c r="H7607" s="257" t="s">
        <v>25611</v>
      </c>
      <c r="I7607" s="9">
        <v>4</v>
      </c>
    </row>
    <row r="7608" spans="1:9">
      <c r="A7608" s="257" t="s">
        <v>8706</v>
      </c>
      <c r="B7608" s="9">
        <v>7</v>
      </c>
      <c r="C7608" s="257" t="s">
        <v>13723</v>
      </c>
      <c r="D7608" s="9">
        <v>8.7328893989228759E-2</v>
      </c>
      <c r="E7608" s="9">
        <v>1724929.0217895508</v>
      </c>
      <c r="F7608" s="257" t="s">
        <v>18030</v>
      </c>
      <c r="G7608" s="9"/>
      <c r="H7608" s="257" t="s">
        <v>25612</v>
      </c>
      <c r="I7608" s="9">
        <v>4</v>
      </c>
    </row>
    <row r="7609" spans="1:9">
      <c r="A7609" s="257" t="s">
        <v>8707</v>
      </c>
      <c r="B7609" s="9">
        <v>7</v>
      </c>
      <c r="C7609" s="257" t="s">
        <v>13723</v>
      </c>
      <c r="D7609" s="9">
        <v>9.5792117884606967E-2</v>
      </c>
      <c r="E7609" s="9">
        <v>1724929.0217895508</v>
      </c>
      <c r="F7609" s="257" t="s">
        <v>18031</v>
      </c>
      <c r="G7609" s="9"/>
      <c r="H7609" s="257" t="s">
        <v>25613</v>
      </c>
      <c r="I7609" s="9">
        <v>4</v>
      </c>
    </row>
    <row r="7610" spans="1:9">
      <c r="A7610" s="257" t="s">
        <v>8708</v>
      </c>
      <c r="B7610" s="9">
        <v>7</v>
      </c>
      <c r="C7610" s="257" t="s">
        <v>13723</v>
      </c>
      <c r="D7610" s="9">
        <v>7.3206004101598568E-2</v>
      </c>
      <c r="E7610" s="9">
        <v>1724929.0217895508</v>
      </c>
      <c r="F7610" s="257" t="s">
        <v>18032</v>
      </c>
      <c r="G7610" s="9"/>
      <c r="H7610" s="257" t="s">
        <v>25614</v>
      </c>
      <c r="I7610" s="9">
        <v>4</v>
      </c>
    </row>
    <row r="7611" spans="1:9">
      <c r="A7611" s="257" t="s">
        <v>8709</v>
      </c>
      <c r="B7611" s="9">
        <v>7</v>
      </c>
      <c r="C7611" s="257" t="s">
        <v>13723</v>
      </c>
      <c r="D7611" s="9">
        <v>0.10010900752559372</v>
      </c>
      <c r="E7611" s="9">
        <v>1724929.0217895508</v>
      </c>
      <c r="F7611" s="257" t="s">
        <v>18033</v>
      </c>
      <c r="G7611" s="9"/>
      <c r="H7611" s="257" t="s">
        <v>25615</v>
      </c>
      <c r="I7611" s="9">
        <v>4</v>
      </c>
    </row>
    <row r="7612" spans="1:9">
      <c r="A7612" s="257" t="s">
        <v>8710</v>
      </c>
      <c r="B7612" s="9">
        <v>7</v>
      </c>
      <c r="C7612" s="257" t="s">
        <v>13723</v>
      </c>
      <c r="D7612" s="9">
        <v>0.11646739334254254</v>
      </c>
      <c r="E7612" s="9">
        <v>1724929.0217895508</v>
      </c>
      <c r="F7612" s="257" t="s">
        <v>18034</v>
      </c>
      <c r="G7612" s="9"/>
      <c r="H7612" s="257" t="s">
        <v>25616</v>
      </c>
      <c r="I7612" s="9">
        <v>4</v>
      </c>
    </row>
    <row r="7613" spans="1:9">
      <c r="A7613" s="257" t="s">
        <v>8711</v>
      </c>
      <c r="B7613" s="9">
        <v>7</v>
      </c>
      <c r="C7613" s="257" t="s">
        <v>13723</v>
      </c>
      <c r="D7613" s="9">
        <v>9.246055021371101E-2</v>
      </c>
      <c r="E7613" s="9">
        <v>1724929.0217895508</v>
      </c>
      <c r="F7613" s="257" t="s">
        <v>18035</v>
      </c>
      <c r="G7613" s="9"/>
      <c r="H7613" s="257" t="s">
        <v>25617</v>
      </c>
      <c r="I7613" s="9">
        <v>4</v>
      </c>
    </row>
    <row r="7614" spans="1:9">
      <c r="A7614" s="257" t="s">
        <v>8712</v>
      </c>
      <c r="B7614" s="9">
        <v>7</v>
      </c>
      <c r="C7614" s="257" t="s">
        <v>13723</v>
      </c>
      <c r="D7614" s="9">
        <v>7.2834255968722797E-2</v>
      </c>
      <c r="E7614" s="9">
        <v>1724929.0217895508</v>
      </c>
      <c r="F7614" s="257" t="s">
        <v>18036</v>
      </c>
      <c r="G7614" s="9"/>
      <c r="H7614" s="257" t="s">
        <v>25618</v>
      </c>
      <c r="I7614" s="9">
        <v>4</v>
      </c>
    </row>
    <row r="7615" spans="1:9">
      <c r="A7615" s="257" t="s">
        <v>8713</v>
      </c>
      <c r="B7615" s="9">
        <v>7</v>
      </c>
      <c r="C7615" s="257" t="s">
        <v>13723</v>
      </c>
      <c r="D7615" s="9">
        <v>9.9419900505453518E-2</v>
      </c>
      <c r="E7615" s="9">
        <v>1724929.0217895508</v>
      </c>
      <c r="F7615" s="257" t="s">
        <v>18037</v>
      </c>
      <c r="G7615" s="9"/>
      <c r="H7615" s="257" t="s">
        <v>25619</v>
      </c>
      <c r="I7615" s="9">
        <v>4</v>
      </c>
    </row>
    <row r="7616" spans="1:9">
      <c r="A7616" s="257" t="s">
        <v>8714</v>
      </c>
      <c r="B7616" s="9">
        <v>7</v>
      </c>
      <c r="C7616" s="257" t="s">
        <v>13723</v>
      </c>
      <c r="D7616" s="9">
        <v>0.10926684707355663</v>
      </c>
      <c r="E7616" s="9">
        <v>1724929.0217895508</v>
      </c>
      <c r="F7616" s="257" t="s">
        <v>18038</v>
      </c>
      <c r="G7616" s="9"/>
      <c r="H7616" s="257" t="s">
        <v>25620</v>
      </c>
      <c r="I7616" s="9">
        <v>4</v>
      </c>
    </row>
    <row r="7617" spans="1:9">
      <c r="A7617" s="257" t="s">
        <v>8715</v>
      </c>
      <c r="B7617" s="9">
        <v>8</v>
      </c>
      <c r="C7617" s="257" t="s">
        <v>13723</v>
      </c>
      <c r="D7617" s="9">
        <v>0.13648067965280988</v>
      </c>
      <c r="E7617" s="9">
        <v>1724851.1857852936</v>
      </c>
      <c r="F7617" s="257" t="s">
        <v>18038</v>
      </c>
      <c r="G7617" s="9"/>
      <c r="H7617" s="257" t="s">
        <v>25621</v>
      </c>
      <c r="I7617" s="9">
        <v>4</v>
      </c>
    </row>
    <row r="7618" spans="1:9">
      <c r="A7618" s="257" t="s">
        <v>8716</v>
      </c>
      <c r="B7618" s="9">
        <v>8</v>
      </c>
      <c r="C7618" s="257" t="s">
        <v>13723</v>
      </c>
      <c r="D7618" s="9">
        <v>4.2417918474209435E-2</v>
      </c>
      <c r="E7618" s="9">
        <v>1724851.1857852936</v>
      </c>
      <c r="F7618" s="257" t="s">
        <v>18039</v>
      </c>
      <c r="G7618" s="9"/>
      <c r="H7618" s="257" t="s">
        <v>25622</v>
      </c>
      <c r="I7618" s="9">
        <v>4</v>
      </c>
    </row>
    <row r="7619" spans="1:9">
      <c r="A7619" s="257" t="s">
        <v>8717</v>
      </c>
      <c r="B7619" s="9">
        <v>8</v>
      </c>
      <c r="C7619" s="257" t="s">
        <v>13723</v>
      </c>
      <c r="D7619" s="9">
        <v>0.12634819018589785</v>
      </c>
      <c r="E7619" s="9">
        <v>1724851.1857852936</v>
      </c>
      <c r="F7619" s="257" t="s">
        <v>18040</v>
      </c>
      <c r="G7619" s="9"/>
      <c r="H7619" s="257" t="s">
        <v>25623</v>
      </c>
      <c r="I7619" s="9">
        <v>4</v>
      </c>
    </row>
    <row r="7620" spans="1:9">
      <c r="A7620" s="257" t="s">
        <v>8718</v>
      </c>
      <c r="B7620" s="9">
        <v>8</v>
      </c>
      <c r="C7620" s="257" t="s">
        <v>13723</v>
      </c>
      <c r="D7620" s="9">
        <v>0.13827903395678082</v>
      </c>
      <c r="E7620" s="9">
        <v>1724851.1857852936</v>
      </c>
      <c r="F7620" s="257" t="s">
        <v>18041</v>
      </c>
      <c r="G7620" s="9"/>
      <c r="H7620" s="257" t="s">
        <v>25624</v>
      </c>
      <c r="I7620" s="9">
        <v>4</v>
      </c>
    </row>
    <row r="7621" spans="1:9">
      <c r="A7621" s="257" t="s">
        <v>8719</v>
      </c>
      <c r="B7621" s="9">
        <v>8</v>
      </c>
      <c r="C7621" s="257" t="s">
        <v>13723</v>
      </c>
      <c r="D7621" s="9">
        <v>0.1237204260169175</v>
      </c>
      <c r="E7621" s="9">
        <v>1724851.1857852936</v>
      </c>
      <c r="F7621" s="257" t="s">
        <v>18042</v>
      </c>
      <c r="G7621" s="9"/>
      <c r="H7621" s="257" t="s">
        <v>25625</v>
      </c>
      <c r="I7621" s="9">
        <v>4</v>
      </c>
    </row>
    <row r="7622" spans="1:9">
      <c r="A7622" s="257" t="s">
        <v>8720</v>
      </c>
      <c r="B7622" s="9">
        <v>8</v>
      </c>
      <c r="C7622" s="257" t="s">
        <v>13723</v>
      </c>
      <c r="D7622" s="9">
        <v>0.12137539801981556</v>
      </c>
      <c r="E7622" s="9">
        <v>1724851.1857852936</v>
      </c>
      <c r="F7622" s="257" t="s">
        <v>18043</v>
      </c>
      <c r="G7622" s="9"/>
      <c r="H7622" s="257" t="s">
        <v>25626</v>
      </c>
      <c r="I7622" s="9">
        <v>4</v>
      </c>
    </row>
    <row r="7623" spans="1:9">
      <c r="A7623" s="257" t="s">
        <v>8721</v>
      </c>
      <c r="B7623" s="9">
        <v>8</v>
      </c>
      <c r="C7623" s="257" t="s">
        <v>13723</v>
      </c>
      <c r="D7623" s="9">
        <v>0.13830704035166855</v>
      </c>
      <c r="E7623" s="9">
        <v>1724851.1857852936</v>
      </c>
      <c r="F7623" s="257" t="s">
        <v>18044</v>
      </c>
      <c r="G7623" s="9"/>
      <c r="H7623" s="257" t="s">
        <v>25627</v>
      </c>
      <c r="I7623" s="9">
        <v>4</v>
      </c>
    </row>
    <row r="7624" spans="1:9">
      <c r="A7624" s="257" t="s">
        <v>8722</v>
      </c>
      <c r="B7624" s="9">
        <v>8</v>
      </c>
      <c r="C7624" s="257" t="s">
        <v>13723</v>
      </c>
      <c r="D7624" s="9">
        <v>0.13913756229370122</v>
      </c>
      <c r="E7624" s="9">
        <v>1724851.1857852936</v>
      </c>
      <c r="F7624" s="257" t="s">
        <v>18045</v>
      </c>
      <c r="G7624" s="9"/>
      <c r="H7624" s="257" t="s">
        <v>25628</v>
      </c>
      <c r="I7624" s="9">
        <v>4</v>
      </c>
    </row>
    <row r="7625" spans="1:9">
      <c r="A7625" s="257" t="s">
        <v>8723</v>
      </c>
      <c r="B7625" s="9">
        <v>8</v>
      </c>
      <c r="C7625" s="257" t="s">
        <v>13723</v>
      </c>
      <c r="D7625" s="9">
        <v>4.6373449928648523E-2</v>
      </c>
      <c r="E7625" s="9">
        <v>1724851.1857852936</v>
      </c>
      <c r="F7625" s="257" t="s">
        <v>18046</v>
      </c>
      <c r="G7625" s="9"/>
      <c r="H7625" s="257" t="s">
        <v>25629</v>
      </c>
      <c r="I7625" s="9">
        <v>4</v>
      </c>
    </row>
    <row r="7626" spans="1:9">
      <c r="A7626" s="257" t="s">
        <v>8724</v>
      </c>
      <c r="B7626" s="9">
        <v>8</v>
      </c>
      <c r="C7626" s="257" t="s">
        <v>13723</v>
      </c>
      <c r="D7626" s="9">
        <v>5.8318657185572276E-2</v>
      </c>
      <c r="E7626" s="9">
        <v>1724851.1857852936</v>
      </c>
      <c r="F7626" s="257" t="s">
        <v>18047</v>
      </c>
      <c r="G7626" s="9"/>
      <c r="H7626" s="257" t="s">
        <v>25630</v>
      </c>
      <c r="I7626" s="9">
        <v>4</v>
      </c>
    </row>
    <row r="7627" spans="1:9">
      <c r="A7627" s="257" t="s">
        <v>8725</v>
      </c>
      <c r="B7627" s="9">
        <v>8</v>
      </c>
      <c r="C7627" s="257" t="s">
        <v>13723</v>
      </c>
      <c r="D7627" s="9">
        <v>0.13237887335831761</v>
      </c>
      <c r="E7627" s="9">
        <v>1724851.1857852936</v>
      </c>
      <c r="F7627" s="257" t="s">
        <v>18048</v>
      </c>
      <c r="G7627" s="9"/>
      <c r="H7627" s="257" t="s">
        <v>25631</v>
      </c>
      <c r="I7627" s="9">
        <v>4</v>
      </c>
    </row>
    <row r="7628" spans="1:9">
      <c r="A7628" s="257" t="s">
        <v>8726</v>
      </c>
      <c r="B7628" s="9">
        <v>8</v>
      </c>
      <c r="C7628" s="257" t="s">
        <v>13723</v>
      </c>
      <c r="D7628" s="9">
        <v>0.14374210028123993</v>
      </c>
      <c r="E7628" s="9">
        <v>1724851.1857852936</v>
      </c>
      <c r="F7628" s="257" t="s">
        <v>18049</v>
      </c>
      <c r="G7628" s="9"/>
      <c r="H7628" s="257" t="s">
        <v>25632</v>
      </c>
      <c r="I7628" s="9">
        <v>4</v>
      </c>
    </row>
    <row r="7629" spans="1:9">
      <c r="A7629" s="257" t="s">
        <v>8727</v>
      </c>
      <c r="B7629" s="9">
        <v>8</v>
      </c>
      <c r="C7629" s="257" t="s">
        <v>13723</v>
      </c>
      <c r="D7629" s="9">
        <v>4.0454948698704571E-2</v>
      </c>
      <c r="E7629" s="9">
        <v>1724851.1857852936</v>
      </c>
      <c r="F7629" s="257" t="s">
        <v>18050</v>
      </c>
      <c r="G7629" s="9"/>
      <c r="H7629" s="257" t="s">
        <v>25633</v>
      </c>
      <c r="I7629" s="9">
        <v>4</v>
      </c>
    </row>
    <row r="7630" spans="1:9">
      <c r="A7630" s="257" t="s">
        <v>8728</v>
      </c>
      <c r="B7630" s="9">
        <v>8</v>
      </c>
      <c r="C7630" s="257" t="s">
        <v>13723</v>
      </c>
      <c r="D7630" s="9">
        <v>0.13221246695419139</v>
      </c>
      <c r="E7630" s="9">
        <v>1724851.1857852936</v>
      </c>
      <c r="F7630" s="257" t="s">
        <v>18051</v>
      </c>
      <c r="G7630" s="9"/>
      <c r="H7630" s="257" t="s">
        <v>25634</v>
      </c>
      <c r="I7630" s="9">
        <v>4</v>
      </c>
    </row>
    <row r="7631" spans="1:9">
      <c r="A7631" s="257" t="s">
        <v>8729</v>
      </c>
      <c r="B7631" s="9">
        <v>8</v>
      </c>
      <c r="C7631" s="257" t="s">
        <v>13723</v>
      </c>
      <c r="D7631" s="9">
        <v>0.14398810536896078</v>
      </c>
      <c r="E7631" s="9">
        <v>1724851.1857852936</v>
      </c>
      <c r="F7631" s="257" t="s">
        <v>18052</v>
      </c>
      <c r="G7631" s="9"/>
      <c r="H7631" s="257" t="s">
        <v>25635</v>
      </c>
      <c r="I7631" s="9">
        <v>4</v>
      </c>
    </row>
    <row r="7632" spans="1:9">
      <c r="A7632" s="257" t="s">
        <v>8730</v>
      </c>
      <c r="B7632" s="9">
        <v>8</v>
      </c>
      <c r="C7632" s="257" t="s">
        <v>13723</v>
      </c>
      <c r="D7632" s="9">
        <v>0.12241782654238853</v>
      </c>
      <c r="E7632" s="9">
        <v>1724851.1857852936</v>
      </c>
      <c r="F7632" s="257" t="s">
        <v>18053</v>
      </c>
      <c r="G7632" s="9"/>
      <c r="H7632" s="257" t="s">
        <v>25636</v>
      </c>
      <c r="I7632" s="9">
        <v>4</v>
      </c>
    </row>
    <row r="7633" spans="1:9">
      <c r="A7633" s="257" t="s">
        <v>8731</v>
      </c>
      <c r="B7633" s="9">
        <v>8</v>
      </c>
      <c r="C7633" s="257" t="s">
        <v>13723</v>
      </c>
      <c r="D7633" s="9"/>
      <c r="E7633" s="9">
        <v>1724851.1857852936</v>
      </c>
      <c r="F7633" s="257" t="s">
        <v>18054</v>
      </c>
      <c r="G7633" s="9"/>
      <c r="H7633" s="257" t="s">
        <v>25637</v>
      </c>
      <c r="I7633" s="9">
        <v>4</v>
      </c>
    </row>
    <row r="7634" spans="1:9">
      <c r="A7634" s="257" t="s">
        <v>8732</v>
      </c>
      <c r="B7634" s="9">
        <v>8</v>
      </c>
      <c r="C7634" s="257" t="s">
        <v>13723</v>
      </c>
      <c r="D7634" s="9">
        <v>0.13792236047488957</v>
      </c>
      <c r="E7634" s="9">
        <v>1724851.1857852936</v>
      </c>
      <c r="F7634" s="257" t="s">
        <v>18055</v>
      </c>
      <c r="G7634" s="9"/>
      <c r="H7634" s="257" t="s">
        <v>25638</v>
      </c>
      <c r="I7634" s="9">
        <v>4</v>
      </c>
    </row>
    <row r="7635" spans="1:9">
      <c r="A7635" s="257" t="s">
        <v>8733</v>
      </c>
      <c r="B7635" s="9">
        <v>8</v>
      </c>
      <c r="C7635" s="257" t="s">
        <v>13723</v>
      </c>
      <c r="D7635" s="9">
        <v>0.12393752944203629</v>
      </c>
      <c r="E7635" s="9">
        <v>1724851.1857852936</v>
      </c>
      <c r="F7635" s="257" t="s">
        <v>18056</v>
      </c>
      <c r="G7635" s="9"/>
      <c r="H7635" s="257" t="s">
        <v>25639</v>
      </c>
      <c r="I7635" s="9">
        <v>4</v>
      </c>
    </row>
    <row r="7636" spans="1:9">
      <c r="A7636" s="257" t="s">
        <v>8734</v>
      </c>
      <c r="B7636" s="9">
        <v>8</v>
      </c>
      <c r="C7636" s="257" t="s">
        <v>13723</v>
      </c>
      <c r="D7636" s="9">
        <v>0.12838482127535122</v>
      </c>
      <c r="E7636" s="9">
        <v>1724851.1857852936</v>
      </c>
      <c r="F7636" s="257" t="s">
        <v>18057</v>
      </c>
      <c r="G7636" s="9"/>
      <c r="H7636" s="257" t="s">
        <v>25640</v>
      </c>
      <c r="I7636" s="9">
        <v>4</v>
      </c>
    </row>
    <row r="7637" spans="1:9">
      <c r="A7637" s="257" t="s">
        <v>8735</v>
      </c>
      <c r="B7637" s="9">
        <v>8</v>
      </c>
      <c r="C7637" s="257" t="s">
        <v>13723</v>
      </c>
      <c r="D7637" s="9">
        <v>0.11579926358300632</v>
      </c>
      <c r="E7637" s="9">
        <v>1724851.1857852936</v>
      </c>
      <c r="F7637" s="257" t="s">
        <v>18058</v>
      </c>
      <c r="G7637" s="9"/>
      <c r="H7637" s="257" t="s">
        <v>25641</v>
      </c>
      <c r="I7637" s="9">
        <v>4</v>
      </c>
    </row>
    <row r="7638" spans="1:9">
      <c r="A7638" s="257" t="s">
        <v>8736</v>
      </c>
      <c r="B7638" s="9">
        <v>8</v>
      </c>
      <c r="C7638" s="257" t="s">
        <v>13723</v>
      </c>
      <c r="D7638" s="9">
        <v>7.9567428907027143E-2</v>
      </c>
      <c r="E7638" s="9">
        <v>1724851.1857852936</v>
      </c>
      <c r="F7638" s="257" t="s">
        <v>18059</v>
      </c>
      <c r="G7638" s="9"/>
      <c r="H7638" s="257" t="s">
        <v>25642</v>
      </c>
      <c r="I7638" s="9">
        <v>4</v>
      </c>
    </row>
    <row r="7639" spans="1:9">
      <c r="A7639" s="257" t="s">
        <v>8737</v>
      </c>
      <c r="B7639" s="9">
        <v>8</v>
      </c>
      <c r="C7639" s="257" t="s">
        <v>13723</v>
      </c>
      <c r="D7639" s="9">
        <v>0.12850913102162093</v>
      </c>
      <c r="E7639" s="9">
        <v>1724851.1857852936</v>
      </c>
      <c r="F7639" s="257" t="s">
        <v>18060</v>
      </c>
      <c r="G7639" s="9"/>
      <c r="H7639" s="257" t="s">
        <v>25643</v>
      </c>
      <c r="I7639" s="9">
        <v>4</v>
      </c>
    </row>
    <row r="7640" spans="1:9">
      <c r="A7640" s="257" t="s">
        <v>8738</v>
      </c>
      <c r="B7640" s="9">
        <v>8</v>
      </c>
      <c r="C7640" s="257" t="s">
        <v>13723</v>
      </c>
      <c r="D7640" s="9">
        <v>4.1214915356871225E-2</v>
      </c>
      <c r="E7640" s="9">
        <v>1724851.1857852936</v>
      </c>
      <c r="F7640" s="257" t="s">
        <v>18061</v>
      </c>
      <c r="G7640" s="9"/>
      <c r="H7640" s="257" t="s">
        <v>25644</v>
      </c>
      <c r="I7640" s="9">
        <v>4</v>
      </c>
    </row>
    <row r="7641" spans="1:9">
      <c r="A7641" s="257" t="s">
        <v>8739</v>
      </c>
      <c r="B7641" s="9">
        <v>8</v>
      </c>
      <c r="C7641" s="257" t="s">
        <v>13723</v>
      </c>
      <c r="D7641" s="9">
        <v>0.12168502818525306</v>
      </c>
      <c r="E7641" s="9">
        <v>1724851.1857852936</v>
      </c>
      <c r="F7641" s="257" t="s">
        <v>18062</v>
      </c>
      <c r="G7641" s="9"/>
      <c r="H7641" s="257" t="s">
        <v>25645</v>
      </c>
      <c r="I7641" s="9">
        <v>4</v>
      </c>
    </row>
    <row r="7642" spans="1:9">
      <c r="A7642" s="257" t="s">
        <v>8740</v>
      </c>
      <c r="B7642" s="9">
        <v>9</v>
      </c>
      <c r="C7642" s="257" t="s">
        <v>13723</v>
      </c>
      <c r="D7642" s="9">
        <v>0.18974196711786975</v>
      </c>
      <c r="E7642" s="9">
        <v>1721642.4785900116</v>
      </c>
      <c r="F7642" s="257" t="s">
        <v>18063</v>
      </c>
      <c r="G7642" s="9"/>
      <c r="H7642" s="257" t="s">
        <v>25646</v>
      </c>
      <c r="I7642" s="9">
        <v>4</v>
      </c>
    </row>
    <row r="7643" spans="1:9">
      <c r="A7643" s="257" t="s">
        <v>8741</v>
      </c>
      <c r="B7643" s="9">
        <v>9</v>
      </c>
      <c r="C7643" s="257" t="s">
        <v>13723</v>
      </c>
      <c r="D7643" s="9">
        <v>0.18874347206920317</v>
      </c>
      <c r="E7643" s="9">
        <v>1721642.4785900116</v>
      </c>
      <c r="F7643" s="257" t="s">
        <v>18064</v>
      </c>
      <c r="G7643" s="9"/>
      <c r="H7643" s="257" t="s">
        <v>25647</v>
      </c>
      <c r="I7643" s="9">
        <v>4</v>
      </c>
    </row>
    <row r="7644" spans="1:9">
      <c r="A7644" s="257" t="s">
        <v>8742</v>
      </c>
      <c r="B7644" s="9">
        <v>9</v>
      </c>
      <c r="C7644" s="257" t="s">
        <v>13723</v>
      </c>
      <c r="D7644" s="9">
        <v>0.19831295479961361</v>
      </c>
      <c r="E7644" s="9">
        <v>1721642.4785900116</v>
      </c>
      <c r="F7644" s="257" t="s">
        <v>18065</v>
      </c>
      <c r="G7644" s="9"/>
      <c r="H7644" s="257" t="s">
        <v>25648</v>
      </c>
      <c r="I7644" s="9">
        <v>4</v>
      </c>
    </row>
    <row r="7645" spans="1:9">
      <c r="A7645" s="257" t="s">
        <v>8743</v>
      </c>
      <c r="B7645" s="9">
        <v>9</v>
      </c>
      <c r="C7645" s="257" t="s">
        <v>13723</v>
      </c>
      <c r="D7645" s="9">
        <v>4.7561181402083048E-2</v>
      </c>
      <c r="E7645" s="9">
        <v>1721642.4785900116</v>
      </c>
      <c r="F7645" s="257" t="s">
        <v>18066</v>
      </c>
      <c r="G7645" s="9"/>
      <c r="H7645" s="257" t="s">
        <v>25649</v>
      </c>
      <c r="I7645" s="9">
        <v>4</v>
      </c>
    </row>
    <row r="7646" spans="1:9">
      <c r="A7646" s="257" t="s">
        <v>8744</v>
      </c>
      <c r="B7646" s="9">
        <v>9</v>
      </c>
      <c r="C7646" s="257" t="s">
        <v>13723</v>
      </c>
      <c r="D7646" s="9">
        <v>0.18861511804174524</v>
      </c>
      <c r="E7646" s="9">
        <v>1721642.4785900116</v>
      </c>
      <c r="F7646" s="257" t="s">
        <v>18067</v>
      </c>
      <c r="G7646" s="9"/>
      <c r="H7646" s="257" t="s">
        <v>25650</v>
      </c>
      <c r="I7646" s="9">
        <v>4</v>
      </c>
    </row>
    <row r="7647" spans="1:9">
      <c r="A7647" s="257" t="s">
        <v>8745</v>
      </c>
      <c r="B7647" s="9">
        <v>9</v>
      </c>
      <c r="C7647" s="257" t="s">
        <v>13723</v>
      </c>
      <c r="D7647" s="9">
        <v>0.1558840196597002</v>
      </c>
      <c r="E7647" s="9">
        <v>1721642.4785900116</v>
      </c>
      <c r="F7647" s="257" t="s">
        <v>18068</v>
      </c>
      <c r="G7647" s="9"/>
      <c r="H7647" s="257" t="s">
        <v>25651</v>
      </c>
      <c r="I7647" s="9">
        <v>4</v>
      </c>
    </row>
    <row r="7648" spans="1:9">
      <c r="A7648" s="257" t="s">
        <v>8746</v>
      </c>
      <c r="B7648" s="9">
        <v>9</v>
      </c>
      <c r="C7648" s="257" t="s">
        <v>13723</v>
      </c>
      <c r="D7648" s="9">
        <v>0.18164952161553138</v>
      </c>
      <c r="E7648" s="9">
        <v>1721642.4785900116</v>
      </c>
      <c r="F7648" s="257" t="s">
        <v>18069</v>
      </c>
      <c r="G7648" s="9"/>
      <c r="H7648" s="257" t="s">
        <v>25652</v>
      </c>
      <c r="I7648" s="9">
        <v>4</v>
      </c>
    </row>
    <row r="7649" spans="1:9">
      <c r="A7649" s="257" t="s">
        <v>8747</v>
      </c>
      <c r="B7649" s="9">
        <v>9</v>
      </c>
      <c r="C7649" s="257" t="s">
        <v>13723</v>
      </c>
      <c r="D7649" s="9">
        <v>0.19877087404845209</v>
      </c>
      <c r="E7649" s="9">
        <v>1721642.4785900116</v>
      </c>
      <c r="F7649" s="257" t="s">
        <v>18070</v>
      </c>
      <c r="G7649" s="9"/>
      <c r="H7649" s="257" t="s">
        <v>25653</v>
      </c>
      <c r="I7649" s="9">
        <v>4</v>
      </c>
    </row>
    <row r="7650" spans="1:9">
      <c r="A7650" s="257" t="s">
        <v>8748</v>
      </c>
      <c r="B7650" s="9">
        <v>9</v>
      </c>
      <c r="C7650" s="257" t="s">
        <v>13723</v>
      </c>
      <c r="D7650" s="9">
        <v>0.17689283088785523</v>
      </c>
      <c r="E7650" s="9">
        <v>1721642.4785900116</v>
      </c>
      <c r="F7650" s="257" t="s">
        <v>18071</v>
      </c>
      <c r="G7650" s="9"/>
      <c r="H7650" s="257" t="s">
        <v>25654</v>
      </c>
      <c r="I7650" s="9">
        <v>4</v>
      </c>
    </row>
    <row r="7651" spans="1:9">
      <c r="A7651" s="257" t="s">
        <v>8749</v>
      </c>
      <c r="B7651" s="9">
        <v>9</v>
      </c>
      <c r="C7651" s="257" t="s">
        <v>13723</v>
      </c>
      <c r="D7651" s="9">
        <v>3.6421126573480629E-2</v>
      </c>
      <c r="E7651" s="9">
        <v>1721642.4785900116</v>
      </c>
      <c r="F7651" s="257" t="s">
        <v>18072</v>
      </c>
      <c r="G7651" s="9"/>
      <c r="H7651" s="257" t="s">
        <v>25655</v>
      </c>
      <c r="I7651" s="9">
        <v>4</v>
      </c>
    </row>
    <row r="7652" spans="1:9">
      <c r="A7652" s="257" t="s">
        <v>8750</v>
      </c>
      <c r="B7652" s="9">
        <v>9</v>
      </c>
      <c r="C7652" s="257" t="s">
        <v>13723</v>
      </c>
      <c r="D7652" s="9">
        <v>0.1920062433609809</v>
      </c>
      <c r="E7652" s="9">
        <v>1721642.4785900116</v>
      </c>
      <c r="F7652" s="257" t="s">
        <v>18073</v>
      </c>
      <c r="G7652" s="9"/>
      <c r="H7652" s="257" t="s">
        <v>25656</v>
      </c>
      <c r="I7652" s="9">
        <v>4</v>
      </c>
    </row>
    <row r="7653" spans="1:9">
      <c r="A7653" s="257" t="s">
        <v>8751</v>
      </c>
      <c r="B7653" s="9">
        <v>9</v>
      </c>
      <c r="C7653" s="257" t="s">
        <v>13723</v>
      </c>
      <c r="D7653" s="9">
        <v>0.1625478109489335</v>
      </c>
      <c r="E7653" s="9">
        <v>1721642.4785900116</v>
      </c>
      <c r="F7653" s="257" t="s">
        <v>18074</v>
      </c>
      <c r="G7653" s="9"/>
      <c r="H7653" s="257" t="s">
        <v>25657</v>
      </c>
      <c r="I7653" s="9">
        <v>4</v>
      </c>
    </row>
    <row r="7654" spans="1:9">
      <c r="A7654" s="257" t="s">
        <v>8752</v>
      </c>
      <c r="B7654" s="9">
        <v>9</v>
      </c>
      <c r="C7654" s="257" t="s">
        <v>13723</v>
      </c>
      <c r="D7654" s="9">
        <v>3.5915251480114589E-2</v>
      </c>
      <c r="E7654" s="9">
        <v>1721642.4785900116</v>
      </c>
      <c r="F7654" s="257" t="s">
        <v>18075</v>
      </c>
      <c r="G7654" s="9"/>
      <c r="H7654" s="257" t="s">
        <v>25658</v>
      </c>
      <c r="I7654" s="9">
        <v>4</v>
      </c>
    </row>
    <row r="7655" spans="1:9">
      <c r="A7655" s="257" t="s">
        <v>8753</v>
      </c>
      <c r="B7655" s="9">
        <v>9</v>
      </c>
      <c r="C7655" s="257" t="s">
        <v>13723</v>
      </c>
      <c r="D7655" s="9">
        <v>0.16321707043131323</v>
      </c>
      <c r="E7655" s="9">
        <v>1721642.4785900116</v>
      </c>
      <c r="F7655" s="257" t="s">
        <v>18076</v>
      </c>
      <c r="G7655" s="9"/>
      <c r="H7655" s="257" t="s">
        <v>25659</v>
      </c>
      <c r="I7655" s="9">
        <v>4</v>
      </c>
    </row>
    <row r="7656" spans="1:9">
      <c r="A7656" s="257" t="s">
        <v>8754</v>
      </c>
      <c r="B7656" s="9">
        <v>9</v>
      </c>
      <c r="C7656" s="257" t="s">
        <v>13723</v>
      </c>
      <c r="D7656" s="9">
        <v>0.21178195245568962</v>
      </c>
      <c r="E7656" s="9">
        <v>1721642.4785900116</v>
      </c>
      <c r="F7656" s="257" t="s">
        <v>18077</v>
      </c>
      <c r="G7656" s="9"/>
      <c r="H7656" s="257" t="s">
        <v>25660</v>
      </c>
      <c r="I7656" s="9">
        <v>4</v>
      </c>
    </row>
    <row r="7657" spans="1:9">
      <c r="A7657" s="257" t="s">
        <v>8755</v>
      </c>
      <c r="B7657" s="9">
        <v>9</v>
      </c>
      <c r="C7657" s="257" t="s">
        <v>13723</v>
      </c>
      <c r="D7657" s="9">
        <v>0.12876841372157224</v>
      </c>
      <c r="E7657" s="9">
        <v>1721642.4785900116</v>
      </c>
      <c r="F7657" s="257" t="s">
        <v>18078</v>
      </c>
      <c r="G7657" s="9"/>
      <c r="H7657" s="257" t="s">
        <v>25661</v>
      </c>
      <c r="I7657" s="9">
        <v>4</v>
      </c>
    </row>
    <row r="7658" spans="1:9">
      <c r="A7658" s="257" t="s">
        <v>8756</v>
      </c>
      <c r="B7658" s="9">
        <v>9</v>
      </c>
      <c r="C7658" s="257" t="s">
        <v>13723</v>
      </c>
      <c r="D7658" s="9"/>
      <c r="E7658" s="9">
        <v>1721642.4785900116</v>
      </c>
      <c r="F7658" s="257" t="s">
        <v>18079</v>
      </c>
      <c r="G7658" s="9"/>
      <c r="H7658" s="257" t="s">
        <v>25662</v>
      </c>
      <c r="I7658" s="9">
        <v>4</v>
      </c>
    </row>
    <row r="7659" spans="1:9">
      <c r="A7659" s="257" t="s">
        <v>8757</v>
      </c>
      <c r="B7659" s="9">
        <v>9</v>
      </c>
      <c r="C7659" s="257" t="s">
        <v>13723</v>
      </c>
      <c r="D7659" s="9">
        <v>0.18184397883100809</v>
      </c>
      <c r="E7659" s="9">
        <v>1721642.4785900116</v>
      </c>
      <c r="F7659" s="257" t="s">
        <v>18080</v>
      </c>
      <c r="G7659" s="9"/>
      <c r="H7659" s="257" t="s">
        <v>25663</v>
      </c>
      <c r="I7659" s="9">
        <v>4</v>
      </c>
    </row>
    <row r="7660" spans="1:9">
      <c r="A7660" s="257" t="s">
        <v>8758</v>
      </c>
      <c r="B7660" s="9">
        <v>9</v>
      </c>
      <c r="C7660" s="257" t="s">
        <v>13723</v>
      </c>
      <c r="D7660" s="9">
        <v>3.7221910802319326E-2</v>
      </c>
      <c r="E7660" s="9">
        <v>1721642.4785900116</v>
      </c>
      <c r="F7660" s="257" t="s">
        <v>18081</v>
      </c>
      <c r="G7660" s="9"/>
      <c r="H7660" s="257" t="s">
        <v>25664</v>
      </c>
      <c r="I7660" s="9">
        <v>4</v>
      </c>
    </row>
    <row r="7661" spans="1:9">
      <c r="A7661" s="257" t="s">
        <v>8759</v>
      </c>
      <c r="B7661" s="9">
        <v>9</v>
      </c>
      <c r="C7661" s="257" t="s">
        <v>13723</v>
      </c>
      <c r="D7661" s="9">
        <v>0.17078859141766384</v>
      </c>
      <c r="E7661" s="9">
        <v>1721642.4785900116</v>
      </c>
      <c r="F7661" s="257" t="s">
        <v>18082</v>
      </c>
      <c r="G7661" s="9"/>
      <c r="H7661" s="257" t="s">
        <v>25665</v>
      </c>
      <c r="I7661" s="9">
        <v>4</v>
      </c>
    </row>
    <row r="7662" spans="1:9">
      <c r="A7662" s="257" t="s">
        <v>8760</v>
      </c>
      <c r="B7662" s="9">
        <v>9</v>
      </c>
      <c r="C7662" s="257" t="s">
        <v>13723</v>
      </c>
      <c r="D7662" s="9">
        <v>0.1591110880156188</v>
      </c>
      <c r="E7662" s="9">
        <v>1721642.4785900116</v>
      </c>
      <c r="F7662" s="257" t="s">
        <v>18083</v>
      </c>
      <c r="G7662" s="9"/>
      <c r="H7662" s="257" t="s">
        <v>25666</v>
      </c>
      <c r="I7662" s="9">
        <v>4</v>
      </c>
    </row>
    <row r="7663" spans="1:9">
      <c r="A7663" s="257" t="s">
        <v>8761</v>
      </c>
      <c r="B7663" s="9">
        <v>9</v>
      </c>
      <c r="C7663" s="257" t="s">
        <v>13723</v>
      </c>
      <c r="D7663" s="9">
        <v>0.18870980137947041</v>
      </c>
      <c r="E7663" s="9">
        <v>1721642.4785900116</v>
      </c>
      <c r="F7663" s="257" t="s">
        <v>18084</v>
      </c>
      <c r="G7663" s="9"/>
      <c r="H7663" s="257" t="s">
        <v>25667</v>
      </c>
      <c r="I7663" s="9">
        <v>4</v>
      </c>
    </row>
    <row r="7664" spans="1:9">
      <c r="A7664" s="257" t="s">
        <v>8762</v>
      </c>
      <c r="B7664" s="9">
        <v>9</v>
      </c>
      <c r="C7664" s="257" t="s">
        <v>13723</v>
      </c>
      <c r="D7664" s="9">
        <v>0.16993281076333516</v>
      </c>
      <c r="E7664" s="9">
        <v>1721642.4785900116</v>
      </c>
      <c r="F7664" s="257" t="s">
        <v>18085</v>
      </c>
      <c r="G7664" s="9"/>
      <c r="H7664" s="257" t="s">
        <v>25668</v>
      </c>
      <c r="I7664" s="9">
        <v>4</v>
      </c>
    </row>
    <row r="7665" spans="1:9">
      <c r="A7665" s="257" t="s">
        <v>8763</v>
      </c>
      <c r="B7665" s="9">
        <v>9</v>
      </c>
      <c r="C7665" s="257" t="s">
        <v>13723</v>
      </c>
      <c r="D7665" s="9">
        <v>0.17149234230375582</v>
      </c>
      <c r="E7665" s="9">
        <v>1721642.4785900116</v>
      </c>
      <c r="F7665" s="257" t="s">
        <v>18086</v>
      </c>
      <c r="G7665" s="9"/>
      <c r="H7665" s="257" t="s">
        <v>25669</v>
      </c>
      <c r="I7665" s="9">
        <v>4</v>
      </c>
    </row>
    <row r="7666" spans="1:9">
      <c r="A7666" s="257" t="s">
        <v>8764</v>
      </c>
      <c r="B7666" s="9">
        <v>9</v>
      </c>
      <c r="C7666" s="257" t="s">
        <v>13723</v>
      </c>
      <c r="D7666" s="9">
        <v>6.5869759040855028E-2</v>
      </c>
      <c r="E7666" s="9">
        <v>1721642.4785900116</v>
      </c>
      <c r="F7666" s="257" t="s">
        <v>18087</v>
      </c>
      <c r="G7666" s="9"/>
      <c r="H7666" s="257" t="s">
        <v>25670</v>
      </c>
      <c r="I7666" s="9">
        <v>4</v>
      </c>
    </row>
    <row r="7667" spans="1:9">
      <c r="A7667" s="257" t="s">
        <v>8765</v>
      </c>
      <c r="B7667" s="9">
        <v>10</v>
      </c>
      <c r="C7667" s="257" t="s">
        <v>13723</v>
      </c>
      <c r="D7667" s="9">
        <v>0.65567707439464573</v>
      </c>
      <c r="E7667" s="9">
        <v>1732307.5169143677</v>
      </c>
      <c r="F7667" s="257" t="s">
        <v>18088</v>
      </c>
      <c r="G7667" s="9"/>
      <c r="H7667" s="257" t="s">
        <v>25671</v>
      </c>
      <c r="I7667" s="9">
        <v>4</v>
      </c>
    </row>
    <row r="7668" spans="1:9">
      <c r="A7668" s="257" t="s">
        <v>8766</v>
      </c>
      <c r="B7668" s="9">
        <v>10</v>
      </c>
      <c r="C7668" s="257" t="s">
        <v>13723</v>
      </c>
      <c r="D7668" s="9">
        <v>0.27438051455386558</v>
      </c>
      <c r="E7668" s="9">
        <v>1732307.5169143677</v>
      </c>
      <c r="F7668" s="257" t="s">
        <v>18089</v>
      </c>
      <c r="G7668" s="9"/>
      <c r="H7668" s="257" t="s">
        <v>25672</v>
      </c>
      <c r="I7668" s="9">
        <v>4</v>
      </c>
    </row>
    <row r="7669" spans="1:9">
      <c r="A7669" s="257" t="s">
        <v>8767</v>
      </c>
      <c r="B7669" s="9">
        <v>10</v>
      </c>
      <c r="C7669" s="257" t="s">
        <v>13723</v>
      </c>
      <c r="D7669" s="9">
        <v>0.37535626945876743</v>
      </c>
      <c r="E7669" s="9">
        <v>1732307.5169143677</v>
      </c>
      <c r="F7669" s="257" t="s">
        <v>18090</v>
      </c>
      <c r="G7669" s="9"/>
      <c r="H7669" s="257" t="s">
        <v>25673</v>
      </c>
      <c r="I7669" s="9">
        <v>4</v>
      </c>
    </row>
    <row r="7670" spans="1:9">
      <c r="A7670" s="257" t="s">
        <v>8768</v>
      </c>
      <c r="B7670" s="9">
        <v>10</v>
      </c>
      <c r="C7670" s="257" t="s">
        <v>13723</v>
      </c>
      <c r="D7670" s="9">
        <v>5.1322736436319065E-2</v>
      </c>
      <c r="E7670" s="9">
        <v>1732307.5169143677</v>
      </c>
      <c r="F7670" s="257" t="s">
        <v>18091</v>
      </c>
      <c r="G7670" s="9"/>
      <c r="H7670" s="257" t="s">
        <v>25674</v>
      </c>
      <c r="I7670" s="9">
        <v>4</v>
      </c>
    </row>
    <row r="7671" spans="1:9">
      <c r="A7671" s="257" t="s">
        <v>8769</v>
      </c>
      <c r="B7671" s="9">
        <v>10</v>
      </c>
      <c r="C7671" s="257" t="s">
        <v>13723</v>
      </c>
      <c r="D7671" s="9">
        <v>4.6785576346259392E-2</v>
      </c>
      <c r="E7671" s="9">
        <v>1732307.5169143677</v>
      </c>
      <c r="F7671" s="257" t="s">
        <v>18092</v>
      </c>
      <c r="G7671" s="9"/>
      <c r="H7671" s="257" t="s">
        <v>25675</v>
      </c>
      <c r="I7671" s="9">
        <v>4</v>
      </c>
    </row>
    <row r="7672" spans="1:9">
      <c r="A7672" s="257" t="s">
        <v>8770</v>
      </c>
      <c r="B7672" s="9">
        <v>10</v>
      </c>
      <c r="C7672" s="257" t="s">
        <v>13723</v>
      </c>
      <c r="D7672" s="9">
        <v>0.32383682290307375</v>
      </c>
      <c r="E7672" s="9">
        <v>1732307.5169143677</v>
      </c>
      <c r="F7672" s="257" t="s">
        <v>18093</v>
      </c>
      <c r="G7672" s="9"/>
      <c r="H7672" s="257" t="s">
        <v>25676</v>
      </c>
      <c r="I7672" s="9">
        <v>4</v>
      </c>
    </row>
    <row r="7673" spans="1:9">
      <c r="A7673" s="257" t="s">
        <v>8771</v>
      </c>
      <c r="B7673" s="9">
        <v>10</v>
      </c>
      <c r="C7673" s="257" t="s">
        <v>13723</v>
      </c>
      <c r="D7673" s="9">
        <v>0.33860822581877076</v>
      </c>
      <c r="E7673" s="9">
        <v>1732307.5169143677</v>
      </c>
      <c r="F7673" s="257" t="s">
        <v>18094</v>
      </c>
      <c r="G7673" s="9"/>
      <c r="H7673" s="257" t="s">
        <v>25677</v>
      </c>
      <c r="I7673" s="9">
        <v>4</v>
      </c>
    </row>
    <row r="7674" spans="1:9">
      <c r="A7674" s="257" t="s">
        <v>8772</v>
      </c>
      <c r="B7674" s="9">
        <v>10</v>
      </c>
      <c r="C7674" s="257" t="s">
        <v>13723</v>
      </c>
      <c r="D7674" s="9">
        <v>0.31093741536215935</v>
      </c>
      <c r="E7674" s="9">
        <v>1732307.5169143677</v>
      </c>
      <c r="F7674" s="257" t="s">
        <v>18095</v>
      </c>
      <c r="G7674" s="9"/>
      <c r="H7674" s="257" t="s">
        <v>25678</v>
      </c>
      <c r="I7674" s="9">
        <v>4</v>
      </c>
    </row>
    <row r="7675" spans="1:9">
      <c r="A7675" s="257" t="s">
        <v>8773</v>
      </c>
      <c r="B7675" s="9">
        <v>10</v>
      </c>
      <c r="C7675" s="257" t="s">
        <v>13723</v>
      </c>
      <c r="D7675" s="9">
        <v>0.34220045221980022</v>
      </c>
      <c r="E7675" s="9">
        <v>1732307.5169143677</v>
      </c>
      <c r="F7675" s="257" t="s">
        <v>18096</v>
      </c>
      <c r="G7675" s="9"/>
      <c r="H7675" s="257" t="s">
        <v>25679</v>
      </c>
      <c r="I7675" s="9">
        <v>4</v>
      </c>
    </row>
    <row r="7676" spans="1:9">
      <c r="A7676" s="257" t="s">
        <v>8774</v>
      </c>
      <c r="B7676" s="9">
        <v>10</v>
      </c>
      <c r="C7676" s="257" t="s">
        <v>13723</v>
      </c>
      <c r="D7676" s="9">
        <v>0.38619394972211807</v>
      </c>
      <c r="E7676" s="9">
        <v>1732307.5169143677</v>
      </c>
      <c r="F7676" s="257" t="s">
        <v>18097</v>
      </c>
      <c r="G7676" s="9"/>
      <c r="H7676" s="257" t="s">
        <v>25680</v>
      </c>
      <c r="I7676" s="9">
        <v>4</v>
      </c>
    </row>
    <row r="7677" spans="1:9">
      <c r="A7677" s="257" t="s">
        <v>8775</v>
      </c>
      <c r="B7677" s="9">
        <v>10</v>
      </c>
      <c r="C7677" s="257" t="s">
        <v>13723</v>
      </c>
      <c r="D7677" s="9">
        <v>0.34645958719625897</v>
      </c>
      <c r="E7677" s="9">
        <v>1732307.5169143677</v>
      </c>
      <c r="F7677" s="257" t="s">
        <v>18098</v>
      </c>
      <c r="G7677" s="9"/>
      <c r="H7677" s="257" t="s">
        <v>25681</v>
      </c>
      <c r="I7677" s="9">
        <v>4</v>
      </c>
    </row>
    <row r="7678" spans="1:9">
      <c r="A7678" s="257" t="s">
        <v>8776</v>
      </c>
      <c r="B7678" s="9">
        <v>10</v>
      </c>
      <c r="C7678" s="257" t="s">
        <v>13723</v>
      </c>
      <c r="D7678" s="9">
        <v>0.36327128326234931</v>
      </c>
      <c r="E7678" s="9">
        <v>1732307.5169143677</v>
      </c>
      <c r="F7678" s="257" t="s">
        <v>18099</v>
      </c>
      <c r="G7678" s="9"/>
      <c r="H7678" s="257" t="s">
        <v>25682</v>
      </c>
      <c r="I7678" s="9">
        <v>4</v>
      </c>
    </row>
    <row r="7679" spans="1:9">
      <c r="A7679" s="257" t="s">
        <v>8777</v>
      </c>
      <c r="B7679" s="9">
        <v>10</v>
      </c>
      <c r="C7679" s="257" t="s">
        <v>13723</v>
      </c>
      <c r="D7679" s="9">
        <v>0.31061714428928661</v>
      </c>
      <c r="E7679" s="9">
        <v>1732307.5169143677</v>
      </c>
      <c r="F7679" s="257" t="s">
        <v>18100</v>
      </c>
      <c r="G7679" s="9"/>
      <c r="H7679" s="257" t="s">
        <v>25683</v>
      </c>
      <c r="I7679" s="9">
        <v>4</v>
      </c>
    </row>
    <row r="7680" spans="1:9">
      <c r="A7680" s="257" t="s">
        <v>8778</v>
      </c>
      <c r="B7680" s="9">
        <v>10</v>
      </c>
      <c r="C7680" s="257" t="s">
        <v>13723</v>
      </c>
      <c r="D7680" s="9">
        <v>2.9341647801693824E-2</v>
      </c>
      <c r="E7680" s="9">
        <v>1732307.5169143677</v>
      </c>
      <c r="F7680" s="257" t="s">
        <v>18101</v>
      </c>
      <c r="G7680" s="9"/>
      <c r="H7680" s="257" t="s">
        <v>25684</v>
      </c>
      <c r="I7680" s="9">
        <v>4</v>
      </c>
    </row>
    <row r="7681" spans="1:9">
      <c r="A7681" s="257" t="s">
        <v>8779</v>
      </c>
      <c r="B7681" s="9">
        <v>10</v>
      </c>
      <c r="C7681" s="257" t="s">
        <v>13723</v>
      </c>
      <c r="D7681" s="9">
        <v>8.5525163635061185E-2</v>
      </c>
      <c r="E7681" s="9">
        <v>1732307.5169143677</v>
      </c>
      <c r="F7681" s="257" t="s">
        <v>18102</v>
      </c>
      <c r="G7681" s="9"/>
      <c r="H7681" s="257" t="s">
        <v>25685</v>
      </c>
      <c r="I7681" s="9">
        <v>4</v>
      </c>
    </row>
    <row r="7682" spans="1:9">
      <c r="A7682" s="257" t="s">
        <v>8780</v>
      </c>
      <c r="B7682" s="9">
        <v>10</v>
      </c>
      <c r="C7682" s="257" t="s">
        <v>13723</v>
      </c>
      <c r="D7682" s="9">
        <v>0.30605527858410764</v>
      </c>
      <c r="E7682" s="9">
        <v>1732307.5169143677</v>
      </c>
      <c r="F7682" s="257" t="s">
        <v>18103</v>
      </c>
      <c r="G7682" s="9"/>
      <c r="H7682" s="257" t="s">
        <v>25686</v>
      </c>
      <c r="I7682" s="9">
        <v>4</v>
      </c>
    </row>
    <row r="7683" spans="1:9">
      <c r="A7683" s="257" t="s">
        <v>8781</v>
      </c>
      <c r="B7683" s="9">
        <v>10</v>
      </c>
      <c r="C7683" s="257" t="s">
        <v>13723</v>
      </c>
      <c r="D7683" s="9">
        <v>0.31693200813670214</v>
      </c>
      <c r="E7683" s="9">
        <v>1732307.5169143677</v>
      </c>
      <c r="F7683" s="257" t="s">
        <v>18104</v>
      </c>
      <c r="G7683" s="9"/>
      <c r="H7683" s="257" t="s">
        <v>25687</v>
      </c>
      <c r="I7683" s="9">
        <v>4</v>
      </c>
    </row>
    <row r="7684" spans="1:9">
      <c r="A7684" s="257" t="s">
        <v>8782</v>
      </c>
      <c r="B7684" s="9">
        <v>10</v>
      </c>
      <c r="C7684" s="257" t="s">
        <v>13723</v>
      </c>
      <c r="D7684" s="9">
        <v>0.32361157818993164</v>
      </c>
      <c r="E7684" s="9">
        <v>1732307.5169143677</v>
      </c>
      <c r="F7684" s="257" t="s">
        <v>18105</v>
      </c>
      <c r="G7684" s="9"/>
      <c r="H7684" s="257" t="s">
        <v>25688</v>
      </c>
      <c r="I7684" s="9">
        <v>4</v>
      </c>
    </row>
    <row r="7685" spans="1:9">
      <c r="A7685" s="257" t="s">
        <v>8783</v>
      </c>
      <c r="B7685" s="9">
        <v>10</v>
      </c>
      <c r="C7685" s="257" t="s">
        <v>13723</v>
      </c>
      <c r="D7685" s="9">
        <v>0.36441220751810355</v>
      </c>
      <c r="E7685" s="9">
        <v>1732307.5169143677</v>
      </c>
      <c r="F7685" s="257" t="s">
        <v>18106</v>
      </c>
      <c r="G7685" s="9"/>
      <c r="H7685" s="257" t="s">
        <v>25689</v>
      </c>
      <c r="I7685" s="9">
        <v>4</v>
      </c>
    </row>
    <row r="7686" spans="1:9">
      <c r="A7686" s="257" t="s">
        <v>8784</v>
      </c>
      <c r="B7686" s="9">
        <v>10</v>
      </c>
      <c r="C7686" s="257" t="s">
        <v>13723</v>
      </c>
      <c r="D7686" s="9">
        <v>1.8321889090973504E-2</v>
      </c>
      <c r="E7686" s="9">
        <v>1732307.5169143677</v>
      </c>
      <c r="F7686" s="257" t="s">
        <v>18107</v>
      </c>
      <c r="G7686" s="9"/>
      <c r="H7686" s="257" t="s">
        <v>25690</v>
      </c>
      <c r="I7686" s="9">
        <v>4</v>
      </c>
    </row>
    <row r="7687" spans="1:9">
      <c r="A7687" s="257" t="s">
        <v>8785</v>
      </c>
      <c r="B7687" s="9">
        <v>10</v>
      </c>
      <c r="C7687" s="257" t="s">
        <v>13723</v>
      </c>
      <c r="D7687" s="9">
        <v>0.47418962187226432</v>
      </c>
      <c r="E7687" s="9">
        <v>1732307.5169143677</v>
      </c>
      <c r="F7687" s="257" t="s">
        <v>18108</v>
      </c>
      <c r="G7687" s="9"/>
      <c r="H7687" s="257" t="s">
        <v>25691</v>
      </c>
      <c r="I7687" s="9">
        <v>4</v>
      </c>
    </row>
    <row r="7688" spans="1:9">
      <c r="A7688" s="257" t="s">
        <v>8786</v>
      </c>
      <c r="B7688" s="9">
        <v>10</v>
      </c>
      <c r="C7688" s="257" t="s">
        <v>13723</v>
      </c>
      <c r="D7688" s="9"/>
      <c r="E7688" s="9">
        <v>1732307.5169143677</v>
      </c>
      <c r="F7688" s="257" t="s">
        <v>18109</v>
      </c>
      <c r="G7688" s="9"/>
      <c r="H7688" s="257" t="s">
        <v>25692</v>
      </c>
      <c r="I7688" s="9">
        <v>4</v>
      </c>
    </row>
    <row r="7689" spans="1:9">
      <c r="A7689" s="257" t="s">
        <v>8787</v>
      </c>
      <c r="B7689" s="9">
        <v>10</v>
      </c>
      <c r="C7689" s="257" t="s">
        <v>13723</v>
      </c>
      <c r="D7689" s="9">
        <v>0.41901513018897418</v>
      </c>
      <c r="E7689" s="9">
        <v>1732307.5169143677</v>
      </c>
      <c r="F7689" s="257" t="s">
        <v>18110</v>
      </c>
      <c r="G7689" s="9"/>
      <c r="H7689" s="257" t="s">
        <v>25693</v>
      </c>
      <c r="I7689" s="9">
        <v>4</v>
      </c>
    </row>
    <row r="7690" spans="1:9">
      <c r="A7690" s="257" t="s">
        <v>8788</v>
      </c>
      <c r="B7690" s="9">
        <v>10</v>
      </c>
      <c r="C7690" s="257" t="s">
        <v>13723</v>
      </c>
      <c r="D7690" s="9">
        <v>0.30735454286124825</v>
      </c>
      <c r="E7690" s="9">
        <v>1732307.5169143677</v>
      </c>
      <c r="F7690" s="257" t="s">
        <v>18111</v>
      </c>
      <c r="G7690" s="9"/>
      <c r="H7690" s="257" t="s">
        <v>25694</v>
      </c>
      <c r="I7690" s="9">
        <v>4</v>
      </c>
    </row>
    <row r="7691" spans="1:9">
      <c r="A7691" s="257" t="s">
        <v>8789</v>
      </c>
      <c r="B7691" s="9">
        <v>10</v>
      </c>
      <c r="C7691" s="257" t="s">
        <v>13723</v>
      </c>
      <c r="D7691" s="9">
        <v>0.4345120398783387</v>
      </c>
      <c r="E7691" s="9">
        <v>1732307.5169143677</v>
      </c>
      <c r="F7691" s="257" t="s">
        <v>18112</v>
      </c>
      <c r="G7691" s="9"/>
      <c r="H7691" s="257" t="s">
        <v>25695</v>
      </c>
      <c r="I7691" s="9">
        <v>4</v>
      </c>
    </row>
    <row r="7692" spans="1:9">
      <c r="A7692" s="257" t="s">
        <v>8790</v>
      </c>
      <c r="B7692" s="9">
        <v>0</v>
      </c>
      <c r="C7692" s="257" t="s">
        <v>13724</v>
      </c>
      <c r="D7692" s="9">
        <v>9358875.1424636841</v>
      </c>
      <c r="E7692" s="9">
        <v>17258998.467498779</v>
      </c>
      <c r="F7692" s="257" t="s">
        <v>18113</v>
      </c>
      <c r="G7692" s="9">
        <v>1</v>
      </c>
      <c r="H7692" s="257" t="s">
        <v>25696</v>
      </c>
      <c r="I7692" s="9">
        <v>4</v>
      </c>
    </row>
    <row r="7693" spans="1:9">
      <c r="A7693" s="257" t="s">
        <v>8791</v>
      </c>
      <c r="B7693" s="9">
        <v>0</v>
      </c>
      <c r="C7693" s="257" t="s">
        <v>13725</v>
      </c>
      <c r="D7693" s="9">
        <v>57931371203.867264</v>
      </c>
      <c r="E7693" s="9">
        <v>17258998.467498779</v>
      </c>
      <c r="F7693" s="257" t="s">
        <v>18113</v>
      </c>
      <c r="G7693" s="9">
        <v>1</v>
      </c>
      <c r="H7693" s="257" t="s">
        <v>25697</v>
      </c>
      <c r="I7693" s="9">
        <v>4</v>
      </c>
    </row>
    <row r="7694" spans="1:9">
      <c r="A7694" s="257" t="s">
        <v>8792</v>
      </c>
      <c r="B7694" s="9">
        <v>0</v>
      </c>
      <c r="C7694" s="257" t="s">
        <v>13726</v>
      </c>
      <c r="D7694" s="9">
        <v>0.54226061611210041</v>
      </c>
      <c r="E7694" s="9">
        <v>17258998.467498779</v>
      </c>
      <c r="F7694" s="257" t="s">
        <v>18113</v>
      </c>
      <c r="G7694" s="9">
        <v>1</v>
      </c>
      <c r="H7694" s="257" t="s">
        <v>25698</v>
      </c>
      <c r="I7694" s="9">
        <v>4</v>
      </c>
    </row>
    <row r="7695" spans="1:9">
      <c r="A7695" s="257" t="s">
        <v>8793</v>
      </c>
      <c r="B7695" s="9">
        <v>0</v>
      </c>
      <c r="C7695" s="257" t="s">
        <v>13727</v>
      </c>
      <c r="D7695" s="9">
        <v>3356.5893938145086</v>
      </c>
      <c r="E7695" s="9">
        <v>17258998.467498779</v>
      </c>
      <c r="F7695" s="257" t="s">
        <v>18113</v>
      </c>
      <c r="G7695" s="9">
        <v>1</v>
      </c>
      <c r="H7695" s="257" t="s">
        <v>25699</v>
      </c>
      <c r="I7695" s="9">
        <v>4</v>
      </c>
    </row>
    <row r="7696" spans="1:9">
      <c r="A7696" s="257" t="s">
        <v>8794</v>
      </c>
      <c r="B7696" s="9">
        <v>0</v>
      </c>
      <c r="C7696" s="257" t="s">
        <v>13728</v>
      </c>
      <c r="D7696" s="9">
        <v>0</v>
      </c>
      <c r="E7696" s="9">
        <v>17258998.467498779</v>
      </c>
      <c r="F7696" s="257" t="s">
        <v>18114</v>
      </c>
      <c r="G7696" s="9">
        <v>1</v>
      </c>
      <c r="H7696" s="257" t="s">
        <v>25700</v>
      </c>
      <c r="I7696" s="9">
        <v>4</v>
      </c>
    </row>
    <row r="7697" spans="1:9">
      <c r="A7697" s="257" t="s">
        <v>8795</v>
      </c>
      <c r="B7697" s="9">
        <v>0</v>
      </c>
      <c r="C7697" s="257" t="s">
        <v>13729</v>
      </c>
      <c r="D7697" s="9">
        <v>0</v>
      </c>
      <c r="E7697" s="9">
        <v>17258998.467498779</v>
      </c>
      <c r="F7697" s="257" t="s">
        <v>18114</v>
      </c>
      <c r="G7697" s="9">
        <v>1</v>
      </c>
      <c r="H7697" s="257" t="s">
        <v>25701</v>
      </c>
      <c r="I7697" s="9">
        <v>4</v>
      </c>
    </row>
    <row r="7698" spans="1:9">
      <c r="A7698" s="257" t="s">
        <v>8796</v>
      </c>
      <c r="B7698" s="9">
        <v>0</v>
      </c>
      <c r="C7698" s="257" t="s">
        <v>13730</v>
      </c>
      <c r="D7698" s="9">
        <v>0</v>
      </c>
      <c r="E7698" s="9">
        <v>17258998.467498779</v>
      </c>
      <c r="F7698" s="257" t="s">
        <v>18114</v>
      </c>
      <c r="G7698" s="9">
        <v>1</v>
      </c>
      <c r="H7698" s="257" t="s">
        <v>25702</v>
      </c>
      <c r="I7698" s="9">
        <v>4</v>
      </c>
    </row>
    <row r="7699" spans="1:9">
      <c r="A7699" s="257" t="s">
        <v>8797</v>
      </c>
      <c r="B7699" s="9">
        <v>0</v>
      </c>
      <c r="C7699" s="257" t="s">
        <v>13731</v>
      </c>
      <c r="D7699" s="9">
        <v>0</v>
      </c>
      <c r="E7699" s="9">
        <v>17258998.467498779</v>
      </c>
      <c r="F7699" s="257" t="s">
        <v>18114</v>
      </c>
      <c r="G7699" s="9">
        <v>1</v>
      </c>
      <c r="H7699" s="257" t="s">
        <v>25703</v>
      </c>
      <c r="I7699" s="9">
        <v>4</v>
      </c>
    </row>
    <row r="7700" spans="1:9">
      <c r="A7700" s="257" t="s">
        <v>8798</v>
      </c>
      <c r="B7700" s="9">
        <v>0</v>
      </c>
      <c r="C7700" s="257" t="s">
        <v>13732</v>
      </c>
      <c r="D7700" s="9">
        <v>10135037.744981766</v>
      </c>
      <c r="E7700" s="9">
        <v>17258998.467498779</v>
      </c>
      <c r="F7700" s="257" t="s">
        <v>18115</v>
      </c>
      <c r="G7700" s="9">
        <v>1</v>
      </c>
      <c r="H7700" s="257" t="s">
        <v>25704</v>
      </c>
      <c r="I7700" s="9">
        <v>4</v>
      </c>
    </row>
    <row r="7701" spans="1:9">
      <c r="A7701" s="257" t="s">
        <v>8799</v>
      </c>
      <c r="B7701" s="9">
        <v>0</v>
      </c>
      <c r="C7701" s="257" t="s">
        <v>13733</v>
      </c>
      <c r="D7701" s="9">
        <v>4096820057.7027817</v>
      </c>
      <c r="E7701" s="9">
        <v>17258998.467498779</v>
      </c>
      <c r="F7701" s="257" t="s">
        <v>18115</v>
      </c>
      <c r="G7701" s="9">
        <v>1</v>
      </c>
      <c r="H7701" s="257" t="s">
        <v>25705</v>
      </c>
      <c r="I7701" s="9">
        <v>4</v>
      </c>
    </row>
    <row r="7702" spans="1:9">
      <c r="A7702" s="257" t="s">
        <v>8800</v>
      </c>
      <c r="B7702" s="9">
        <v>0</v>
      </c>
      <c r="C7702" s="257" t="s">
        <v>13734</v>
      </c>
      <c r="D7702" s="9">
        <v>0.58723209020891487</v>
      </c>
      <c r="E7702" s="9">
        <v>17258998.467498779</v>
      </c>
      <c r="F7702" s="257" t="s">
        <v>18115</v>
      </c>
      <c r="G7702" s="9">
        <v>1</v>
      </c>
      <c r="H7702" s="257" t="s">
        <v>25706</v>
      </c>
      <c r="I7702" s="9">
        <v>4</v>
      </c>
    </row>
    <row r="7703" spans="1:9">
      <c r="A7703" s="257" t="s">
        <v>8801</v>
      </c>
      <c r="B7703" s="9">
        <v>0</v>
      </c>
      <c r="C7703" s="257" t="s">
        <v>13735</v>
      </c>
      <c r="D7703" s="9">
        <v>237.37298925066213</v>
      </c>
      <c r="E7703" s="9">
        <v>17258998.467498779</v>
      </c>
      <c r="F7703" s="257" t="s">
        <v>18115</v>
      </c>
      <c r="G7703" s="9">
        <v>1</v>
      </c>
      <c r="H7703" s="257" t="s">
        <v>25707</v>
      </c>
      <c r="I7703" s="9">
        <v>4</v>
      </c>
    </row>
    <row r="7704" spans="1:9">
      <c r="A7704" s="257" t="s">
        <v>8802</v>
      </c>
      <c r="B7704" s="9">
        <v>0</v>
      </c>
      <c r="C7704" s="257" t="s">
        <v>13736</v>
      </c>
      <c r="D7704" s="9">
        <v>5285859.0967407227</v>
      </c>
      <c r="E7704" s="9">
        <v>17258998.467498779</v>
      </c>
      <c r="F7704" s="257" t="s">
        <v>18116</v>
      </c>
      <c r="G7704" s="9">
        <v>1</v>
      </c>
      <c r="H7704" s="257" t="s">
        <v>25708</v>
      </c>
      <c r="I7704" s="9">
        <v>4</v>
      </c>
    </row>
    <row r="7705" spans="1:9">
      <c r="A7705" s="257" t="s">
        <v>8803</v>
      </c>
      <c r="B7705" s="9">
        <v>0</v>
      </c>
      <c r="C7705" s="257" t="s">
        <v>13737</v>
      </c>
      <c r="D7705" s="9">
        <v>1760844107.6287694</v>
      </c>
      <c r="E7705" s="9">
        <v>17258998.467498779</v>
      </c>
      <c r="F7705" s="257" t="s">
        <v>18116</v>
      </c>
      <c r="G7705" s="9">
        <v>1</v>
      </c>
      <c r="H7705" s="257" t="s">
        <v>25709</v>
      </c>
      <c r="I7705" s="9">
        <v>4</v>
      </c>
    </row>
    <row r="7706" spans="1:9">
      <c r="A7706" s="257" t="s">
        <v>8804</v>
      </c>
      <c r="B7706" s="9">
        <v>0</v>
      </c>
      <c r="C7706" s="257" t="s">
        <v>13738</v>
      </c>
      <c r="D7706" s="9">
        <v>0.30626685011269739</v>
      </c>
      <c r="E7706" s="9">
        <v>17258998.467498779</v>
      </c>
      <c r="F7706" s="257" t="s">
        <v>18116</v>
      </c>
      <c r="G7706" s="9">
        <v>1</v>
      </c>
      <c r="H7706" s="257" t="s">
        <v>25710</v>
      </c>
      <c r="I7706" s="9">
        <v>4</v>
      </c>
    </row>
    <row r="7707" spans="1:9">
      <c r="A7707" s="257" t="s">
        <v>8805</v>
      </c>
      <c r="B7707" s="9">
        <v>0</v>
      </c>
      <c r="C7707" s="257" t="s">
        <v>13739</v>
      </c>
      <c r="D7707" s="9">
        <v>102.02469806951409</v>
      </c>
      <c r="E7707" s="9">
        <v>17258998.467498779</v>
      </c>
      <c r="F7707" s="257" t="s">
        <v>18116</v>
      </c>
      <c r="G7707" s="9">
        <v>1</v>
      </c>
      <c r="H7707" s="257" t="s">
        <v>25711</v>
      </c>
      <c r="I7707" s="9">
        <v>4</v>
      </c>
    </row>
    <row r="7708" spans="1:9">
      <c r="A7708" s="257" t="s">
        <v>8806</v>
      </c>
      <c r="B7708" s="9">
        <v>0</v>
      </c>
      <c r="C7708" s="257" t="s">
        <v>13740</v>
      </c>
      <c r="D7708" s="9">
        <v>5157260.2930984497</v>
      </c>
      <c r="E7708" s="9">
        <v>17258998.467498779</v>
      </c>
      <c r="F7708" s="257" t="s">
        <v>18117</v>
      </c>
      <c r="G7708" s="9">
        <v>1</v>
      </c>
      <c r="H7708" s="257" t="s">
        <v>25712</v>
      </c>
      <c r="I7708" s="9">
        <v>4</v>
      </c>
    </row>
    <row r="7709" spans="1:9">
      <c r="A7709" s="257" t="s">
        <v>8807</v>
      </c>
      <c r="B7709" s="9">
        <v>0</v>
      </c>
      <c r="C7709" s="257" t="s">
        <v>13741</v>
      </c>
      <c r="D7709" s="9">
        <v>15907971601.080322</v>
      </c>
      <c r="E7709" s="9">
        <v>17258998.467498779</v>
      </c>
      <c r="F7709" s="257" t="s">
        <v>18117</v>
      </c>
      <c r="G7709" s="9">
        <v>1</v>
      </c>
      <c r="H7709" s="257" t="s">
        <v>25713</v>
      </c>
      <c r="I7709" s="9">
        <v>4</v>
      </c>
    </row>
    <row r="7710" spans="1:9">
      <c r="A7710" s="257" t="s">
        <v>8808</v>
      </c>
      <c r="B7710" s="9">
        <v>0</v>
      </c>
      <c r="C7710" s="257" t="s">
        <v>13742</v>
      </c>
      <c r="D7710" s="9">
        <v>0.29881573387994242</v>
      </c>
      <c r="E7710" s="9">
        <v>17258998.467498779</v>
      </c>
      <c r="F7710" s="257" t="s">
        <v>18117</v>
      </c>
      <c r="G7710" s="9">
        <v>1</v>
      </c>
      <c r="H7710" s="257" t="s">
        <v>25714</v>
      </c>
      <c r="I7710" s="9">
        <v>4</v>
      </c>
    </row>
    <row r="7711" spans="1:9">
      <c r="A7711" s="257" t="s">
        <v>8809</v>
      </c>
      <c r="B7711" s="9">
        <v>0</v>
      </c>
      <c r="C7711" s="257" t="s">
        <v>13743</v>
      </c>
      <c r="D7711" s="9">
        <v>921.72043650373814</v>
      </c>
      <c r="E7711" s="9">
        <v>17258998.467498779</v>
      </c>
      <c r="F7711" s="257" t="s">
        <v>18117</v>
      </c>
      <c r="G7711" s="9">
        <v>1</v>
      </c>
      <c r="H7711" s="257" t="s">
        <v>25715</v>
      </c>
      <c r="I7711" s="9">
        <v>4</v>
      </c>
    </row>
    <row r="7712" spans="1:9">
      <c r="A7712" s="257" t="s">
        <v>8810</v>
      </c>
      <c r="B7712" s="9">
        <v>0</v>
      </c>
      <c r="C7712" s="257" t="s">
        <v>13744</v>
      </c>
      <c r="D7712" s="9">
        <v>1013390.1511459351</v>
      </c>
      <c r="E7712" s="9">
        <v>17258998.467498779</v>
      </c>
      <c r="F7712" s="257" t="s">
        <v>18118</v>
      </c>
      <c r="G7712" s="9">
        <v>1</v>
      </c>
      <c r="H7712" s="257" t="s">
        <v>25716</v>
      </c>
      <c r="I7712" s="9">
        <v>4</v>
      </c>
    </row>
    <row r="7713" spans="1:9">
      <c r="A7713" s="257" t="s">
        <v>8811</v>
      </c>
      <c r="B7713" s="9">
        <v>0</v>
      </c>
      <c r="C7713" s="257" t="s">
        <v>13745</v>
      </c>
      <c r="D7713" s="9">
        <v>10049456931.277637</v>
      </c>
      <c r="E7713" s="9">
        <v>17258998.467498779</v>
      </c>
      <c r="F7713" s="257" t="s">
        <v>18118</v>
      </c>
      <c r="G7713" s="9">
        <v>1</v>
      </c>
      <c r="H7713" s="257" t="s">
        <v>25717</v>
      </c>
      <c r="I7713" s="9">
        <v>4</v>
      </c>
    </row>
    <row r="7714" spans="1:9">
      <c r="A7714" s="257" t="s">
        <v>8812</v>
      </c>
      <c r="B7714" s="9">
        <v>0</v>
      </c>
      <c r="C7714" s="257" t="s">
        <v>13746</v>
      </c>
      <c r="D7714" s="9">
        <v>5.8716625594138448E-2</v>
      </c>
      <c r="E7714" s="9">
        <v>17258998.467498779</v>
      </c>
      <c r="F7714" s="257" t="s">
        <v>18118</v>
      </c>
      <c r="G7714" s="9">
        <v>1</v>
      </c>
      <c r="H7714" s="257" t="s">
        <v>25718</v>
      </c>
      <c r="I7714" s="9">
        <v>4</v>
      </c>
    </row>
    <row r="7715" spans="1:9">
      <c r="A7715" s="257" t="s">
        <v>8813</v>
      </c>
      <c r="B7715" s="9">
        <v>0</v>
      </c>
      <c r="C7715" s="257" t="s">
        <v>13747</v>
      </c>
      <c r="D7715" s="9">
        <v>582.2734702828925</v>
      </c>
      <c r="E7715" s="9">
        <v>17258998.467498779</v>
      </c>
      <c r="F7715" s="257" t="s">
        <v>18118</v>
      </c>
      <c r="G7715" s="9">
        <v>1</v>
      </c>
      <c r="H7715" s="257" t="s">
        <v>25719</v>
      </c>
      <c r="I7715" s="9">
        <v>4</v>
      </c>
    </row>
    <row r="7716" spans="1:9">
      <c r="A7716" s="257" t="s">
        <v>8814</v>
      </c>
      <c r="B7716" s="9">
        <v>0</v>
      </c>
      <c r="C7716" s="257" t="s">
        <v>13748</v>
      </c>
      <c r="D7716" s="9">
        <v>14151303.693914413</v>
      </c>
      <c r="E7716" s="9">
        <v>17258998.467498779</v>
      </c>
      <c r="F7716" s="257" t="s">
        <v>18119</v>
      </c>
      <c r="G7716" s="9">
        <v>1</v>
      </c>
      <c r="H7716" s="257" t="s">
        <v>25720</v>
      </c>
      <c r="I7716" s="9">
        <v>4</v>
      </c>
    </row>
    <row r="7717" spans="1:9">
      <c r="A7717" s="257" t="s">
        <v>8815</v>
      </c>
      <c r="B7717" s="9">
        <v>0</v>
      </c>
      <c r="C7717" s="257" t="s">
        <v>13749</v>
      </c>
      <c r="D7717" s="9">
        <v>31815092697.68951</v>
      </c>
      <c r="E7717" s="9">
        <v>17258998.467498779</v>
      </c>
      <c r="F7717" s="257" t="s">
        <v>18119</v>
      </c>
      <c r="G7717" s="9">
        <v>1</v>
      </c>
      <c r="H7717" s="257" t="s">
        <v>25721</v>
      </c>
      <c r="I7717" s="9">
        <v>4</v>
      </c>
    </row>
    <row r="7718" spans="1:9">
      <c r="A7718" s="257" t="s">
        <v>8816</v>
      </c>
      <c r="B7718" s="9">
        <v>0</v>
      </c>
      <c r="C7718" s="257" t="s">
        <v>13750</v>
      </c>
      <c r="D7718" s="9">
        <v>0.81993771078683331</v>
      </c>
      <c r="E7718" s="9">
        <v>17258998.467498779</v>
      </c>
      <c r="F7718" s="257" t="s">
        <v>18119</v>
      </c>
      <c r="G7718" s="9">
        <v>1</v>
      </c>
      <c r="H7718" s="257" t="s">
        <v>25722</v>
      </c>
      <c r="I7718" s="9">
        <v>4</v>
      </c>
    </row>
    <row r="7719" spans="1:9">
      <c r="A7719" s="257" t="s">
        <v>8817</v>
      </c>
      <c r="B7719" s="9">
        <v>0</v>
      </c>
      <c r="C7719" s="257" t="s">
        <v>13751</v>
      </c>
      <c r="D7719" s="9">
        <v>1843.3915941068069</v>
      </c>
      <c r="E7719" s="9">
        <v>17258998.467498779</v>
      </c>
      <c r="F7719" s="257" t="s">
        <v>18119</v>
      </c>
      <c r="G7719" s="9">
        <v>1</v>
      </c>
      <c r="H7719" s="257" t="s">
        <v>25723</v>
      </c>
      <c r="I7719" s="9">
        <v>4</v>
      </c>
    </row>
    <row r="7720" spans="1:9">
      <c r="A7720" s="257" t="s">
        <v>8818</v>
      </c>
      <c r="B7720" s="9">
        <v>0</v>
      </c>
      <c r="C7720" s="257" t="s">
        <v>13752</v>
      </c>
      <c r="D7720" s="9">
        <v>9518112.2622451782</v>
      </c>
      <c r="E7720" s="9">
        <v>17258998.467498779</v>
      </c>
      <c r="F7720" s="257" t="s">
        <v>18120</v>
      </c>
      <c r="G7720" s="9">
        <v>1</v>
      </c>
      <c r="H7720" s="257" t="s">
        <v>25724</v>
      </c>
      <c r="I7720" s="9">
        <v>4</v>
      </c>
    </row>
    <row r="7721" spans="1:9">
      <c r="A7721" s="257" t="s">
        <v>8819</v>
      </c>
      <c r="B7721" s="9">
        <v>0</v>
      </c>
      <c r="C7721" s="257" t="s">
        <v>13753</v>
      </c>
      <c r="D7721" s="9">
        <v>27718272639.986729</v>
      </c>
      <c r="E7721" s="9">
        <v>17258998.467498779</v>
      </c>
      <c r="F7721" s="257" t="s">
        <v>18120</v>
      </c>
      <c r="G7721" s="9">
        <v>1</v>
      </c>
      <c r="H7721" s="257" t="s">
        <v>25725</v>
      </c>
      <c r="I7721" s="9">
        <v>4</v>
      </c>
    </row>
    <row r="7722" spans="1:9">
      <c r="A7722" s="257" t="s">
        <v>8820</v>
      </c>
      <c r="B7722" s="9">
        <v>0</v>
      </c>
      <c r="C7722" s="257" t="s">
        <v>13754</v>
      </c>
      <c r="D7722" s="9">
        <v>0.55148694057590752</v>
      </c>
      <c r="E7722" s="9">
        <v>17258998.467498779</v>
      </c>
      <c r="F7722" s="257" t="s">
        <v>18120</v>
      </c>
      <c r="G7722" s="9">
        <v>1</v>
      </c>
      <c r="H7722" s="257" t="s">
        <v>25726</v>
      </c>
      <c r="I7722" s="9">
        <v>4</v>
      </c>
    </row>
    <row r="7723" spans="1:9">
      <c r="A7723" s="257" t="s">
        <v>8821</v>
      </c>
      <c r="B7723" s="9">
        <v>0</v>
      </c>
      <c r="C7723" s="257" t="s">
        <v>13755</v>
      </c>
      <c r="D7723" s="9">
        <v>1606.0186048561447</v>
      </c>
      <c r="E7723" s="9">
        <v>17258998.467498779</v>
      </c>
      <c r="F7723" s="257" t="s">
        <v>18120</v>
      </c>
      <c r="G7723" s="9">
        <v>1</v>
      </c>
      <c r="H7723" s="257" t="s">
        <v>25727</v>
      </c>
      <c r="I7723" s="9">
        <v>4</v>
      </c>
    </row>
    <row r="7724" spans="1:9">
      <c r="A7724" s="257" t="s">
        <v>8822</v>
      </c>
      <c r="B7724" s="9">
        <v>0</v>
      </c>
      <c r="C7724" s="257" t="s">
        <v>13756</v>
      </c>
      <c r="D7724" s="9">
        <v>17256758.431854248</v>
      </c>
      <c r="E7724" s="9">
        <v>17258998.467498779</v>
      </c>
      <c r="F7724" s="257" t="s">
        <v>18121</v>
      </c>
      <c r="G7724" s="9">
        <v>1</v>
      </c>
      <c r="H7724" s="257" t="s">
        <v>25728</v>
      </c>
      <c r="I7724" s="9">
        <v>4</v>
      </c>
    </row>
    <row r="7725" spans="1:9">
      <c r="A7725" s="257" t="s">
        <v>8823</v>
      </c>
      <c r="B7725" s="9">
        <v>0</v>
      </c>
      <c r="C7725" s="257" t="s">
        <v>13757</v>
      </c>
      <c r="D7725" s="9">
        <v>153305165379.84579</v>
      </c>
      <c r="E7725" s="9">
        <v>17258998.467498779</v>
      </c>
      <c r="F7725" s="257" t="s">
        <v>18121</v>
      </c>
      <c r="G7725" s="9">
        <v>1</v>
      </c>
      <c r="H7725" s="257" t="s">
        <v>25729</v>
      </c>
      <c r="I7725" s="9">
        <v>4</v>
      </c>
    </row>
    <row r="7726" spans="1:9">
      <c r="A7726" s="257" t="s">
        <v>8824</v>
      </c>
      <c r="B7726" s="9">
        <v>0</v>
      </c>
      <c r="C7726" s="257" t="s">
        <v>13758</v>
      </c>
      <c r="D7726" s="9">
        <v>0.99987021056588254</v>
      </c>
      <c r="E7726" s="9">
        <v>17258998.467498779</v>
      </c>
      <c r="F7726" s="257" t="s">
        <v>18121</v>
      </c>
      <c r="G7726" s="9">
        <v>1</v>
      </c>
      <c r="H7726" s="257" t="s">
        <v>25730</v>
      </c>
      <c r="I7726" s="9">
        <v>4</v>
      </c>
    </row>
    <row r="7727" spans="1:9">
      <c r="A7727" s="257" t="s">
        <v>8825</v>
      </c>
      <c r="B7727" s="9">
        <v>0</v>
      </c>
      <c r="C7727" s="257" t="s">
        <v>13759</v>
      </c>
      <c r="D7727" s="9">
        <v>8882.6223415305285</v>
      </c>
      <c r="E7727" s="9">
        <v>17258998.467498779</v>
      </c>
      <c r="F7727" s="257" t="s">
        <v>18121</v>
      </c>
      <c r="G7727" s="9">
        <v>1</v>
      </c>
      <c r="H7727" s="257" t="s">
        <v>25731</v>
      </c>
      <c r="I7727" s="9">
        <v>4</v>
      </c>
    </row>
    <row r="7728" spans="1:9">
      <c r="A7728" s="257" t="s">
        <v>8826</v>
      </c>
      <c r="B7728" s="9">
        <v>0</v>
      </c>
      <c r="C7728" s="257" t="s">
        <v>13760</v>
      </c>
      <c r="D7728" s="9">
        <v>17245038.245330811</v>
      </c>
      <c r="E7728" s="9">
        <v>17258998.467498779</v>
      </c>
      <c r="F7728" s="257" t="s">
        <v>18122</v>
      </c>
      <c r="G7728" s="9">
        <v>1</v>
      </c>
      <c r="H7728" s="257" t="s">
        <v>25732</v>
      </c>
      <c r="I7728" s="9">
        <v>4</v>
      </c>
    </row>
    <row r="7729" spans="1:9">
      <c r="A7729" s="257" t="s">
        <v>8827</v>
      </c>
      <c r="B7729" s="9">
        <v>0</v>
      </c>
      <c r="C7729" s="257" t="s">
        <v>13761</v>
      </c>
      <c r="D7729" s="9">
        <v>121490072682.1563</v>
      </c>
      <c r="E7729" s="9">
        <v>17258998.467498779</v>
      </c>
      <c r="F7729" s="257" t="s">
        <v>18122</v>
      </c>
      <c r="G7729" s="9">
        <v>1</v>
      </c>
      <c r="H7729" s="257" t="s">
        <v>25733</v>
      </c>
      <c r="I7729" s="9">
        <v>4</v>
      </c>
    </row>
    <row r="7730" spans="1:9">
      <c r="A7730" s="257" t="s">
        <v>8828</v>
      </c>
      <c r="B7730" s="9">
        <v>0</v>
      </c>
      <c r="C7730" s="257" t="s">
        <v>13762</v>
      </c>
      <c r="D7730" s="9">
        <v>0.99919113370371648</v>
      </c>
      <c r="E7730" s="9">
        <v>17258998.467498779</v>
      </c>
      <c r="F7730" s="257" t="s">
        <v>18122</v>
      </c>
      <c r="G7730" s="9">
        <v>1</v>
      </c>
      <c r="H7730" s="257" t="s">
        <v>25734</v>
      </c>
      <c r="I7730" s="9">
        <v>4</v>
      </c>
    </row>
    <row r="7731" spans="1:9">
      <c r="A7731" s="257" t="s">
        <v>8829</v>
      </c>
      <c r="B7731" s="9">
        <v>0</v>
      </c>
      <c r="C7731" s="257" t="s">
        <v>13763</v>
      </c>
      <c r="D7731" s="9">
        <v>7039.2307474237214</v>
      </c>
      <c r="E7731" s="9">
        <v>17258998.467498779</v>
      </c>
      <c r="F7731" s="257" t="s">
        <v>18122</v>
      </c>
      <c r="G7731" s="9">
        <v>1</v>
      </c>
      <c r="H7731" s="257" t="s">
        <v>25735</v>
      </c>
      <c r="I7731" s="9">
        <v>4</v>
      </c>
    </row>
    <row r="7732" spans="1:9">
      <c r="A7732" s="257" t="s">
        <v>8830</v>
      </c>
      <c r="B7732" s="9">
        <v>0</v>
      </c>
      <c r="C7732" s="257" t="s">
        <v>13764</v>
      </c>
      <c r="D7732" s="9">
        <v>17247749.639862061</v>
      </c>
      <c r="E7732" s="9">
        <v>17258998.467498779</v>
      </c>
      <c r="F7732" s="257" t="s">
        <v>18123</v>
      </c>
      <c r="G7732" s="9">
        <v>1</v>
      </c>
      <c r="H7732" s="257" t="s">
        <v>25736</v>
      </c>
      <c r="I7732" s="9">
        <v>4</v>
      </c>
    </row>
    <row r="7733" spans="1:9">
      <c r="A7733" s="257" t="s">
        <v>8831</v>
      </c>
      <c r="B7733" s="9">
        <v>0</v>
      </c>
      <c r="C7733" s="257" t="s">
        <v>13765</v>
      </c>
      <c r="D7733" s="9">
        <v>125586892739.85909</v>
      </c>
      <c r="E7733" s="9">
        <v>17258998.467498779</v>
      </c>
      <c r="F7733" s="257" t="s">
        <v>18123</v>
      </c>
      <c r="G7733" s="9">
        <v>1</v>
      </c>
      <c r="H7733" s="257" t="s">
        <v>25737</v>
      </c>
      <c r="I7733" s="9">
        <v>4</v>
      </c>
    </row>
    <row r="7734" spans="1:9">
      <c r="A7734" s="257" t="s">
        <v>8832</v>
      </c>
      <c r="B7734" s="9">
        <v>0</v>
      </c>
      <c r="C7734" s="257" t="s">
        <v>13766</v>
      </c>
      <c r="D7734" s="9">
        <v>0.99934823404394513</v>
      </c>
      <c r="E7734" s="9">
        <v>17258998.467498779</v>
      </c>
      <c r="F7734" s="257" t="s">
        <v>18123</v>
      </c>
      <c r="G7734" s="9">
        <v>1</v>
      </c>
      <c r="H7734" s="257" t="s">
        <v>25738</v>
      </c>
      <c r="I7734" s="9">
        <v>4</v>
      </c>
    </row>
    <row r="7735" spans="1:9">
      <c r="A7735" s="257" t="s">
        <v>8833</v>
      </c>
      <c r="B7735" s="9">
        <v>0</v>
      </c>
      <c r="C7735" s="257" t="s">
        <v>13767</v>
      </c>
      <c r="D7735" s="9">
        <v>7276.603736674384</v>
      </c>
      <c r="E7735" s="9">
        <v>17258998.467498779</v>
      </c>
      <c r="F7735" s="257" t="s">
        <v>18123</v>
      </c>
      <c r="G7735" s="9">
        <v>1</v>
      </c>
      <c r="H7735" s="257" t="s">
        <v>25739</v>
      </c>
      <c r="I7735" s="9">
        <v>4</v>
      </c>
    </row>
    <row r="7736" spans="1:9">
      <c r="A7736" s="257" t="s">
        <v>8834</v>
      </c>
      <c r="B7736" s="9">
        <v>0</v>
      </c>
      <c r="C7736" s="257" t="s">
        <v>13768</v>
      </c>
      <c r="D7736" s="9">
        <v>17258998.467498779</v>
      </c>
      <c r="E7736" s="9">
        <v>17258998.467498779</v>
      </c>
      <c r="F7736" s="257" t="s">
        <v>18124</v>
      </c>
      <c r="G7736" s="9">
        <v>1</v>
      </c>
      <c r="H7736" s="257" t="s">
        <v>25740</v>
      </c>
      <c r="I7736" s="9">
        <v>4</v>
      </c>
    </row>
    <row r="7737" spans="1:9">
      <c r="A7737" s="257" t="s">
        <v>8835</v>
      </c>
      <c r="B7737" s="9">
        <v>0</v>
      </c>
      <c r="C7737" s="257" t="s">
        <v>13769</v>
      </c>
      <c r="D7737" s="9">
        <v>23726073342.295841</v>
      </c>
      <c r="E7737" s="9">
        <v>17258998.467498779</v>
      </c>
      <c r="F7737" s="257" t="s">
        <v>18124</v>
      </c>
      <c r="G7737" s="9">
        <v>1</v>
      </c>
      <c r="H7737" s="257" t="s">
        <v>25741</v>
      </c>
      <c r="I7737" s="9">
        <v>4</v>
      </c>
    </row>
    <row r="7738" spans="1:9">
      <c r="A7738" s="257" t="s">
        <v>8836</v>
      </c>
      <c r="B7738" s="9">
        <v>0</v>
      </c>
      <c r="C7738" s="257" t="s">
        <v>13770</v>
      </c>
      <c r="D7738" s="9">
        <v>1</v>
      </c>
      <c r="E7738" s="9">
        <v>17258998.467498779</v>
      </c>
      <c r="F7738" s="257" t="s">
        <v>18124</v>
      </c>
      <c r="G7738" s="9">
        <v>1</v>
      </c>
      <c r="H7738" s="257" t="s">
        <v>25742</v>
      </c>
      <c r="I7738" s="9">
        <v>4</v>
      </c>
    </row>
    <row r="7739" spans="1:9">
      <c r="A7739" s="257" t="s">
        <v>8837</v>
      </c>
      <c r="B7739" s="9">
        <v>0</v>
      </c>
      <c r="C7739" s="257" t="s">
        <v>13771</v>
      </c>
      <c r="D7739" s="9">
        <v>1374.7074250557187</v>
      </c>
      <c r="E7739" s="9">
        <v>17258998.467498779</v>
      </c>
      <c r="F7739" s="257" t="s">
        <v>18124</v>
      </c>
      <c r="G7739" s="9">
        <v>1</v>
      </c>
      <c r="H7739" s="257" t="s">
        <v>25743</v>
      </c>
      <c r="I7739" s="9">
        <v>4</v>
      </c>
    </row>
    <row r="7740" spans="1:9">
      <c r="A7740" s="257" t="s">
        <v>8838</v>
      </c>
      <c r="B7740" s="9">
        <v>0</v>
      </c>
      <c r="C7740" s="257" t="s">
        <v>13772</v>
      </c>
      <c r="D7740" s="9">
        <v>9659968.5730438232</v>
      </c>
      <c r="E7740" s="9">
        <v>17258998.467498779</v>
      </c>
      <c r="F7740" s="257" t="s">
        <v>18125</v>
      </c>
      <c r="G7740" s="9">
        <v>1</v>
      </c>
      <c r="H7740" s="257" t="s">
        <v>25744</v>
      </c>
      <c r="I7740" s="9">
        <v>4</v>
      </c>
    </row>
    <row r="7741" spans="1:9">
      <c r="A7741" s="257" t="s">
        <v>8839</v>
      </c>
      <c r="B7741" s="9">
        <v>0</v>
      </c>
      <c r="C7741" s="257" t="s">
        <v>13773</v>
      </c>
      <c r="D7741" s="9">
        <v>44904559421.330383</v>
      </c>
      <c r="E7741" s="9">
        <v>17258998.467498779</v>
      </c>
      <c r="F7741" s="257" t="s">
        <v>18125</v>
      </c>
      <c r="G7741" s="9">
        <v>1</v>
      </c>
      <c r="H7741" s="257" t="s">
        <v>25745</v>
      </c>
      <c r="I7741" s="9">
        <v>4</v>
      </c>
    </row>
    <row r="7742" spans="1:9">
      <c r="A7742" s="257" t="s">
        <v>8840</v>
      </c>
      <c r="B7742" s="9">
        <v>0</v>
      </c>
      <c r="C7742" s="257" t="s">
        <v>13774</v>
      </c>
      <c r="D7742" s="9">
        <v>0.55970620724226605</v>
      </c>
      <c r="E7742" s="9">
        <v>17258998.467498779</v>
      </c>
      <c r="F7742" s="257" t="s">
        <v>18125</v>
      </c>
      <c r="G7742" s="9">
        <v>1</v>
      </c>
      <c r="H7742" s="257" t="s">
        <v>25746</v>
      </c>
      <c r="I7742" s="9">
        <v>4</v>
      </c>
    </row>
    <row r="7743" spans="1:9">
      <c r="A7743" s="257" t="s">
        <v>8841</v>
      </c>
      <c r="B7743" s="9">
        <v>0</v>
      </c>
      <c r="C7743" s="257" t="s">
        <v>13775</v>
      </c>
      <c r="D7743" s="9">
        <v>2601.8056323425858</v>
      </c>
      <c r="E7743" s="9">
        <v>17258998.467498779</v>
      </c>
      <c r="F7743" s="257" t="s">
        <v>18125</v>
      </c>
      <c r="G7743" s="9">
        <v>1</v>
      </c>
      <c r="H7743" s="257" t="s">
        <v>25747</v>
      </c>
      <c r="I7743" s="9">
        <v>4</v>
      </c>
    </row>
    <row r="7744" spans="1:9">
      <c r="A7744" s="257" t="s">
        <v>8842</v>
      </c>
      <c r="B7744" s="9">
        <v>0</v>
      </c>
      <c r="C7744" s="257" t="s">
        <v>13776</v>
      </c>
      <c r="D7744" s="9">
        <v>17258998.467498779</v>
      </c>
      <c r="E7744" s="9">
        <v>17258998.467498779</v>
      </c>
      <c r="F7744" s="257" t="s">
        <v>18126</v>
      </c>
      <c r="G7744" s="9">
        <v>1</v>
      </c>
      <c r="H7744" s="257" t="s">
        <v>25748</v>
      </c>
      <c r="I7744" s="9">
        <v>4</v>
      </c>
    </row>
    <row r="7745" spans="1:9">
      <c r="A7745" s="257" t="s">
        <v>8843</v>
      </c>
      <c r="B7745" s="9">
        <v>0</v>
      </c>
      <c r="C7745" s="257" t="s">
        <v>13777</v>
      </c>
      <c r="D7745" s="9">
        <v>166394632103.48666</v>
      </c>
      <c r="E7745" s="9">
        <v>17258998.467498779</v>
      </c>
      <c r="F7745" s="257" t="s">
        <v>18126</v>
      </c>
      <c r="G7745" s="9">
        <v>1</v>
      </c>
      <c r="H7745" s="257" t="s">
        <v>25749</v>
      </c>
      <c r="I7745" s="9">
        <v>4</v>
      </c>
    </row>
    <row r="7746" spans="1:9">
      <c r="A7746" s="257" t="s">
        <v>8844</v>
      </c>
      <c r="B7746" s="9">
        <v>0</v>
      </c>
      <c r="C7746" s="257" t="s">
        <v>13778</v>
      </c>
      <c r="D7746" s="9">
        <v>1</v>
      </c>
      <c r="E7746" s="9">
        <v>17258998.467498779</v>
      </c>
      <c r="F7746" s="257" t="s">
        <v>18126</v>
      </c>
      <c r="G7746" s="9">
        <v>1</v>
      </c>
      <c r="H7746" s="257" t="s">
        <v>25750</v>
      </c>
      <c r="I7746" s="9">
        <v>4</v>
      </c>
    </row>
    <row r="7747" spans="1:9">
      <c r="A7747" s="257" t="s">
        <v>8845</v>
      </c>
      <c r="B7747" s="9">
        <v>0</v>
      </c>
      <c r="C7747" s="257" t="s">
        <v>13779</v>
      </c>
      <c r="D7747" s="9">
        <v>9641.0363797663067</v>
      </c>
      <c r="E7747" s="9">
        <v>17258998.467498779</v>
      </c>
      <c r="F7747" s="257" t="s">
        <v>18126</v>
      </c>
      <c r="G7747" s="9">
        <v>1</v>
      </c>
      <c r="H7747" s="257" t="s">
        <v>25751</v>
      </c>
      <c r="I7747" s="9">
        <v>4</v>
      </c>
    </row>
    <row r="7748" spans="1:9">
      <c r="A7748" s="257" t="s">
        <v>8846</v>
      </c>
      <c r="B7748" s="9">
        <v>0</v>
      </c>
      <c r="C7748" s="257" t="s">
        <v>13780</v>
      </c>
      <c r="D7748" s="9">
        <v>17258998.467498779</v>
      </c>
      <c r="E7748" s="9">
        <v>17258998.467498779</v>
      </c>
      <c r="F7748" s="257" t="s">
        <v>18127</v>
      </c>
      <c r="G7748" s="9">
        <v>1</v>
      </c>
      <c r="H7748" s="257" t="s">
        <v>25752</v>
      </c>
      <c r="I7748" s="9">
        <v>4</v>
      </c>
    </row>
    <row r="7749" spans="1:9">
      <c r="A7749" s="257" t="s">
        <v>8847</v>
      </c>
      <c r="B7749" s="9">
        <v>0</v>
      </c>
      <c r="C7749" s="257" t="s">
        <v>13781</v>
      </c>
      <c r="D7749" s="9">
        <v>170491452161.18945</v>
      </c>
      <c r="E7749" s="9">
        <v>17258998.467498779</v>
      </c>
      <c r="F7749" s="257" t="s">
        <v>18127</v>
      </c>
      <c r="G7749" s="9">
        <v>1</v>
      </c>
      <c r="H7749" s="257" t="s">
        <v>25753</v>
      </c>
      <c r="I7749" s="9">
        <v>4</v>
      </c>
    </row>
    <row r="7750" spans="1:9">
      <c r="A7750" s="257" t="s">
        <v>8848</v>
      </c>
      <c r="B7750" s="9">
        <v>0</v>
      </c>
      <c r="C7750" s="257" t="s">
        <v>13782</v>
      </c>
      <c r="D7750" s="9">
        <v>1</v>
      </c>
      <c r="E7750" s="9">
        <v>17258998.467498779</v>
      </c>
      <c r="F7750" s="257" t="s">
        <v>18127</v>
      </c>
      <c r="G7750" s="9">
        <v>1</v>
      </c>
      <c r="H7750" s="257" t="s">
        <v>25754</v>
      </c>
      <c r="I7750" s="9">
        <v>4</v>
      </c>
    </row>
    <row r="7751" spans="1:9">
      <c r="A7751" s="257" t="s">
        <v>8849</v>
      </c>
      <c r="B7751" s="9">
        <v>0</v>
      </c>
      <c r="C7751" s="257" t="s">
        <v>13783</v>
      </c>
      <c r="D7751" s="9">
        <v>9878.4093690169684</v>
      </c>
      <c r="E7751" s="9">
        <v>17258998.467498779</v>
      </c>
      <c r="F7751" s="257" t="s">
        <v>18127</v>
      </c>
      <c r="G7751" s="9">
        <v>1</v>
      </c>
      <c r="H7751" s="257" t="s">
        <v>25755</v>
      </c>
      <c r="I7751" s="9">
        <v>4</v>
      </c>
    </row>
    <row r="7752" spans="1:9">
      <c r="A7752" s="257" t="s">
        <v>8850</v>
      </c>
      <c r="B7752" s="9">
        <v>0</v>
      </c>
      <c r="C7752" s="257" t="s">
        <v>13784</v>
      </c>
      <c r="D7752" s="9">
        <v>10124721.904184341</v>
      </c>
      <c r="E7752" s="9">
        <v>17258998.467498779</v>
      </c>
      <c r="F7752" s="257" t="s">
        <v>18128</v>
      </c>
      <c r="G7752" s="9">
        <v>1</v>
      </c>
      <c r="H7752" s="257" t="s">
        <v>25756</v>
      </c>
      <c r="I7752" s="9">
        <v>4</v>
      </c>
    </row>
    <row r="7753" spans="1:9">
      <c r="A7753" s="257" t="s">
        <v>8851</v>
      </c>
      <c r="B7753" s="9">
        <v>0</v>
      </c>
      <c r="C7753" s="257" t="s">
        <v>13785</v>
      </c>
      <c r="D7753" s="9">
        <v>76681192891.450775</v>
      </c>
      <c r="E7753" s="9">
        <v>17258998.467498779</v>
      </c>
      <c r="F7753" s="257" t="s">
        <v>18128</v>
      </c>
      <c r="G7753" s="9">
        <v>1</v>
      </c>
      <c r="H7753" s="257" t="s">
        <v>25757</v>
      </c>
      <c r="I7753" s="9">
        <v>4</v>
      </c>
    </row>
    <row r="7754" spans="1:9">
      <c r="A7754" s="257" t="s">
        <v>8852</v>
      </c>
      <c r="B7754" s="9">
        <v>0</v>
      </c>
      <c r="C7754" s="257" t="s">
        <v>13786</v>
      </c>
      <c r="D7754" s="9">
        <v>0.58663438224707387</v>
      </c>
      <c r="E7754" s="9">
        <v>17258998.467498779</v>
      </c>
      <c r="F7754" s="257" t="s">
        <v>18128</v>
      </c>
      <c r="G7754" s="9">
        <v>1</v>
      </c>
      <c r="H7754" s="257" t="s">
        <v>25758</v>
      </c>
      <c r="I7754" s="9">
        <v>4</v>
      </c>
    </row>
    <row r="7755" spans="1:9">
      <c r="A7755" s="257" t="s">
        <v>8853</v>
      </c>
      <c r="B7755" s="9">
        <v>0</v>
      </c>
      <c r="C7755" s="257" t="s">
        <v>13787</v>
      </c>
      <c r="D7755" s="9">
        <v>4442.9688684342073</v>
      </c>
      <c r="E7755" s="9">
        <v>17258998.467498779</v>
      </c>
      <c r="F7755" s="257" t="s">
        <v>18128</v>
      </c>
      <c r="G7755" s="9">
        <v>1</v>
      </c>
      <c r="H7755" s="257" t="s">
        <v>25759</v>
      </c>
      <c r="I7755" s="9">
        <v>4</v>
      </c>
    </row>
    <row r="7756" spans="1:9">
      <c r="A7756" s="257" t="s">
        <v>8854</v>
      </c>
      <c r="B7756" s="9">
        <v>0</v>
      </c>
      <c r="C7756" s="257" t="s">
        <v>13788</v>
      </c>
      <c r="D7756" s="9">
        <v>10128246.284524918</v>
      </c>
      <c r="E7756" s="9">
        <v>17258998.467498779</v>
      </c>
      <c r="F7756" s="257" t="s">
        <v>18129</v>
      </c>
      <c r="G7756" s="9">
        <v>1</v>
      </c>
      <c r="H7756" s="257" t="s">
        <v>25760</v>
      </c>
      <c r="I7756" s="9">
        <v>4</v>
      </c>
    </row>
    <row r="7757" spans="1:9">
      <c r="A7757" s="257" t="s">
        <v>8855</v>
      </c>
      <c r="B7757" s="9">
        <v>0</v>
      </c>
      <c r="C7757" s="257" t="s">
        <v>13789</v>
      </c>
      <c r="D7757" s="9">
        <v>80778012949.153549</v>
      </c>
      <c r="E7757" s="9">
        <v>17258998.467498779</v>
      </c>
      <c r="F7757" s="257" t="s">
        <v>18129</v>
      </c>
      <c r="G7757" s="9">
        <v>1</v>
      </c>
      <c r="H7757" s="257" t="s">
        <v>25761</v>
      </c>
      <c r="I7757" s="9">
        <v>4</v>
      </c>
    </row>
    <row r="7758" spans="1:9">
      <c r="A7758" s="257" t="s">
        <v>8856</v>
      </c>
      <c r="B7758" s="9">
        <v>0</v>
      </c>
      <c r="C7758" s="257" t="s">
        <v>13790</v>
      </c>
      <c r="D7758" s="9">
        <v>0.58683858762707974</v>
      </c>
      <c r="E7758" s="9">
        <v>17258998.467498779</v>
      </c>
      <c r="F7758" s="257" t="s">
        <v>18129</v>
      </c>
      <c r="G7758" s="9">
        <v>1</v>
      </c>
      <c r="H7758" s="257" t="s">
        <v>25762</v>
      </c>
      <c r="I7758" s="9">
        <v>4</v>
      </c>
    </row>
    <row r="7759" spans="1:9">
      <c r="A7759" s="257" t="s">
        <v>8857</v>
      </c>
      <c r="B7759" s="9">
        <v>0</v>
      </c>
      <c r="C7759" s="257" t="s">
        <v>13791</v>
      </c>
      <c r="D7759" s="9">
        <v>4680.341857684869</v>
      </c>
      <c r="E7759" s="9">
        <v>17258998.467498779</v>
      </c>
      <c r="F7759" s="257" t="s">
        <v>18129</v>
      </c>
      <c r="G7759" s="9">
        <v>1</v>
      </c>
      <c r="H7759" s="257" t="s">
        <v>25763</v>
      </c>
      <c r="I7759" s="9">
        <v>4</v>
      </c>
    </row>
    <row r="7760" spans="1:9">
      <c r="A7760" s="257" t="s">
        <v>8858</v>
      </c>
      <c r="B7760" s="9">
        <v>0</v>
      </c>
      <c r="C7760" s="257" t="s">
        <v>13792</v>
      </c>
      <c r="D7760" s="9">
        <v>17258998.467498779</v>
      </c>
      <c r="E7760" s="9">
        <v>17258998.467498779</v>
      </c>
      <c r="F7760" s="257" t="s">
        <v>18130</v>
      </c>
      <c r="G7760" s="9">
        <v>1</v>
      </c>
      <c r="H7760" s="257" t="s">
        <v>25764</v>
      </c>
      <c r="I7760" s="9">
        <v>4</v>
      </c>
    </row>
    <row r="7761" spans="1:9">
      <c r="A7761" s="257" t="s">
        <v>8859</v>
      </c>
      <c r="B7761" s="9">
        <v>0</v>
      </c>
      <c r="C7761" s="257" t="s">
        <v>13793</v>
      </c>
      <c r="D7761" s="9">
        <v>44808879790.705528</v>
      </c>
      <c r="E7761" s="9">
        <v>17258998.467498779</v>
      </c>
      <c r="F7761" s="257" t="s">
        <v>18130</v>
      </c>
      <c r="G7761" s="9">
        <v>1</v>
      </c>
      <c r="H7761" s="257" t="s">
        <v>25765</v>
      </c>
      <c r="I7761" s="9">
        <v>4</v>
      </c>
    </row>
    <row r="7762" spans="1:9">
      <c r="A7762" s="257" t="s">
        <v>8860</v>
      </c>
      <c r="B7762" s="9">
        <v>0</v>
      </c>
      <c r="C7762" s="257" t="s">
        <v>13794</v>
      </c>
      <c r="D7762" s="9">
        <v>1</v>
      </c>
      <c r="E7762" s="9">
        <v>17258998.467498779</v>
      </c>
      <c r="F7762" s="257" t="s">
        <v>18130</v>
      </c>
      <c r="G7762" s="9">
        <v>1</v>
      </c>
      <c r="H7762" s="257" t="s">
        <v>25766</v>
      </c>
      <c r="I7762" s="9">
        <v>4</v>
      </c>
    </row>
    <row r="7763" spans="1:9">
      <c r="A7763" s="257" t="s">
        <v>8861</v>
      </c>
      <c r="B7763" s="9">
        <v>0</v>
      </c>
      <c r="C7763" s="257" t="s">
        <v>13795</v>
      </c>
      <c r="D7763" s="9">
        <v>2596.2618789895141</v>
      </c>
      <c r="E7763" s="9">
        <v>17258998.467498779</v>
      </c>
      <c r="F7763" s="257" t="s">
        <v>18130</v>
      </c>
      <c r="G7763" s="9">
        <v>1</v>
      </c>
      <c r="H7763" s="257" t="s">
        <v>25767</v>
      </c>
      <c r="I7763" s="9">
        <v>4</v>
      </c>
    </row>
    <row r="7764" spans="1:9">
      <c r="A7764" s="257" t="s">
        <v>8862</v>
      </c>
      <c r="B7764" s="9">
        <v>0</v>
      </c>
      <c r="C7764" s="257" t="s">
        <v>13796</v>
      </c>
      <c r="D7764" s="9">
        <v>17258998.467498779</v>
      </c>
      <c r="E7764" s="9">
        <v>17258998.467498779</v>
      </c>
      <c r="F7764" s="257" t="s">
        <v>18131</v>
      </c>
      <c r="G7764" s="9">
        <v>1</v>
      </c>
      <c r="H7764" s="257" t="s">
        <v>25768</v>
      </c>
      <c r="I7764" s="9">
        <v>4</v>
      </c>
    </row>
    <row r="7765" spans="1:9">
      <c r="A7765" s="257" t="s">
        <v>8863</v>
      </c>
      <c r="B7765" s="9">
        <v>0</v>
      </c>
      <c r="C7765" s="257" t="s">
        <v>13797</v>
      </c>
      <c r="D7765" s="9">
        <v>81657444546.163101</v>
      </c>
      <c r="E7765" s="9">
        <v>17258998.467498779</v>
      </c>
      <c r="F7765" s="257" t="s">
        <v>18131</v>
      </c>
      <c r="G7765" s="9">
        <v>1</v>
      </c>
      <c r="H7765" s="257" t="s">
        <v>25769</v>
      </c>
      <c r="I7765" s="9">
        <v>4</v>
      </c>
    </row>
    <row r="7766" spans="1:9">
      <c r="A7766" s="257" t="s">
        <v>8864</v>
      </c>
      <c r="B7766" s="9">
        <v>0</v>
      </c>
      <c r="C7766" s="257" t="s">
        <v>13798</v>
      </c>
      <c r="D7766" s="9">
        <v>1</v>
      </c>
      <c r="E7766" s="9">
        <v>17258998.467498779</v>
      </c>
      <c r="F7766" s="257" t="s">
        <v>18131</v>
      </c>
      <c r="G7766" s="9">
        <v>1</v>
      </c>
      <c r="H7766" s="257" t="s">
        <v>25770</v>
      </c>
      <c r="I7766" s="9">
        <v>4</v>
      </c>
    </row>
    <row r="7767" spans="1:9">
      <c r="A7767" s="257" t="s">
        <v>8865</v>
      </c>
      <c r="B7767" s="9">
        <v>0</v>
      </c>
      <c r="C7767" s="257" t="s">
        <v>13799</v>
      </c>
      <c r="D7767" s="9">
        <v>4731.2968188702271</v>
      </c>
      <c r="E7767" s="9">
        <v>17258998.467498779</v>
      </c>
      <c r="F7767" s="257" t="s">
        <v>18131</v>
      </c>
      <c r="G7767" s="9">
        <v>1</v>
      </c>
      <c r="H7767" s="257" t="s">
        <v>25771</v>
      </c>
      <c r="I7767" s="9">
        <v>4</v>
      </c>
    </row>
    <row r="7768" spans="1:9">
      <c r="A7768" s="257" t="s">
        <v>8866</v>
      </c>
      <c r="B7768" s="9">
        <v>0</v>
      </c>
      <c r="C7768" s="257" t="s">
        <v>13800</v>
      </c>
      <c r="D7768" s="9">
        <v>10216884.449541092</v>
      </c>
      <c r="E7768" s="9">
        <v>17258998.467498779</v>
      </c>
      <c r="F7768" s="257" t="s">
        <v>18132</v>
      </c>
      <c r="G7768" s="9">
        <v>1</v>
      </c>
      <c r="H7768" s="257" t="s">
        <v>25772</v>
      </c>
      <c r="I7768" s="9">
        <v>4</v>
      </c>
    </row>
    <row r="7769" spans="1:9">
      <c r="A7769" s="257" t="s">
        <v>8867</v>
      </c>
      <c r="B7769" s="9">
        <v>0</v>
      </c>
      <c r="C7769" s="257" t="s">
        <v>13801</v>
      </c>
      <c r="D7769" s="9">
        <v>99044384033.628326</v>
      </c>
      <c r="E7769" s="9">
        <v>17258998.467498779</v>
      </c>
      <c r="F7769" s="257" t="s">
        <v>18132</v>
      </c>
      <c r="G7769" s="9">
        <v>1</v>
      </c>
      <c r="H7769" s="257" t="s">
        <v>25773</v>
      </c>
      <c r="I7769" s="9">
        <v>4</v>
      </c>
    </row>
    <row r="7770" spans="1:9">
      <c r="A7770" s="257" t="s">
        <v>8868</v>
      </c>
      <c r="B7770" s="9">
        <v>0</v>
      </c>
      <c r="C7770" s="257" t="s">
        <v>13802</v>
      </c>
      <c r="D7770" s="9">
        <v>0.5919743529023993</v>
      </c>
      <c r="E7770" s="9">
        <v>17258998.467498779</v>
      </c>
      <c r="F7770" s="257" t="s">
        <v>18132</v>
      </c>
      <c r="G7770" s="9">
        <v>1</v>
      </c>
      <c r="H7770" s="257" t="s">
        <v>25774</v>
      </c>
      <c r="I7770" s="9">
        <v>4</v>
      </c>
    </row>
    <row r="7771" spans="1:9">
      <c r="A7771" s="257" t="s">
        <v>8869</v>
      </c>
      <c r="B7771" s="9">
        <v>0</v>
      </c>
      <c r="C7771" s="257" t="s">
        <v>13803</v>
      </c>
      <c r="D7771" s="9">
        <v>5738.7098225973778</v>
      </c>
      <c r="E7771" s="9">
        <v>17258998.467498779</v>
      </c>
      <c r="F7771" s="257" t="s">
        <v>18132</v>
      </c>
      <c r="G7771" s="9">
        <v>1</v>
      </c>
      <c r="H7771" s="257" t="s">
        <v>25775</v>
      </c>
      <c r="I7771" s="9">
        <v>4</v>
      </c>
    </row>
    <row r="7772" spans="1:9">
      <c r="A7772" s="257" t="s">
        <v>8870</v>
      </c>
      <c r="B7772" s="9">
        <v>0</v>
      </c>
      <c r="C7772" s="257" t="s">
        <v>13804</v>
      </c>
      <c r="D7772" s="9">
        <v>0</v>
      </c>
      <c r="E7772" s="9">
        <v>17258998.467498779</v>
      </c>
      <c r="F7772" s="257" t="s">
        <v>18133</v>
      </c>
      <c r="G7772" s="9">
        <v>1</v>
      </c>
      <c r="H7772" s="257" t="s">
        <v>25776</v>
      </c>
      <c r="I7772" s="9">
        <v>4</v>
      </c>
    </row>
    <row r="7773" spans="1:9">
      <c r="A7773" s="257" t="s">
        <v>8871</v>
      </c>
      <c r="B7773" s="9">
        <v>0</v>
      </c>
      <c r="C7773" s="257" t="s">
        <v>13805</v>
      </c>
      <c r="D7773" s="9">
        <v>-10210376418.601971</v>
      </c>
      <c r="E7773" s="9">
        <v>17258998.467498779</v>
      </c>
      <c r="F7773" s="257" t="s">
        <v>18133</v>
      </c>
      <c r="G7773" s="9">
        <v>1</v>
      </c>
      <c r="H7773" s="257" t="s">
        <v>25777</v>
      </c>
      <c r="I7773" s="9">
        <v>4</v>
      </c>
    </row>
    <row r="7774" spans="1:9">
      <c r="A7774" s="257" t="s">
        <v>8872</v>
      </c>
      <c r="B7774" s="9">
        <v>0</v>
      </c>
      <c r="C7774" s="257" t="s">
        <v>13806</v>
      </c>
      <c r="D7774" s="9">
        <v>0</v>
      </c>
      <c r="E7774" s="9">
        <v>17258998.467498779</v>
      </c>
      <c r="F7774" s="257" t="s">
        <v>18133</v>
      </c>
      <c r="G7774" s="9">
        <v>1</v>
      </c>
      <c r="H7774" s="257" t="s">
        <v>25778</v>
      </c>
      <c r="I7774" s="9">
        <v>4</v>
      </c>
    </row>
    <row r="7775" spans="1:9">
      <c r="A7775" s="257" t="s">
        <v>8873</v>
      </c>
      <c r="B7775" s="9">
        <v>0</v>
      </c>
      <c r="C7775" s="257" t="s">
        <v>13807</v>
      </c>
      <c r="D7775" s="9">
        <v>-591.59727245063516</v>
      </c>
      <c r="E7775" s="9">
        <v>17258998.467498779</v>
      </c>
      <c r="F7775" s="257" t="s">
        <v>18133</v>
      </c>
      <c r="G7775" s="9">
        <v>1</v>
      </c>
      <c r="H7775" s="257" t="s">
        <v>25779</v>
      </c>
      <c r="I7775" s="9">
        <v>4</v>
      </c>
    </row>
    <row r="7776" spans="1:9">
      <c r="A7776" s="257" t="s">
        <v>8874</v>
      </c>
      <c r="B7776" s="9">
        <v>0</v>
      </c>
      <c r="C7776" s="257" t="s">
        <v>13808</v>
      </c>
      <c r="D7776" s="9">
        <v>10153888.854654312</v>
      </c>
      <c r="E7776" s="9">
        <v>17258998.467498779</v>
      </c>
      <c r="F7776" s="257" t="s">
        <v>18134</v>
      </c>
      <c r="G7776" s="9">
        <v>1</v>
      </c>
      <c r="H7776" s="257" t="s">
        <v>25780</v>
      </c>
      <c r="I7776" s="9">
        <v>4</v>
      </c>
    </row>
    <row r="7777" spans="1:9">
      <c r="A7777" s="257" t="s">
        <v>8875</v>
      </c>
      <c r="B7777" s="9">
        <v>0</v>
      </c>
      <c r="C7777" s="257" t="s">
        <v>13809</v>
      </c>
      <c r="D7777" s="9">
        <v>88834007615.026352</v>
      </c>
      <c r="E7777" s="9">
        <v>17258998.467498779</v>
      </c>
      <c r="F7777" s="257" t="s">
        <v>18134</v>
      </c>
      <c r="G7777" s="9">
        <v>1</v>
      </c>
      <c r="H7777" s="257" t="s">
        <v>25781</v>
      </c>
      <c r="I7777" s="9">
        <v>4</v>
      </c>
    </row>
    <row r="7778" spans="1:9">
      <c r="A7778" s="257" t="s">
        <v>8876</v>
      </c>
      <c r="B7778" s="9">
        <v>0</v>
      </c>
      <c r="C7778" s="257" t="s">
        <v>13810</v>
      </c>
      <c r="D7778" s="9">
        <v>0.5883243383893666</v>
      </c>
      <c r="E7778" s="9">
        <v>17258998.467498779</v>
      </c>
      <c r="F7778" s="257" t="s">
        <v>18134</v>
      </c>
      <c r="G7778" s="9">
        <v>1</v>
      </c>
      <c r="H7778" s="257" t="s">
        <v>25782</v>
      </c>
      <c r="I7778" s="9">
        <v>4</v>
      </c>
    </row>
    <row r="7779" spans="1:9">
      <c r="A7779" s="257" t="s">
        <v>8877</v>
      </c>
      <c r="B7779" s="9">
        <v>0</v>
      </c>
      <c r="C7779" s="257" t="s">
        <v>13811</v>
      </c>
      <c r="D7779" s="9">
        <v>5147.1125501467423</v>
      </c>
      <c r="E7779" s="9">
        <v>17258998.467498779</v>
      </c>
      <c r="F7779" s="257" t="s">
        <v>18134</v>
      </c>
      <c r="G7779" s="9">
        <v>1</v>
      </c>
      <c r="H7779" s="257" t="s">
        <v>25783</v>
      </c>
      <c r="I7779" s="9">
        <v>4</v>
      </c>
    </row>
    <row r="7780" spans="1:9">
      <c r="A7780" s="257" t="s">
        <v>8878</v>
      </c>
      <c r="B7780" s="9">
        <v>0</v>
      </c>
      <c r="C7780" s="257" t="s">
        <v>13812</v>
      </c>
      <c r="D7780" s="9">
        <v>2495184.5025596619</v>
      </c>
      <c r="E7780" s="9">
        <v>17258998.467498779</v>
      </c>
      <c r="F7780" s="257" t="s">
        <v>18135</v>
      </c>
      <c r="G7780" s="9">
        <v>1</v>
      </c>
      <c r="H7780" s="257" t="s">
        <v>25784</v>
      </c>
      <c r="I7780" s="9">
        <v>4</v>
      </c>
    </row>
    <row r="7781" spans="1:9">
      <c r="A7781" s="257" t="s">
        <v>8879</v>
      </c>
      <c r="B7781" s="9">
        <v>0</v>
      </c>
      <c r="C7781" s="257" t="s">
        <v>13813</v>
      </c>
      <c r="D7781" s="9">
        <v>8055994665.8728046</v>
      </c>
      <c r="E7781" s="9">
        <v>17258998.467498779</v>
      </c>
      <c r="F7781" s="257" t="s">
        <v>18135</v>
      </c>
      <c r="G7781" s="9">
        <v>1</v>
      </c>
      <c r="H7781" s="257" t="s">
        <v>25785</v>
      </c>
      <c r="I7781" s="9">
        <v>4</v>
      </c>
    </row>
    <row r="7782" spans="1:9">
      <c r="A7782" s="257" t="s">
        <v>8880</v>
      </c>
      <c r="B7782" s="9">
        <v>0</v>
      </c>
      <c r="C7782" s="257" t="s">
        <v>13814</v>
      </c>
      <c r="D7782" s="9">
        <v>0.14457296043327542</v>
      </c>
      <c r="E7782" s="9">
        <v>17258998.467498779</v>
      </c>
      <c r="F7782" s="257" t="s">
        <v>18135</v>
      </c>
      <c r="G7782" s="9">
        <v>1</v>
      </c>
      <c r="H7782" s="257" t="s">
        <v>25786</v>
      </c>
      <c r="I7782" s="9">
        <v>4</v>
      </c>
    </row>
    <row r="7783" spans="1:9">
      <c r="A7783" s="257" t="s">
        <v>8881</v>
      </c>
      <c r="B7783" s="9">
        <v>0</v>
      </c>
      <c r="C7783" s="257" t="s">
        <v>13815</v>
      </c>
      <c r="D7783" s="9">
        <v>466.77069246187267</v>
      </c>
      <c r="E7783" s="9">
        <v>17258998.467498779</v>
      </c>
      <c r="F7783" s="257" t="s">
        <v>18135</v>
      </c>
      <c r="G7783" s="9">
        <v>1</v>
      </c>
      <c r="H7783" s="257" t="s">
        <v>25787</v>
      </c>
      <c r="I7783" s="9">
        <v>4</v>
      </c>
    </row>
    <row r="7784" spans="1:9">
      <c r="A7784" s="257" t="s">
        <v>8882</v>
      </c>
      <c r="B7784" s="9">
        <v>0</v>
      </c>
      <c r="C7784" s="257" t="s">
        <v>13816</v>
      </c>
      <c r="D7784" s="9">
        <v>9358875.1424636841</v>
      </c>
      <c r="E7784" s="9">
        <v>17258998.467498779</v>
      </c>
      <c r="F7784" s="257" t="s">
        <v>18136</v>
      </c>
      <c r="G7784" s="9">
        <v>1</v>
      </c>
      <c r="H7784" s="257" t="s">
        <v>25788</v>
      </c>
      <c r="I7784" s="9">
        <v>4</v>
      </c>
    </row>
    <row r="7785" spans="1:9">
      <c r="A7785" s="257" t="s">
        <v>8883</v>
      </c>
      <c r="B7785" s="9">
        <v>0</v>
      </c>
      <c r="C7785" s="257" t="s">
        <v>13817</v>
      </c>
      <c r="D7785" s="9">
        <v>36848564755.457573</v>
      </c>
      <c r="E7785" s="9">
        <v>17258998.467498779</v>
      </c>
      <c r="F7785" s="257" t="s">
        <v>18136</v>
      </c>
      <c r="G7785" s="9">
        <v>1</v>
      </c>
      <c r="H7785" s="257" t="s">
        <v>25789</v>
      </c>
      <c r="I7785" s="9">
        <v>4</v>
      </c>
    </row>
    <row r="7786" spans="1:9">
      <c r="A7786" s="257" t="s">
        <v>8884</v>
      </c>
      <c r="B7786" s="9">
        <v>0</v>
      </c>
      <c r="C7786" s="257" t="s">
        <v>13818</v>
      </c>
      <c r="D7786" s="9">
        <v>0.54226061611210041</v>
      </c>
      <c r="E7786" s="9">
        <v>17258998.467498779</v>
      </c>
      <c r="F7786" s="257" t="s">
        <v>18136</v>
      </c>
      <c r="G7786" s="9">
        <v>1</v>
      </c>
      <c r="H7786" s="257" t="s">
        <v>25790</v>
      </c>
      <c r="I7786" s="9">
        <v>4</v>
      </c>
    </row>
    <row r="7787" spans="1:9">
      <c r="A7787" s="257" t="s">
        <v>8885</v>
      </c>
      <c r="B7787" s="9">
        <v>0</v>
      </c>
      <c r="C7787" s="257" t="s">
        <v>13819</v>
      </c>
      <c r="D7787" s="9">
        <v>2135.034939880713</v>
      </c>
      <c r="E7787" s="9">
        <v>17258998.467498779</v>
      </c>
      <c r="F7787" s="257" t="s">
        <v>18136</v>
      </c>
      <c r="G7787" s="9">
        <v>1</v>
      </c>
      <c r="H7787" s="257" t="s">
        <v>25791</v>
      </c>
      <c r="I7787" s="9">
        <v>4</v>
      </c>
    </row>
    <row r="7788" spans="1:9">
      <c r="A7788" s="257" t="s">
        <v>8886</v>
      </c>
      <c r="B7788" s="9">
        <v>0</v>
      </c>
      <c r="C7788" s="257" t="s">
        <v>13820</v>
      </c>
      <c r="D7788" s="9">
        <v>5157260.2930984497</v>
      </c>
      <c r="E7788" s="9">
        <v>17258998.467498779</v>
      </c>
      <c r="F7788" s="257" t="s">
        <v>18137</v>
      </c>
      <c r="G7788" s="9">
        <v>1</v>
      </c>
      <c r="H7788" s="257" t="s">
        <v>25792</v>
      </c>
      <c r="I7788" s="9">
        <v>4</v>
      </c>
    </row>
    <row r="7789" spans="1:9">
      <c r="A7789" s="257" t="s">
        <v>8887</v>
      </c>
      <c r="B7789" s="9">
        <v>0</v>
      </c>
      <c r="C7789" s="257" t="s">
        <v>13821</v>
      </c>
      <c r="D7789" s="9">
        <v>25957428532.35796</v>
      </c>
      <c r="E7789" s="9">
        <v>17258998.467498779</v>
      </c>
      <c r="F7789" s="257" t="s">
        <v>18137</v>
      </c>
      <c r="G7789" s="9">
        <v>1</v>
      </c>
      <c r="H7789" s="257" t="s">
        <v>25793</v>
      </c>
      <c r="I7789" s="9">
        <v>4</v>
      </c>
    </row>
    <row r="7790" spans="1:9">
      <c r="A7790" s="257" t="s">
        <v>8888</v>
      </c>
      <c r="B7790" s="9">
        <v>0</v>
      </c>
      <c r="C7790" s="257" t="s">
        <v>13822</v>
      </c>
      <c r="D7790" s="9">
        <v>0.29881573387994242</v>
      </c>
      <c r="E7790" s="9">
        <v>17258998.467498779</v>
      </c>
      <c r="F7790" s="257" t="s">
        <v>18137</v>
      </c>
      <c r="G7790" s="9">
        <v>1</v>
      </c>
      <c r="H7790" s="257" t="s">
        <v>25794</v>
      </c>
      <c r="I7790" s="9">
        <v>4</v>
      </c>
    </row>
    <row r="7791" spans="1:9">
      <c r="A7791" s="257" t="s">
        <v>8889</v>
      </c>
      <c r="B7791" s="9">
        <v>0</v>
      </c>
      <c r="C7791" s="257" t="s">
        <v>13823</v>
      </c>
      <c r="D7791" s="9">
        <v>1503.9939067866305</v>
      </c>
      <c r="E7791" s="9">
        <v>17258998.467498779</v>
      </c>
      <c r="F7791" s="257" t="s">
        <v>18137</v>
      </c>
      <c r="G7791" s="9">
        <v>1</v>
      </c>
      <c r="H7791" s="257" t="s">
        <v>25795</v>
      </c>
      <c r="I7791" s="9">
        <v>4</v>
      </c>
    </row>
    <row r="7792" spans="1:9">
      <c r="A7792" s="257" t="s">
        <v>8890</v>
      </c>
      <c r="B7792" s="9">
        <v>0</v>
      </c>
      <c r="C7792" s="257" t="s">
        <v>13824</v>
      </c>
      <c r="D7792" s="9">
        <v>0.37892769999999998</v>
      </c>
      <c r="E7792" s="9">
        <v>17258998.467498779</v>
      </c>
      <c r="F7792" s="257" t="s">
        <v>18138</v>
      </c>
      <c r="G7792" s="9">
        <v>1</v>
      </c>
      <c r="H7792" s="257" t="s">
        <v>25796</v>
      </c>
      <c r="I7792" s="9">
        <v>4</v>
      </c>
    </row>
    <row r="7793" spans="1:9">
      <c r="A7793" s="257" t="s">
        <v>8891</v>
      </c>
      <c r="B7793" s="9">
        <v>0</v>
      </c>
      <c r="C7793" s="257" t="s">
        <v>13825</v>
      </c>
      <c r="D7793" s="9">
        <v>0.25951669999999999</v>
      </c>
      <c r="E7793" s="9">
        <v>17258998.467498779</v>
      </c>
      <c r="F7793" s="257" t="s">
        <v>18138</v>
      </c>
      <c r="G7793" s="9">
        <v>1</v>
      </c>
      <c r="H7793" s="257" t="s">
        <v>25797</v>
      </c>
      <c r="I7793" s="9">
        <v>4</v>
      </c>
    </row>
    <row r="7794" spans="1:9">
      <c r="A7794" s="257" t="s">
        <v>8892</v>
      </c>
      <c r="B7794" s="9">
        <v>0</v>
      </c>
      <c r="C7794" s="257" t="s">
        <v>13826</v>
      </c>
      <c r="D7794" s="9">
        <v>0.3772932</v>
      </c>
      <c r="E7794" s="9">
        <v>17258998.467498779</v>
      </c>
      <c r="F7794" s="257" t="s">
        <v>18139</v>
      </c>
      <c r="G7794" s="9">
        <v>1</v>
      </c>
      <c r="H7794" s="257" t="s">
        <v>25798</v>
      </c>
      <c r="I7794" s="9">
        <v>4</v>
      </c>
    </row>
    <row r="7795" spans="1:9">
      <c r="A7795" s="257" t="s">
        <v>8893</v>
      </c>
      <c r="B7795" s="9">
        <v>0</v>
      </c>
      <c r="C7795" s="257" t="s">
        <v>13827</v>
      </c>
      <c r="D7795" s="9">
        <v>0.2575482</v>
      </c>
      <c r="E7795" s="9">
        <v>17258998.467498779</v>
      </c>
      <c r="F7795" s="257" t="s">
        <v>18139</v>
      </c>
      <c r="G7795" s="9">
        <v>1</v>
      </c>
      <c r="H7795" s="257" t="s">
        <v>25799</v>
      </c>
      <c r="I7795" s="9">
        <v>4</v>
      </c>
    </row>
    <row r="7796" spans="1:9">
      <c r="A7796" s="257" t="s">
        <v>8894</v>
      </c>
      <c r="B7796" s="9">
        <v>0</v>
      </c>
      <c r="C7796" s="257" t="s">
        <v>13828</v>
      </c>
      <c r="D7796" s="9">
        <v>0.38060186690383974</v>
      </c>
      <c r="E7796" s="9">
        <v>17258998.467498779</v>
      </c>
      <c r="F7796" s="257" t="s">
        <v>18139</v>
      </c>
      <c r="G7796" s="9">
        <v>1</v>
      </c>
      <c r="H7796" s="257" t="s">
        <v>25800</v>
      </c>
      <c r="I7796" s="9">
        <v>4</v>
      </c>
    </row>
    <row r="7797" spans="1:9">
      <c r="A7797" s="257" t="s">
        <v>8895</v>
      </c>
      <c r="B7797" s="9">
        <v>0</v>
      </c>
      <c r="C7797" s="257" t="s">
        <v>13829</v>
      </c>
      <c r="D7797" s="9">
        <v>0.11187571967694834</v>
      </c>
      <c r="E7797" s="9">
        <v>17258998.467498779</v>
      </c>
      <c r="F7797" s="257" t="s">
        <v>18139</v>
      </c>
      <c r="G7797" s="9">
        <v>1</v>
      </c>
      <c r="H7797" s="257" t="s">
        <v>25800</v>
      </c>
      <c r="I7797" s="9">
        <v>4</v>
      </c>
    </row>
    <row r="7798" spans="1:9">
      <c r="A7798" s="257" t="s">
        <v>8896</v>
      </c>
      <c r="B7798" s="9">
        <v>0</v>
      </c>
      <c r="C7798" s="257" t="s">
        <v>13830</v>
      </c>
      <c r="D7798" s="9">
        <v>4.589769174208836E-2</v>
      </c>
      <c r="E7798" s="9">
        <v>17258998.467498779</v>
      </c>
      <c r="F7798" s="257" t="s">
        <v>18139</v>
      </c>
      <c r="G7798" s="9">
        <v>1</v>
      </c>
      <c r="H7798" s="257" t="s">
        <v>25800</v>
      </c>
      <c r="I7798" s="9">
        <v>4</v>
      </c>
    </row>
    <row r="7799" spans="1:9">
      <c r="A7799" s="257" t="s">
        <v>8897</v>
      </c>
      <c r="B7799" s="9">
        <v>0</v>
      </c>
      <c r="C7799" s="257" t="s">
        <v>13831</v>
      </c>
      <c r="D7799" s="9">
        <v>0.37892769999999998</v>
      </c>
      <c r="E7799" s="9">
        <v>17258998.467498779</v>
      </c>
      <c r="F7799" s="257" t="s">
        <v>18140</v>
      </c>
      <c r="G7799" s="9">
        <v>1</v>
      </c>
      <c r="H7799" s="257" t="s">
        <v>25801</v>
      </c>
      <c r="I7799" s="9">
        <v>4</v>
      </c>
    </row>
    <row r="7800" spans="1:9">
      <c r="A7800" s="257" t="s">
        <v>8898</v>
      </c>
      <c r="B7800" s="9">
        <v>0</v>
      </c>
      <c r="C7800" s="257" t="s">
        <v>13832</v>
      </c>
      <c r="D7800" s="9">
        <v>0.25951669999999999</v>
      </c>
      <c r="E7800" s="9">
        <v>17258998.467498779</v>
      </c>
      <c r="F7800" s="257" t="s">
        <v>18140</v>
      </c>
      <c r="G7800" s="9">
        <v>1</v>
      </c>
      <c r="H7800" s="257" t="s">
        <v>25802</v>
      </c>
      <c r="I7800" s="9">
        <v>4</v>
      </c>
    </row>
    <row r="7801" spans="1:9">
      <c r="A7801" s="257" t="s">
        <v>8899</v>
      </c>
      <c r="B7801" s="9">
        <v>0</v>
      </c>
      <c r="C7801" s="257" t="s">
        <v>13833</v>
      </c>
      <c r="D7801" s="9">
        <v>0.38517863561477284</v>
      </c>
      <c r="E7801" s="9">
        <v>17258998.467498779</v>
      </c>
      <c r="F7801" s="257" t="s">
        <v>18140</v>
      </c>
      <c r="G7801" s="9">
        <v>1</v>
      </c>
      <c r="H7801" s="257" t="s">
        <v>25803</v>
      </c>
      <c r="I7801" s="9">
        <v>4</v>
      </c>
    </row>
    <row r="7802" spans="1:9">
      <c r="A7802" s="257" t="s">
        <v>8900</v>
      </c>
      <c r="B7802" s="9">
        <v>0</v>
      </c>
      <c r="C7802" s="257" t="s">
        <v>13834</v>
      </c>
      <c r="D7802" s="9">
        <v>0.1142376654385979</v>
      </c>
      <c r="E7802" s="9">
        <v>17258998.467498779</v>
      </c>
      <c r="F7802" s="257" t="s">
        <v>18140</v>
      </c>
      <c r="G7802" s="9">
        <v>1</v>
      </c>
      <c r="H7802" s="257" t="s">
        <v>25803</v>
      </c>
      <c r="I7802" s="9">
        <v>4</v>
      </c>
    </row>
    <row r="7803" spans="1:9">
      <c r="A7803" s="257" t="s">
        <v>8901</v>
      </c>
      <c r="B7803" s="9">
        <v>0</v>
      </c>
      <c r="C7803" s="257" t="s">
        <v>13835</v>
      </c>
      <c r="D7803" s="9">
        <v>4.7356928719404057E-2</v>
      </c>
      <c r="E7803" s="9">
        <v>17258998.467498779</v>
      </c>
      <c r="F7803" s="257" t="s">
        <v>18140</v>
      </c>
      <c r="G7803" s="9">
        <v>1</v>
      </c>
      <c r="H7803" s="257" t="s">
        <v>25803</v>
      </c>
      <c r="I7803" s="9">
        <v>4</v>
      </c>
    </row>
    <row r="7804" spans="1:9">
      <c r="A7804" s="257" t="s">
        <v>8902</v>
      </c>
      <c r="B7804" s="9">
        <v>0</v>
      </c>
      <c r="C7804" s="257" t="s">
        <v>13836</v>
      </c>
      <c r="D7804" s="9">
        <v>0.37896819999999998</v>
      </c>
      <c r="E7804" s="9">
        <v>17258998.467498779</v>
      </c>
      <c r="F7804" s="257" t="s">
        <v>18141</v>
      </c>
      <c r="G7804" s="9">
        <v>1</v>
      </c>
      <c r="H7804" s="257" t="s">
        <v>25804</v>
      </c>
      <c r="I7804" s="9">
        <v>4</v>
      </c>
    </row>
    <row r="7805" spans="1:9">
      <c r="A7805" s="257" t="s">
        <v>8903</v>
      </c>
      <c r="B7805" s="9">
        <v>0</v>
      </c>
      <c r="C7805" s="257" t="s">
        <v>13837</v>
      </c>
      <c r="D7805" s="9">
        <v>0.25955689999999998</v>
      </c>
      <c r="E7805" s="9">
        <v>17258998.467498779</v>
      </c>
      <c r="F7805" s="257" t="s">
        <v>18141</v>
      </c>
      <c r="G7805" s="9">
        <v>1</v>
      </c>
      <c r="H7805" s="257" t="s">
        <v>25805</v>
      </c>
      <c r="I7805" s="9">
        <v>4</v>
      </c>
    </row>
    <row r="7806" spans="1:9">
      <c r="A7806" s="257" t="s">
        <v>8904</v>
      </c>
      <c r="B7806" s="9">
        <v>0</v>
      </c>
      <c r="C7806" s="257" t="s">
        <v>13838</v>
      </c>
      <c r="D7806" s="9">
        <v>0.38513102945471078</v>
      </c>
      <c r="E7806" s="9">
        <v>17258998.467498779</v>
      </c>
      <c r="F7806" s="257" t="s">
        <v>18141</v>
      </c>
      <c r="G7806" s="9">
        <v>1</v>
      </c>
      <c r="H7806" s="257" t="s">
        <v>25806</v>
      </c>
      <c r="I7806" s="9">
        <v>4</v>
      </c>
    </row>
    <row r="7807" spans="1:9">
      <c r="A7807" s="257" t="s">
        <v>8905</v>
      </c>
      <c r="B7807" s="9">
        <v>0</v>
      </c>
      <c r="C7807" s="257" t="s">
        <v>13839</v>
      </c>
      <c r="D7807" s="9">
        <v>0.11417839518908754</v>
      </c>
      <c r="E7807" s="9">
        <v>17258998.467498779</v>
      </c>
      <c r="F7807" s="257" t="s">
        <v>18141</v>
      </c>
      <c r="G7807" s="9">
        <v>1</v>
      </c>
      <c r="H7807" s="257" t="s">
        <v>25806</v>
      </c>
      <c r="I7807" s="9">
        <v>4</v>
      </c>
    </row>
    <row r="7808" spans="1:9">
      <c r="A7808" s="257" t="s">
        <v>8906</v>
      </c>
      <c r="B7808" s="9">
        <v>0</v>
      </c>
      <c r="C7808" s="257" t="s">
        <v>13840</v>
      </c>
      <c r="D7808" s="9">
        <v>4.7332724520063943E-2</v>
      </c>
      <c r="E7808" s="9">
        <v>17258998.467498779</v>
      </c>
      <c r="F7808" s="257" t="s">
        <v>18141</v>
      </c>
      <c r="G7808" s="9">
        <v>1</v>
      </c>
      <c r="H7808" s="257" t="s">
        <v>25806</v>
      </c>
      <c r="I7808" s="9">
        <v>4</v>
      </c>
    </row>
    <row r="7809" spans="1:9">
      <c r="A7809" s="257" t="s">
        <v>8907</v>
      </c>
      <c r="B7809" s="9">
        <v>0</v>
      </c>
      <c r="C7809" s="257" t="s">
        <v>13841</v>
      </c>
      <c r="D7809" s="9">
        <v>0.37895770000000001</v>
      </c>
      <c r="E7809" s="9">
        <v>17258998.467498779</v>
      </c>
      <c r="F7809" s="257" t="s">
        <v>18142</v>
      </c>
      <c r="G7809" s="9">
        <v>1</v>
      </c>
      <c r="H7809" s="257" t="s">
        <v>25807</v>
      </c>
      <c r="I7809" s="9">
        <v>4</v>
      </c>
    </row>
    <row r="7810" spans="1:9">
      <c r="A7810" s="257" t="s">
        <v>8908</v>
      </c>
      <c r="B7810" s="9">
        <v>0</v>
      </c>
      <c r="C7810" s="257" t="s">
        <v>13842</v>
      </c>
      <c r="D7810" s="9">
        <v>0.25954660000000002</v>
      </c>
      <c r="E7810" s="9">
        <v>17258998.467498779</v>
      </c>
      <c r="F7810" s="257" t="s">
        <v>18142</v>
      </c>
      <c r="G7810" s="9">
        <v>1</v>
      </c>
      <c r="H7810" s="257" t="s">
        <v>25808</v>
      </c>
      <c r="I7810" s="9">
        <v>4</v>
      </c>
    </row>
    <row r="7811" spans="1:9">
      <c r="A7811" s="257" t="s">
        <v>8909</v>
      </c>
      <c r="B7811" s="9">
        <v>0</v>
      </c>
      <c r="C7811" s="257" t="s">
        <v>13843</v>
      </c>
      <c r="D7811" s="9">
        <v>0.38517863561477284</v>
      </c>
      <c r="E7811" s="9">
        <v>17258998.467498779</v>
      </c>
      <c r="F7811" s="257" t="s">
        <v>18142</v>
      </c>
      <c r="G7811" s="9">
        <v>1</v>
      </c>
      <c r="H7811" s="257" t="s">
        <v>25809</v>
      </c>
      <c r="I7811" s="9">
        <v>4</v>
      </c>
    </row>
    <row r="7812" spans="1:9">
      <c r="A7812" s="257" t="s">
        <v>8910</v>
      </c>
      <c r="B7812" s="9">
        <v>0</v>
      </c>
      <c r="C7812" s="257" t="s">
        <v>13844</v>
      </c>
      <c r="D7812" s="9">
        <v>0.11421905004792178</v>
      </c>
      <c r="E7812" s="9">
        <v>17258998.467498779</v>
      </c>
      <c r="F7812" s="257" t="s">
        <v>18142</v>
      </c>
      <c r="G7812" s="9">
        <v>1</v>
      </c>
      <c r="H7812" s="257" t="s">
        <v>25809</v>
      </c>
      <c r="I7812" s="9">
        <v>4</v>
      </c>
    </row>
    <row r="7813" spans="1:9">
      <c r="A7813" s="257" t="s">
        <v>8911</v>
      </c>
      <c r="B7813" s="9">
        <v>0</v>
      </c>
      <c r="C7813" s="257" t="s">
        <v>13845</v>
      </c>
      <c r="D7813" s="9">
        <v>4.7350491704061609E-2</v>
      </c>
      <c r="E7813" s="9">
        <v>17258998.467498779</v>
      </c>
      <c r="F7813" s="257" t="s">
        <v>18142</v>
      </c>
      <c r="G7813" s="9">
        <v>1</v>
      </c>
      <c r="H7813" s="257" t="s">
        <v>25809</v>
      </c>
      <c r="I7813" s="9">
        <v>4</v>
      </c>
    </row>
    <row r="7814" spans="1:9">
      <c r="A7814" s="257" t="s">
        <v>8912</v>
      </c>
      <c r="B7814" s="9">
        <v>0</v>
      </c>
      <c r="C7814" s="257" t="s">
        <v>13846</v>
      </c>
      <c r="D7814" s="9">
        <v>0.37782880000000002</v>
      </c>
      <c r="E7814" s="9">
        <v>17258998.467498779</v>
      </c>
      <c r="F7814" s="257" t="s">
        <v>18143</v>
      </c>
      <c r="G7814" s="9">
        <v>1</v>
      </c>
      <c r="H7814" s="257" t="s">
        <v>25810</v>
      </c>
      <c r="I7814" s="9">
        <v>4</v>
      </c>
    </row>
    <row r="7815" spans="1:9">
      <c r="A7815" s="257" t="s">
        <v>8913</v>
      </c>
      <c r="B7815" s="9">
        <v>0</v>
      </c>
      <c r="C7815" s="257" t="s">
        <v>13847</v>
      </c>
      <c r="D7815" s="9">
        <v>0.2581968</v>
      </c>
      <c r="E7815" s="9">
        <v>17258998.467498779</v>
      </c>
      <c r="F7815" s="257" t="s">
        <v>18143</v>
      </c>
      <c r="G7815" s="9">
        <v>1</v>
      </c>
      <c r="H7815" s="257" t="s">
        <v>25811</v>
      </c>
      <c r="I7815" s="9">
        <v>4</v>
      </c>
    </row>
    <row r="7816" spans="1:9">
      <c r="A7816" s="257" t="s">
        <v>8914</v>
      </c>
      <c r="B7816" s="9">
        <v>0</v>
      </c>
      <c r="C7816" s="257" t="s">
        <v>13848</v>
      </c>
      <c r="D7816" s="9">
        <v>0.38245431033791844</v>
      </c>
      <c r="E7816" s="9">
        <v>17258998.467498779</v>
      </c>
      <c r="F7816" s="257" t="s">
        <v>18143</v>
      </c>
      <c r="G7816" s="9">
        <v>1</v>
      </c>
      <c r="H7816" s="257" t="s">
        <v>25812</v>
      </c>
      <c r="I7816" s="9">
        <v>4</v>
      </c>
    </row>
    <row r="7817" spans="1:9">
      <c r="A7817" s="257" t="s">
        <v>8915</v>
      </c>
      <c r="B7817" s="9">
        <v>0</v>
      </c>
      <c r="C7817" s="257" t="s">
        <v>13849</v>
      </c>
      <c r="D7817" s="9">
        <v>0.11265904737371037</v>
      </c>
      <c r="E7817" s="9">
        <v>17258998.467498779</v>
      </c>
      <c r="F7817" s="257" t="s">
        <v>18143</v>
      </c>
      <c r="G7817" s="9">
        <v>1</v>
      </c>
      <c r="H7817" s="257" t="s">
        <v>25812</v>
      </c>
      <c r="I7817" s="9">
        <v>4</v>
      </c>
    </row>
    <row r="7818" spans="1:9">
      <c r="A7818" s="257" t="s">
        <v>8916</v>
      </c>
      <c r="B7818" s="9">
        <v>0</v>
      </c>
      <c r="C7818" s="257" t="s">
        <v>13850</v>
      </c>
      <c r="D7818" s="9">
        <v>4.6320031744027837E-2</v>
      </c>
      <c r="E7818" s="9">
        <v>17258998.467498779</v>
      </c>
      <c r="F7818" s="257" t="s">
        <v>18143</v>
      </c>
      <c r="G7818" s="9">
        <v>1</v>
      </c>
      <c r="H7818" s="257" t="s">
        <v>25812</v>
      </c>
      <c r="I7818" s="9">
        <v>4</v>
      </c>
    </row>
    <row r="7819" spans="1:9">
      <c r="A7819" s="257" t="s">
        <v>8917</v>
      </c>
      <c r="B7819" s="9">
        <v>0</v>
      </c>
      <c r="C7819" s="257" t="s">
        <v>13851</v>
      </c>
      <c r="D7819" s="9">
        <v>0.37838100000000002</v>
      </c>
      <c r="E7819" s="9">
        <v>17258998.467498779</v>
      </c>
      <c r="F7819" s="257" t="s">
        <v>18144</v>
      </c>
      <c r="G7819" s="9">
        <v>1</v>
      </c>
      <c r="H7819" s="257" t="s">
        <v>25813</v>
      </c>
      <c r="I7819" s="9">
        <v>4</v>
      </c>
    </row>
    <row r="7820" spans="1:9">
      <c r="A7820" s="257" t="s">
        <v>8918</v>
      </c>
      <c r="B7820" s="9">
        <v>0</v>
      </c>
      <c r="C7820" s="257" t="s">
        <v>13852</v>
      </c>
      <c r="D7820" s="9">
        <v>0.25885419999999998</v>
      </c>
      <c r="E7820" s="9">
        <v>17258998.467498779</v>
      </c>
      <c r="F7820" s="257" t="s">
        <v>18144</v>
      </c>
      <c r="G7820" s="9">
        <v>1</v>
      </c>
      <c r="H7820" s="257" t="s">
        <v>25814</v>
      </c>
      <c r="I7820" s="9">
        <v>4</v>
      </c>
    </row>
    <row r="7821" spans="1:9">
      <c r="A7821" s="257" t="s">
        <v>8919</v>
      </c>
      <c r="B7821" s="9">
        <v>0</v>
      </c>
      <c r="C7821" s="257" t="s">
        <v>13853</v>
      </c>
      <c r="D7821" s="9">
        <v>0.38326261287145019</v>
      </c>
      <c r="E7821" s="9">
        <v>17258998.467498779</v>
      </c>
      <c r="F7821" s="257" t="s">
        <v>18144</v>
      </c>
      <c r="G7821" s="9">
        <v>1</v>
      </c>
      <c r="H7821" s="257" t="s">
        <v>25815</v>
      </c>
      <c r="I7821" s="9">
        <v>4</v>
      </c>
    </row>
    <row r="7822" spans="1:9">
      <c r="A7822" s="257" t="s">
        <v>8920</v>
      </c>
      <c r="B7822" s="9">
        <v>0</v>
      </c>
      <c r="C7822" s="257" t="s">
        <v>13854</v>
      </c>
      <c r="D7822" s="9">
        <v>0.11343513085113884</v>
      </c>
      <c r="E7822" s="9">
        <v>17258998.467498779</v>
      </c>
      <c r="F7822" s="257" t="s">
        <v>18144</v>
      </c>
      <c r="G7822" s="9">
        <v>1</v>
      </c>
      <c r="H7822" s="257" t="s">
        <v>25815</v>
      </c>
      <c r="I7822" s="9">
        <v>4</v>
      </c>
    </row>
    <row r="7823" spans="1:9">
      <c r="A7823" s="257" t="s">
        <v>8921</v>
      </c>
      <c r="B7823" s="9">
        <v>0</v>
      </c>
      <c r="C7823" s="257" t="s">
        <v>13855</v>
      </c>
      <c r="D7823" s="9">
        <v>4.6915897758705451E-2</v>
      </c>
      <c r="E7823" s="9">
        <v>17258998.467498779</v>
      </c>
      <c r="F7823" s="257" t="s">
        <v>18144</v>
      </c>
      <c r="G7823" s="9">
        <v>1</v>
      </c>
      <c r="H7823" s="257" t="s">
        <v>25815</v>
      </c>
      <c r="I7823" s="9">
        <v>4</v>
      </c>
    </row>
    <row r="7824" spans="1:9">
      <c r="A7824" s="257" t="s">
        <v>8922</v>
      </c>
      <c r="B7824" s="9">
        <v>0</v>
      </c>
      <c r="C7824" s="257" t="s">
        <v>13856</v>
      </c>
      <c r="D7824" s="9">
        <v>0.37736429999999999</v>
      </c>
      <c r="E7824" s="9">
        <v>17258998.467498779</v>
      </c>
      <c r="F7824" s="257" t="s">
        <v>18145</v>
      </c>
      <c r="G7824" s="9">
        <v>1</v>
      </c>
      <c r="H7824" s="257" t="s">
        <v>25816</v>
      </c>
      <c r="I7824" s="9">
        <v>4</v>
      </c>
    </row>
    <row r="7825" spans="1:9">
      <c r="A7825" s="257" t="s">
        <v>8923</v>
      </c>
      <c r="B7825" s="9">
        <v>0</v>
      </c>
      <c r="C7825" s="257" t="s">
        <v>13857</v>
      </c>
      <c r="D7825" s="9">
        <v>0.25761849999999997</v>
      </c>
      <c r="E7825" s="9">
        <v>17258998.467498779</v>
      </c>
      <c r="F7825" s="257" t="s">
        <v>18145</v>
      </c>
      <c r="G7825" s="9">
        <v>1</v>
      </c>
      <c r="H7825" s="257" t="s">
        <v>25817</v>
      </c>
      <c r="I7825" s="9">
        <v>4</v>
      </c>
    </row>
    <row r="7826" spans="1:9">
      <c r="A7826" s="257" t="s">
        <v>8924</v>
      </c>
      <c r="B7826" s="9">
        <v>0</v>
      </c>
      <c r="C7826" s="257" t="s">
        <v>13858</v>
      </c>
      <c r="D7826" s="9">
        <v>0.38055426074377768</v>
      </c>
      <c r="E7826" s="9">
        <v>17258998.467498779</v>
      </c>
      <c r="F7826" s="257" t="s">
        <v>18145</v>
      </c>
      <c r="G7826" s="9">
        <v>1</v>
      </c>
      <c r="H7826" s="257" t="s">
        <v>25818</v>
      </c>
      <c r="I7826" s="9">
        <v>4</v>
      </c>
    </row>
    <row r="7827" spans="1:9">
      <c r="A7827" s="257" t="s">
        <v>8925</v>
      </c>
      <c r="B7827" s="9">
        <v>0</v>
      </c>
      <c r="C7827" s="257" t="s">
        <v>13859</v>
      </c>
      <c r="D7827" s="9">
        <v>0.11179899472237338</v>
      </c>
      <c r="E7827" s="9">
        <v>17258998.467498779</v>
      </c>
      <c r="F7827" s="257" t="s">
        <v>18145</v>
      </c>
      <c r="G7827" s="9">
        <v>1</v>
      </c>
      <c r="H7827" s="257" t="s">
        <v>25818</v>
      </c>
      <c r="I7827" s="9">
        <v>4</v>
      </c>
    </row>
    <row r="7828" spans="1:9">
      <c r="A7828" s="257" t="s">
        <v>8926</v>
      </c>
      <c r="B7828" s="9">
        <v>0</v>
      </c>
      <c r="C7828" s="257" t="s">
        <v>13860</v>
      </c>
      <c r="D7828" s="9">
        <v>4.5867699952286123E-2</v>
      </c>
      <c r="E7828" s="9">
        <v>17258998.467498779</v>
      </c>
      <c r="F7828" s="257" t="s">
        <v>18145</v>
      </c>
      <c r="G7828" s="9">
        <v>1</v>
      </c>
      <c r="H7828" s="257" t="s">
        <v>25818</v>
      </c>
      <c r="I7828" s="9">
        <v>4</v>
      </c>
    </row>
    <row r="7829" spans="1:9">
      <c r="A7829" s="257" t="s">
        <v>8927</v>
      </c>
      <c r="B7829" s="9">
        <v>0</v>
      </c>
      <c r="C7829" s="257" t="s">
        <v>13861</v>
      </c>
      <c r="D7829" s="9">
        <v>0.37732349999999998</v>
      </c>
      <c r="E7829" s="9">
        <v>17258998.467498779</v>
      </c>
      <c r="F7829" s="257" t="s">
        <v>18146</v>
      </c>
      <c r="G7829" s="9">
        <v>1</v>
      </c>
      <c r="H7829" s="257" t="s">
        <v>25819</v>
      </c>
      <c r="I7829" s="9">
        <v>4</v>
      </c>
    </row>
    <row r="7830" spans="1:9">
      <c r="A7830" s="257" t="s">
        <v>8928</v>
      </c>
      <c r="B7830" s="9">
        <v>0</v>
      </c>
      <c r="C7830" s="257" t="s">
        <v>13862</v>
      </c>
      <c r="D7830" s="9">
        <v>0.25757819999999998</v>
      </c>
      <c r="E7830" s="9">
        <v>17258998.467498779</v>
      </c>
      <c r="F7830" s="257" t="s">
        <v>18146</v>
      </c>
      <c r="G7830" s="9">
        <v>1</v>
      </c>
      <c r="H7830" s="257" t="s">
        <v>25820</v>
      </c>
      <c r="I7830" s="9">
        <v>4</v>
      </c>
    </row>
    <row r="7831" spans="1:9">
      <c r="A7831" s="257" t="s">
        <v>8929</v>
      </c>
      <c r="B7831" s="9">
        <v>0</v>
      </c>
      <c r="C7831" s="257" t="s">
        <v>13863</v>
      </c>
      <c r="D7831" s="9">
        <v>0.38060186690383974</v>
      </c>
      <c r="E7831" s="9">
        <v>17258998.467498779</v>
      </c>
      <c r="F7831" s="257" t="s">
        <v>18146</v>
      </c>
      <c r="G7831" s="9">
        <v>1</v>
      </c>
      <c r="H7831" s="257" t="s">
        <v>25821</v>
      </c>
      <c r="I7831" s="9">
        <v>4</v>
      </c>
    </row>
    <row r="7832" spans="1:9">
      <c r="A7832" s="257" t="s">
        <v>8930</v>
      </c>
      <c r="B7832" s="9">
        <v>0</v>
      </c>
      <c r="C7832" s="257" t="s">
        <v>13864</v>
      </c>
      <c r="D7832" s="9">
        <v>0.11185745031761286</v>
      </c>
      <c r="E7832" s="9">
        <v>17258998.467498779</v>
      </c>
      <c r="F7832" s="257" t="s">
        <v>18146</v>
      </c>
      <c r="G7832" s="9">
        <v>1</v>
      </c>
      <c r="H7832" s="257" t="s">
        <v>25821</v>
      </c>
      <c r="I7832" s="9">
        <v>4</v>
      </c>
    </row>
    <row r="7833" spans="1:9">
      <c r="A7833" s="257" t="s">
        <v>8931</v>
      </c>
      <c r="B7833" s="9">
        <v>0</v>
      </c>
      <c r="C7833" s="257" t="s">
        <v>13865</v>
      </c>
      <c r="D7833" s="9">
        <v>4.5891459774659048E-2</v>
      </c>
      <c r="E7833" s="9">
        <v>17258998.467498779</v>
      </c>
      <c r="F7833" s="257" t="s">
        <v>18146</v>
      </c>
      <c r="G7833" s="9">
        <v>1</v>
      </c>
      <c r="H7833" s="257" t="s">
        <v>25821</v>
      </c>
      <c r="I7833" s="9">
        <v>4</v>
      </c>
    </row>
    <row r="7834" spans="1:9">
      <c r="A7834" s="257" t="s">
        <v>8932</v>
      </c>
      <c r="B7834" s="9">
        <v>0</v>
      </c>
      <c r="C7834" s="257" t="s">
        <v>13866</v>
      </c>
      <c r="D7834" s="9">
        <v>0.37859510000000002</v>
      </c>
      <c r="E7834" s="9">
        <v>17258998.467498779</v>
      </c>
      <c r="F7834" s="257" t="s">
        <v>18147</v>
      </c>
      <c r="G7834" s="9">
        <v>1</v>
      </c>
      <c r="H7834" s="257" t="s">
        <v>25822</v>
      </c>
      <c r="I7834" s="9">
        <v>4</v>
      </c>
    </row>
    <row r="7835" spans="1:9">
      <c r="A7835" s="257" t="s">
        <v>8933</v>
      </c>
      <c r="B7835" s="9">
        <v>0</v>
      </c>
      <c r="C7835" s="257" t="s">
        <v>13867</v>
      </c>
      <c r="D7835" s="9">
        <v>0.2588413</v>
      </c>
      <c r="E7835" s="9">
        <v>17258998.467498779</v>
      </c>
      <c r="F7835" s="257" t="s">
        <v>18147</v>
      </c>
      <c r="G7835" s="9">
        <v>1</v>
      </c>
      <c r="H7835" s="257" t="s">
        <v>25823</v>
      </c>
      <c r="I7835" s="9">
        <v>4</v>
      </c>
    </row>
    <row r="7836" spans="1:9">
      <c r="A7836" s="257" t="s">
        <v>8934</v>
      </c>
      <c r="B7836" s="9">
        <v>0</v>
      </c>
      <c r="C7836" s="257" t="s">
        <v>13868</v>
      </c>
      <c r="D7836" s="9">
        <v>0.37696682329190428</v>
      </c>
      <c r="E7836" s="9">
        <v>17258998.467498779</v>
      </c>
      <c r="F7836" s="257" t="s">
        <v>18147</v>
      </c>
      <c r="G7836" s="9">
        <v>1</v>
      </c>
      <c r="H7836" s="257" t="s">
        <v>25824</v>
      </c>
      <c r="I7836" s="9">
        <v>4</v>
      </c>
    </row>
    <row r="7837" spans="1:9">
      <c r="A7837" s="257" t="s">
        <v>8935</v>
      </c>
      <c r="B7837" s="9">
        <v>0</v>
      </c>
      <c r="C7837" s="257" t="s">
        <v>13869</v>
      </c>
      <c r="D7837" s="9">
        <v>0.11004875143818615</v>
      </c>
      <c r="E7837" s="9">
        <v>17258998.467498779</v>
      </c>
      <c r="F7837" s="257" t="s">
        <v>18147</v>
      </c>
      <c r="G7837" s="9">
        <v>1</v>
      </c>
      <c r="H7837" s="257" t="s">
        <v>25824</v>
      </c>
      <c r="I7837" s="9">
        <v>4</v>
      </c>
    </row>
    <row r="7838" spans="1:9">
      <c r="A7838" s="257" t="s">
        <v>8936</v>
      </c>
      <c r="B7838" s="9">
        <v>0</v>
      </c>
      <c r="C7838" s="257" t="s">
        <v>13870</v>
      </c>
      <c r="D7838" s="9">
        <v>4.5144227522456594E-2</v>
      </c>
      <c r="E7838" s="9">
        <v>17258998.467498779</v>
      </c>
      <c r="F7838" s="257" t="s">
        <v>18147</v>
      </c>
      <c r="G7838" s="9">
        <v>1</v>
      </c>
      <c r="H7838" s="257" t="s">
        <v>25824</v>
      </c>
      <c r="I7838" s="9">
        <v>4</v>
      </c>
    </row>
    <row r="7839" spans="1:9">
      <c r="A7839" s="257" t="s">
        <v>8937</v>
      </c>
      <c r="B7839" s="9">
        <v>0</v>
      </c>
      <c r="C7839" s="257" t="s">
        <v>13871</v>
      </c>
      <c r="D7839" s="9">
        <v>0.38014779999999998</v>
      </c>
      <c r="E7839" s="9">
        <v>17258998.467498779</v>
      </c>
      <c r="F7839" s="257" t="s">
        <v>18148</v>
      </c>
      <c r="G7839" s="9">
        <v>1</v>
      </c>
      <c r="H7839" s="257" t="s">
        <v>25825</v>
      </c>
      <c r="I7839" s="9">
        <v>4</v>
      </c>
    </row>
    <row r="7840" spans="1:9">
      <c r="A7840" s="257" t="s">
        <v>8938</v>
      </c>
      <c r="B7840" s="9">
        <v>0</v>
      </c>
      <c r="C7840" s="257" t="s">
        <v>13872</v>
      </c>
      <c r="D7840" s="9">
        <v>0.26073200000000002</v>
      </c>
      <c r="E7840" s="9">
        <v>17258998.467498779</v>
      </c>
      <c r="F7840" s="257" t="s">
        <v>18148</v>
      </c>
      <c r="G7840" s="9">
        <v>1</v>
      </c>
      <c r="H7840" s="257" t="s">
        <v>25826</v>
      </c>
      <c r="I7840" s="9">
        <v>4</v>
      </c>
    </row>
    <row r="7841" spans="1:9">
      <c r="A7841" s="257" t="s">
        <v>8939</v>
      </c>
      <c r="B7841" s="9">
        <v>0</v>
      </c>
      <c r="C7841" s="257" t="s">
        <v>13873</v>
      </c>
      <c r="D7841" s="9">
        <v>0.3806631912027455</v>
      </c>
      <c r="E7841" s="9">
        <v>17258998.467498779</v>
      </c>
      <c r="F7841" s="257" t="s">
        <v>18148</v>
      </c>
      <c r="G7841" s="9">
        <v>1</v>
      </c>
      <c r="H7841" s="257" t="s">
        <v>25827</v>
      </c>
      <c r="I7841" s="9">
        <v>4</v>
      </c>
    </row>
    <row r="7842" spans="1:9">
      <c r="A7842" s="257" t="s">
        <v>8940</v>
      </c>
      <c r="B7842" s="9">
        <v>0</v>
      </c>
      <c r="C7842" s="257" t="s">
        <v>13874</v>
      </c>
      <c r="D7842" s="9">
        <v>0.11246587700592282</v>
      </c>
      <c r="E7842" s="9">
        <v>17258998.467498779</v>
      </c>
      <c r="F7842" s="257" t="s">
        <v>18148</v>
      </c>
      <c r="G7842" s="9">
        <v>1</v>
      </c>
      <c r="H7842" s="257" t="s">
        <v>25827</v>
      </c>
      <c r="I7842" s="9">
        <v>4</v>
      </c>
    </row>
    <row r="7843" spans="1:9">
      <c r="A7843" s="257" t="s">
        <v>8941</v>
      </c>
      <c r="B7843" s="9">
        <v>0</v>
      </c>
      <c r="C7843" s="257" t="s">
        <v>13875</v>
      </c>
      <c r="D7843" s="9">
        <v>4.6616169107890994E-2</v>
      </c>
      <c r="E7843" s="9">
        <v>17258998.467498779</v>
      </c>
      <c r="F7843" s="257" t="s">
        <v>18148</v>
      </c>
      <c r="G7843" s="9">
        <v>1</v>
      </c>
      <c r="H7843" s="257" t="s">
        <v>25827</v>
      </c>
      <c r="I7843" s="9">
        <v>4</v>
      </c>
    </row>
    <row r="7844" spans="1:9">
      <c r="A7844" s="257" t="s">
        <v>8942</v>
      </c>
      <c r="B7844" s="9">
        <v>0</v>
      </c>
      <c r="C7844" s="257" t="s">
        <v>13876</v>
      </c>
      <c r="D7844" s="9">
        <v>0.38517863561477284</v>
      </c>
      <c r="E7844" s="9">
        <v>17258998.467498779</v>
      </c>
      <c r="F7844" s="257" t="s">
        <v>18149</v>
      </c>
      <c r="G7844" s="9">
        <v>1</v>
      </c>
      <c r="H7844" s="257" t="s">
        <v>25827</v>
      </c>
      <c r="I7844" s="9">
        <v>4</v>
      </c>
    </row>
    <row r="7845" spans="1:9">
      <c r="A7845" s="257" t="s">
        <v>8943</v>
      </c>
      <c r="B7845" s="9">
        <v>0</v>
      </c>
      <c r="C7845" s="257" t="s">
        <v>13877</v>
      </c>
      <c r="D7845" s="9">
        <v>0.1142376654385979</v>
      </c>
      <c r="E7845" s="9">
        <v>17258998.467498779</v>
      </c>
      <c r="F7845" s="257" t="s">
        <v>18149</v>
      </c>
      <c r="G7845" s="9">
        <v>1</v>
      </c>
      <c r="H7845" s="257" t="s">
        <v>25827</v>
      </c>
      <c r="I7845" s="9">
        <v>4</v>
      </c>
    </row>
    <row r="7846" spans="1:9">
      <c r="A7846" s="257" t="s">
        <v>8944</v>
      </c>
      <c r="B7846" s="9">
        <v>0</v>
      </c>
      <c r="C7846" s="257" t="s">
        <v>13878</v>
      </c>
      <c r="D7846" s="9">
        <v>4.7356928719404057E-2</v>
      </c>
      <c r="E7846" s="9">
        <v>17258998.467498779</v>
      </c>
      <c r="F7846" s="257" t="s">
        <v>18149</v>
      </c>
      <c r="G7846" s="9">
        <v>1</v>
      </c>
      <c r="H7846" s="257" t="s">
        <v>25827</v>
      </c>
      <c r="I7846" s="9">
        <v>4</v>
      </c>
    </row>
    <row r="7847" spans="1:9">
      <c r="A7847" s="257" t="s">
        <v>8945</v>
      </c>
      <c r="B7847" s="9">
        <v>0</v>
      </c>
      <c r="C7847" s="257" t="s">
        <v>13879</v>
      </c>
      <c r="D7847" s="9">
        <v>0.37863370000000002</v>
      </c>
      <c r="E7847" s="9">
        <v>17258998.467498779</v>
      </c>
      <c r="F7847" s="257" t="s">
        <v>18150</v>
      </c>
      <c r="G7847" s="9">
        <v>1</v>
      </c>
      <c r="H7847" s="257" t="s">
        <v>25828</v>
      </c>
      <c r="I7847" s="9">
        <v>4</v>
      </c>
    </row>
    <row r="7848" spans="1:9">
      <c r="A7848" s="257" t="s">
        <v>8946</v>
      </c>
      <c r="B7848" s="9">
        <v>0</v>
      </c>
      <c r="C7848" s="257" t="s">
        <v>13880</v>
      </c>
      <c r="D7848" s="9">
        <v>0.25890039999999997</v>
      </c>
      <c r="E7848" s="9">
        <v>17258998.467498779</v>
      </c>
      <c r="F7848" s="257" t="s">
        <v>18150</v>
      </c>
      <c r="G7848" s="9">
        <v>1</v>
      </c>
      <c r="H7848" s="257" t="s">
        <v>25829</v>
      </c>
      <c r="I7848" s="9">
        <v>4</v>
      </c>
    </row>
    <row r="7849" spans="1:9">
      <c r="A7849" s="257" t="s">
        <v>8947</v>
      </c>
      <c r="B7849" s="9">
        <v>0</v>
      </c>
      <c r="C7849" s="257" t="s">
        <v>13881</v>
      </c>
      <c r="D7849" s="9">
        <v>0.38018960000000002</v>
      </c>
      <c r="E7849" s="9">
        <v>17258998.467498779</v>
      </c>
      <c r="F7849" s="257" t="s">
        <v>18151</v>
      </c>
      <c r="G7849" s="9">
        <v>1</v>
      </c>
      <c r="H7849" s="257" t="s">
        <v>25830</v>
      </c>
      <c r="I7849" s="9">
        <v>4</v>
      </c>
    </row>
    <row r="7850" spans="1:9">
      <c r="A7850" s="257" t="s">
        <v>8948</v>
      </c>
      <c r="B7850" s="9">
        <v>0</v>
      </c>
      <c r="C7850" s="257" t="s">
        <v>13882</v>
      </c>
      <c r="D7850" s="9">
        <v>0.26077410000000001</v>
      </c>
      <c r="E7850" s="9">
        <v>17258998.467498779</v>
      </c>
      <c r="F7850" s="257" t="s">
        <v>18151</v>
      </c>
      <c r="G7850" s="9">
        <v>1</v>
      </c>
      <c r="H7850" s="257" t="s">
        <v>25831</v>
      </c>
      <c r="I7850" s="9">
        <v>4</v>
      </c>
    </row>
    <row r="7851" spans="1:9">
      <c r="A7851" s="257" t="s">
        <v>8949</v>
      </c>
      <c r="B7851" s="9">
        <v>0</v>
      </c>
      <c r="C7851" s="257" t="s">
        <v>13883</v>
      </c>
      <c r="D7851" s="9">
        <v>0.38035055653621896</v>
      </c>
      <c r="E7851" s="9">
        <v>17258998.467498779</v>
      </c>
      <c r="F7851" s="257" t="s">
        <v>18151</v>
      </c>
      <c r="G7851" s="9">
        <v>1</v>
      </c>
      <c r="H7851" s="257" t="s">
        <v>25832</v>
      </c>
      <c r="I7851" s="9">
        <v>4</v>
      </c>
    </row>
    <row r="7852" spans="1:9">
      <c r="A7852" s="257" t="s">
        <v>8950</v>
      </c>
      <c r="B7852" s="9">
        <v>0</v>
      </c>
      <c r="C7852" s="257" t="s">
        <v>13884</v>
      </c>
      <c r="D7852" s="9">
        <v>0.11241043350991345</v>
      </c>
      <c r="E7852" s="9">
        <v>17258998.467498779</v>
      </c>
      <c r="F7852" s="257" t="s">
        <v>18151</v>
      </c>
      <c r="G7852" s="9">
        <v>1</v>
      </c>
      <c r="H7852" s="257" t="s">
        <v>25832</v>
      </c>
      <c r="I7852" s="9">
        <v>4</v>
      </c>
    </row>
    <row r="7853" spans="1:9">
      <c r="A7853" s="257" t="s">
        <v>8951</v>
      </c>
      <c r="B7853" s="9">
        <v>0</v>
      </c>
      <c r="C7853" s="257" t="s">
        <v>13885</v>
      </c>
      <c r="D7853" s="9">
        <v>4.6593947678635221E-2</v>
      </c>
      <c r="E7853" s="9">
        <v>17258998.467498779</v>
      </c>
      <c r="F7853" s="257" t="s">
        <v>18151</v>
      </c>
      <c r="G7853" s="9">
        <v>1</v>
      </c>
      <c r="H7853" s="257" t="s">
        <v>25832</v>
      </c>
      <c r="I7853" s="9">
        <v>4</v>
      </c>
    </row>
    <row r="7854" spans="1:9">
      <c r="A7854" s="257" t="s">
        <v>8952</v>
      </c>
      <c r="B7854" s="9">
        <v>0</v>
      </c>
      <c r="C7854" s="257" t="s">
        <v>13886</v>
      </c>
      <c r="D7854" s="9">
        <v>0.37798359999999998</v>
      </c>
      <c r="E7854" s="9">
        <v>17258998.467498779</v>
      </c>
      <c r="F7854" s="257" t="s">
        <v>18152</v>
      </c>
      <c r="G7854" s="9">
        <v>1</v>
      </c>
      <c r="H7854" s="257" t="s">
        <v>25833</v>
      </c>
      <c r="I7854" s="9">
        <v>4</v>
      </c>
    </row>
    <row r="7855" spans="1:9">
      <c r="A7855" s="257" t="s">
        <v>8953</v>
      </c>
      <c r="B7855" s="9">
        <v>0</v>
      </c>
      <c r="C7855" s="257" t="s">
        <v>13887</v>
      </c>
      <c r="D7855" s="9">
        <v>0.2578761</v>
      </c>
      <c r="E7855" s="9">
        <v>17258998.467498779</v>
      </c>
      <c r="F7855" s="257" t="s">
        <v>18152</v>
      </c>
      <c r="G7855" s="9">
        <v>1</v>
      </c>
      <c r="H7855" s="257" t="s">
        <v>25834</v>
      </c>
      <c r="I7855" s="9">
        <v>4</v>
      </c>
    </row>
    <row r="7856" spans="1:9">
      <c r="A7856" s="257" t="s">
        <v>8954</v>
      </c>
      <c r="B7856" s="9">
        <v>0</v>
      </c>
      <c r="C7856" s="257" t="s">
        <v>13888</v>
      </c>
      <c r="D7856" s="9">
        <v>0.38705763826834666</v>
      </c>
      <c r="E7856" s="9">
        <v>17258998.467498779</v>
      </c>
      <c r="F7856" s="257" t="s">
        <v>18152</v>
      </c>
      <c r="G7856" s="9">
        <v>1</v>
      </c>
      <c r="H7856" s="257" t="s">
        <v>25835</v>
      </c>
      <c r="I7856" s="9">
        <v>4</v>
      </c>
    </row>
    <row r="7857" spans="1:9">
      <c r="A7857" s="257" t="s">
        <v>8955</v>
      </c>
      <c r="B7857" s="9">
        <v>0</v>
      </c>
      <c r="C7857" s="257" t="s">
        <v>13889</v>
      </c>
      <c r="D7857" s="9">
        <v>0.11475679931370281</v>
      </c>
      <c r="E7857" s="9">
        <v>17258998.467498779</v>
      </c>
      <c r="F7857" s="257" t="s">
        <v>18152</v>
      </c>
      <c r="G7857" s="9">
        <v>1</v>
      </c>
      <c r="H7857" s="257" t="s">
        <v>25835</v>
      </c>
      <c r="I7857" s="9">
        <v>4</v>
      </c>
    </row>
    <row r="7858" spans="1:9">
      <c r="A7858" s="257" t="s">
        <v>8956</v>
      </c>
      <c r="B7858" s="9">
        <v>0</v>
      </c>
      <c r="C7858" s="257" t="s">
        <v>13890</v>
      </c>
      <c r="D7858" s="9">
        <v>4.7603638946726798E-2</v>
      </c>
      <c r="E7858" s="9">
        <v>17258998.467498779</v>
      </c>
      <c r="F7858" s="257" t="s">
        <v>18152</v>
      </c>
      <c r="G7858" s="9">
        <v>1</v>
      </c>
      <c r="H7858" s="257" t="s">
        <v>25835</v>
      </c>
      <c r="I7858" s="9">
        <v>4</v>
      </c>
    </row>
    <row r="7859" spans="1:9">
      <c r="A7859" s="257" t="s">
        <v>8957</v>
      </c>
      <c r="B7859" s="9">
        <v>0</v>
      </c>
      <c r="C7859" s="257" t="s">
        <v>13891</v>
      </c>
      <c r="D7859" s="9">
        <v>0.38109229999999999</v>
      </c>
      <c r="E7859" s="9">
        <v>17258998.467498779</v>
      </c>
      <c r="F7859" s="257" t="s">
        <v>18153</v>
      </c>
      <c r="G7859" s="9">
        <v>1</v>
      </c>
      <c r="H7859" s="257" t="s">
        <v>25836</v>
      </c>
      <c r="I7859" s="9">
        <v>4</v>
      </c>
    </row>
    <row r="7860" spans="1:9">
      <c r="A7860" s="257" t="s">
        <v>8958</v>
      </c>
      <c r="B7860" s="9">
        <v>0</v>
      </c>
      <c r="C7860" s="257" t="s">
        <v>13892</v>
      </c>
      <c r="D7860" s="9">
        <v>0.2623799</v>
      </c>
      <c r="E7860" s="9">
        <v>17258998.467498779</v>
      </c>
      <c r="F7860" s="257" t="s">
        <v>18153</v>
      </c>
      <c r="G7860" s="9">
        <v>1</v>
      </c>
      <c r="H7860" s="257" t="s">
        <v>25837</v>
      </c>
      <c r="I7860" s="9">
        <v>4</v>
      </c>
    </row>
    <row r="7861" spans="1:9">
      <c r="A7861" s="257" t="s">
        <v>8959</v>
      </c>
      <c r="B7861" s="9">
        <v>0</v>
      </c>
      <c r="C7861" s="257" t="s">
        <v>13893</v>
      </c>
      <c r="D7861" s="9">
        <v>0.37955553361155064</v>
      </c>
      <c r="E7861" s="9">
        <v>17258998.467498779</v>
      </c>
      <c r="F7861" s="257" t="s">
        <v>18153</v>
      </c>
      <c r="G7861" s="9">
        <v>1</v>
      </c>
      <c r="H7861" s="257" t="s">
        <v>25838</v>
      </c>
      <c r="I7861" s="9">
        <v>4</v>
      </c>
    </row>
    <row r="7862" spans="1:9">
      <c r="A7862" s="257" t="s">
        <v>8960</v>
      </c>
      <c r="B7862" s="9">
        <v>0</v>
      </c>
      <c r="C7862" s="257" t="s">
        <v>13894</v>
      </c>
      <c r="D7862" s="9">
        <v>0.11197409187761856</v>
      </c>
      <c r="E7862" s="9">
        <v>17258998.467498779</v>
      </c>
      <c r="F7862" s="257" t="s">
        <v>18153</v>
      </c>
      <c r="G7862" s="9">
        <v>1</v>
      </c>
      <c r="H7862" s="257" t="s">
        <v>25838</v>
      </c>
      <c r="I7862" s="9">
        <v>4</v>
      </c>
    </row>
    <row r="7863" spans="1:9">
      <c r="A7863" s="257" t="s">
        <v>8961</v>
      </c>
      <c r="B7863" s="9">
        <v>0</v>
      </c>
      <c r="C7863" s="257" t="s">
        <v>13895</v>
      </c>
      <c r="D7863" s="9">
        <v>4.6390274217110741E-2</v>
      </c>
      <c r="E7863" s="9">
        <v>17258998.467498779</v>
      </c>
      <c r="F7863" s="257" t="s">
        <v>18153</v>
      </c>
      <c r="G7863" s="9">
        <v>1</v>
      </c>
      <c r="H7863" s="257" t="s">
        <v>25838</v>
      </c>
      <c r="I7863" s="9">
        <v>4</v>
      </c>
    </row>
    <row r="7864" spans="1:9">
      <c r="A7864" s="257" t="s">
        <v>8962</v>
      </c>
      <c r="B7864" s="9">
        <v>0</v>
      </c>
      <c r="C7864" s="257" t="s">
        <v>13896</v>
      </c>
      <c r="D7864" s="9">
        <v>0.38113350000000001</v>
      </c>
      <c r="E7864" s="9">
        <v>17258998.467498779</v>
      </c>
      <c r="F7864" s="257" t="s">
        <v>18154</v>
      </c>
      <c r="G7864" s="9">
        <v>1</v>
      </c>
      <c r="H7864" s="257" t="s">
        <v>25839</v>
      </c>
      <c r="I7864" s="9">
        <v>4</v>
      </c>
    </row>
    <row r="7865" spans="1:9">
      <c r="A7865" s="257" t="s">
        <v>8963</v>
      </c>
      <c r="B7865" s="9">
        <v>0</v>
      </c>
      <c r="C7865" s="257" t="s">
        <v>13897</v>
      </c>
      <c r="D7865" s="9">
        <v>0.26242120000000002</v>
      </c>
      <c r="E7865" s="9">
        <v>17258998.467498779</v>
      </c>
      <c r="F7865" s="257" t="s">
        <v>18154</v>
      </c>
      <c r="G7865" s="9">
        <v>1</v>
      </c>
      <c r="H7865" s="257" t="s">
        <v>25840</v>
      </c>
      <c r="I7865" s="9">
        <v>4</v>
      </c>
    </row>
    <row r="7866" spans="1:9">
      <c r="A7866" s="257" t="s">
        <v>8964</v>
      </c>
      <c r="B7866" s="9">
        <v>0</v>
      </c>
      <c r="C7866" s="257" t="s">
        <v>13898</v>
      </c>
      <c r="D7866" s="9">
        <v>0.3786253969100784</v>
      </c>
      <c r="E7866" s="9">
        <v>17258998.467498779</v>
      </c>
      <c r="F7866" s="257" t="s">
        <v>18154</v>
      </c>
      <c r="G7866" s="9">
        <v>1</v>
      </c>
      <c r="H7866" s="257" t="s">
        <v>25841</v>
      </c>
      <c r="I7866" s="9">
        <v>4</v>
      </c>
    </row>
    <row r="7867" spans="1:9">
      <c r="A7867" s="257" t="s">
        <v>8965</v>
      </c>
      <c r="B7867" s="9">
        <v>0</v>
      </c>
      <c r="C7867" s="257" t="s">
        <v>13899</v>
      </c>
      <c r="D7867" s="9">
        <v>0.11191947470863993</v>
      </c>
      <c r="E7867" s="9">
        <v>17258998.467498779</v>
      </c>
      <c r="F7867" s="257" t="s">
        <v>18154</v>
      </c>
      <c r="G7867" s="9">
        <v>1</v>
      </c>
      <c r="H7867" s="257" t="s">
        <v>25841</v>
      </c>
      <c r="I7867" s="9">
        <v>4</v>
      </c>
    </row>
    <row r="7868" spans="1:9">
      <c r="A7868" s="257" t="s">
        <v>8966</v>
      </c>
      <c r="B7868" s="9">
        <v>0</v>
      </c>
      <c r="C7868" s="257" t="s">
        <v>13900</v>
      </c>
      <c r="D7868" s="9">
        <v>4.6368277703121477E-2</v>
      </c>
      <c r="E7868" s="9">
        <v>17258998.467498779</v>
      </c>
      <c r="F7868" s="257" t="s">
        <v>18154</v>
      </c>
      <c r="G7868" s="9">
        <v>1</v>
      </c>
      <c r="H7868" s="257" t="s">
        <v>25841</v>
      </c>
      <c r="I7868" s="9">
        <v>4</v>
      </c>
    </row>
    <row r="7869" spans="1:9">
      <c r="A7869" s="257" t="s">
        <v>8967</v>
      </c>
      <c r="B7869" s="9">
        <v>0</v>
      </c>
      <c r="C7869" s="257" t="s">
        <v>13901</v>
      </c>
      <c r="D7869" s="9">
        <v>0.37975890000000001</v>
      </c>
      <c r="E7869" s="9">
        <v>17258998.467498779</v>
      </c>
      <c r="F7869" s="257" t="s">
        <v>18155</v>
      </c>
      <c r="G7869" s="9">
        <v>1</v>
      </c>
      <c r="H7869" s="257" t="s">
        <v>25842</v>
      </c>
      <c r="I7869" s="9">
        <v>4</v>
      </c>
    </row>
    <row r="7870" spans="1:9">
      <c r="A7870" s="257" t="s">
        <v>8968</v>
      </c>
      <c r="B7870" s="9">
        <v>0</v>
      </c>
      <c r="C7870" s="257" t="s">
        <v>13902</v>
      </c>
      <c r="D7870" s="9">
        <v>0.2602294</v>
      </c>
      <c r="E7870" s="9">
        <v>17258998.467498779</v>
      </c>
      <c r="F7870" s="257" t="s">
        <v>18155</v>
      </c>
      <c r="G7870" s="9">
        <v>1</v>
      </c>
      <c r="H7870" s="257" t="s">
        <v>25843</v>
      </c>
      <c r="I7870" s="9">
        <v>4</v>
      </c>
    </row>
    <row r="7871" spans="1:9">
      <c r="A7871" s="257" t="s">
        <v>8969</v>
      </c>
      <c r="B7871" s="9">
        <v>0</v>
      </c>
      <c r="C7871" s="257" t="s">
        <v>13903</v>
      </c>
      <c r="D7871" s="9">
        <v>0.38250429688431542</v>
      </c>
      <c r="E7871" s="9">
        <v>17258998.467498779</v>
      </c>
      <c r="F7871" s="257" t="s">
        <v>18155</v>
      </c>
      <c r="G7871" s="9">
        <v>1</v>
      </c>
      <c r="H7871" s="257" t="s">
        <v>25844</v>
      </c>
      <c r="I7871" s="9">
        <v>4</v>
      </c>
    </row>
    <row r="7872" spans="1:9">
      <c r="A7872" s="257" t="s">
        <v>8970</v>
      </c>
      <c r="B7872" s="9">
        <v>0</v>
      </c>
      <c r="C7872" s="257" t="s">
        <v>13904</v>
      </c>
      <c r="D7872" s="9">
        <v>0.11325858600963126</v>
      </c>
      <c r="E7872" s="9">
        <v>17258998.467498779</v>
      </c>
      <c r="F7872" s="257" t="s">
        <v>18155</v>
      </c>
      <c r="G7872" s="9">
        <v>1</v>
      </c>
      <c r="H7872" s="257" t="s">
        <v>25844</v>
      </c>
      <c r="I7872" s="9">
        <v>4</v>
      </c>
    </row>
    <row r="7873" spans="1:9">
      <c r="A7873" s="257" t="s">
        <v>8971</v>
      </c>
      <c r="B7873" s="9">
        <v>0</v>
      </c>
      <c r="C7873" s="257" t="s">
        <v>13905</v>
      </c>
      <c r="D7873" s="9">
        <v>4.6982445564598581E-2</v>
      </c>
      <c r="E7873" s="9">
        <v>17258998.467498779</v>
      </c>
      <c r="F7873" s="257" t="s">
        <v>18155</v>
      </c>
      <c r="G7873" s="9">
        <v>1</v>
      </c>
      <c r="H7873" s="257" t="s">
        <v>25844</v>
      </c>
      <c r="I7873" s="9">
        <v>4</v>
      </c>
    </row>
    <row r="7874" spans="1:9">
      <c r="A7874" s="257" t="s">
        <v>8972</v>
      </c>
      <c r="B7874" s="9">
        <v>0</v>
      </c>
      <c r="C7874" s="257" t="s">
        <v>13906</v>
      </c>
      <c r="D7874" s="9">
        <v>0.3798009</v>
      </c>
      <c r="E7874" s="9">
        <v>17258998.467498779</v>
      </c>
      <c r="F7874" s="257" t="s">
        <v>18156</v>
      </c>
      <c r="G7874" s="9">
        <v>1</v>
      </c>
      <c r="H7874" s="257" t="s">
        <v>25845</v>
      </c>
      <c r="I7874" s="9">
        <v>4</v>
      </c>
    </row>
    <row r="7875" spans="1:9">
      <c r="A7875" s="257" t="s">
        <v>8973</v>
      </c>
      <c r="B7875" s="9">
        <v>0</v>
      </c>
      <c r="C7875" s="257" t="s">
        <v>13907</v>
      </c>
      <c r="D7875" s="9">
        <v>0.26027169999999999</v>
      </c>
      <c r="E7875" s="9">
        <v>17258998.467498779</v>
      </c>
      <c r="F7875" s="257" t="s">
        <v>18156</v>
      </c>
      <c r="G7875" s="9">
        <v>1</v>
      </c>
      <c r="H7875" s="257" t="s">
        <v>25846</v>
      </c>
      <c r="I7875" s="9">
        <v>4</v>
      </c>
    </row>
    <row r="7876" spans="1:9">
      <c r="A7876" s="257" t="s">
        <v>8974</v>
      </c>
      <c r="B7876" s="9">
        <v>0</v>
      </c>
      <c r="C7876" s="257" t="s">
        <v>13908</v>
      </c>
      <c r="D7876" s="9">
        <v>0.38208022620779081</v>
      </c>
      <c r="E7876" s="9">
        <v>17258998.467498779</v>
      </c>
      <c r="F7876" s="257" t="s">
        <v>18156</v>
      </c>
      <c r="G7876" s="9">
        <v>1</v>
      </c>
      <c r="H7876" s="257" t="s">
        <v>25847</v>
      </c>
      <c r="I7876" s="9">
        <v>4</v>
      </c>
    </row>
    <row r="7877" spans="1:9">
      <c r="A7877" s="257" t="s">
        <v>8975</v>
      </c>
      <c r="B7877" s="9">
        <v>0</v>
      </c>
      <c r="C7877" s="257" t="s">
        <v>13909</v>
      </c>
      <c r="D7877" s="9">
        <v>0.11320272048779761</v>
      </c>
      <c r="E7877" s="9">
        <v>17258998.467498779</v>
      </c>
      <c r="F7877" s="257" t="s">
        <v>18156</v>
      </c>
      <c r="G7877" s="9">
        <v>1</v>
      </c>
      <c r="H7877" s="257" t="s">
        <v>25847</v>
      </c>
      <c r="I7877" s="9">
        <v>4</v>
      </c>
    </row>
    <row r="7878" spans="1:9">
      <c r="A7878" s="257" t="s">
        <v>8976</v>
      </c>
      <c r="B7878" s="9">
        <v>0</v>
      </c>
      <c r="C7878" s="257" t="s">
        <v>13910</v>
      </c>
      <c r="D7878" s="9">
        <v>4.6959920399085746E-2</v>
      </c>
      <c r="E7878" s="9">
        <v>17258998.467498779</v>
      </c>
      <c r="F7878" s="257" t="s">
        <v>18156</v>
      </c>
      <c r="G7878" s="9">
        <v>1</v>
      </c>
      <c r="H7878" s="257" t="s">
        <v>25847</v>
      </c>
      <c r="I7878" s="9">
        <v>4</v>
      </c>
    </row>
    <row r="7879" spans="1:9">
      <c r="A7879" s="257" t="s">
        <v>8977</v>
      </c>
      <c r="B7879" s="9">
        <v>0</v>
      </c>
      <c r="C7879" s="257" t="s">
        <v>13911</v>
      </c>
      <c r="D7879" s="9">
        <v>0.37932159999999998</v>
      </c>
      <c r="E7879" s="9">
        <v>17258998.467498779</v>
      </c>
      <c r="F7879" s="257" t="s">
        <v>18157</v>
      </c>
      <c r="G7879" s="9">
        <v>1</v>
      </c>
      <c r="H7879" s="257" t="s">
        <v>25848</v>
      </c>
      <c r="I7879" s="9">
        <v>4</v>
      </c>
    </row>
    <row r="7880" spans="1:9">
      <c r="A7880" s="257" t="s">
        <v>8978</v>
      </c>
      <c r="B7880" s="9">
        <v>0</v>
      </c>
      <c r="C7880" s="257" t="s">
        <v>13912</v>
      </c>
      <c r="D7880" s="9">
        <v>0.26002350000000002</v>
      </c>
      <c r="E7880" s="9">
        <v>17258998.467498779</v>
      </c>
      <c r="F7880" s="257" t="s">
        <v>18157</v>
      </c>
      <c r="G7880" s="9">
        <v>1</v>
      </c>
      <c r="H7880" s="257" t="s">
        <v>25849</v>
      </c>
      <c r="I7880" s="9">
        <v>4</v>
      </c>
    </row>
    <row r="7881" spans="1:9">
      <c r="A7881" s="257" t="s">
        <v>8979</v>
      </c>
      <c r="B7881" s="9">
        <v>0</v>
      </c>
      <c r="C7881" s="257" t="s">
        <v>13913</v>
      </c>
      <c r="D7881" s="9">
        <v>0.38314735585574938</v>
      </c>
      <c r="E7881" s="9">
        <v>17258998.467498779</v>
      </c>
      <c r="F7881" s="257" t="s">
        <v>18157</v>
      </c>
      <c r="G7881" s="9">
        <v>1</v>
      </c>
      <c r="H7881" s="257" t="s">
        <v>25850</v>
      </c>
      <c r="I7881" s="9">
        <v>4</v>
      </c>
    </row>
    <row r="7882" spans="1:9">
      <c r="A7882" s="257" t="s">
        <v>8980</v>
      </c>
      <c r="B7882" s="9">
        <v>0</v>
      </c>
      <c r="C7882" s="257" t="s">
        <v>13914</v>
      </c>
      <c r="D7882" s="9">
        <v>0.11343147222378326</v>
      </c>
      <c r="E7882" s="9">
        <v>17258998.467498779</v>
      </c>
      <c r="F7882" s="257" t="s">
        <v>18157</v>
      </c>
      <c r="G7882" s="9">
        <v>1</v>
      </c>
      <c r="H7882" s="257" t="s">
        <v>25850</v>
      </c>
      <c r="I7882" s="9">
        <v>4</v>
      </c>
    </row>
    <row r="7883" spans="1:9">
      <c r="A7883" s="257" t="s">
        <v>8981</v>
      </c>
      <c r="B7883" s="9">
        <v>0</v>
      </c>
      <c r="C7883" s="257" t="s">
        <v>13915</v>
      </c>
      <c r="D7883" s="9">
        <v>4.6985004124137614E-2</v>
      </c>
      <c r="E7883" s="9">
        <v>17258998.467498779</v>
      </c>
      <c r="F7883" s="257" t="s">
        <v>18157</v>
      </c>
      <c r="G7883" s="9">
        <v>1</v>
      </c>
      <c r="H7883" s="257" t="s">
        <v>25850</v>
      </c>
      <c r="I7883" s="9">
        <v>4</v>
      </c>
    </row>
    <row r="7884" spans="1:9">
      <c r="A7884" s="257" t="s">
        <v>8982</v>
      </c>
      <c r="B7884" s="9">
        <v>0</v>
      </c>
      <c r="C7884" s="257" t="s">
        <v>13916</v>
      </c>
      <c r="D7884" s="9">
        <v>0.385411843162622</v>
      </c>
      <c r="E7884" s="9">
        <v>17258998.467498779</v>
      </c>
      <c r="F7884" s="257" t="s">
        <v>18158</v>
      </c>
      <c r="G7884" s="9">
        <v>1</v>
      </c>
      <c r="H7884" s="257" t="s">
        <v>25850</v>
      </c>
      <c r="I7884" s="9">
        <v>4</v>
      </c>
    </row>
    <row r="7885" spans="1:9">
      <c r="A7885" s="257" t="s">
        <v>8983</v>
      </c>
      <c r="B7885" s="9">
        <v>0</v>
      </c>
      <c r="C7885" s="257" t="s">
        <v>13917</v>
      </c>
      <c r="D7885" s="9">
        <v>0.11427846953778792</v>
      </c>
      <c r="E7885" s="9">
        <v>17258998.467498779</v>
      </c>
      <c r="F7885" s="257" t="s">
        <v>18158</v>
      </c>
      <c r="G7885" s="9">
        <v>1</v>
      </c>
      <c r="H7885" s="257" t="s">
        <v>25850</v>
      </c>
      <c r="I7885" s="9">
        <v>4</v>
      </c>
    </row>
    <row r="7886" spans="1:9">
      <c r="A7886" s="257" t="s">
        <v>8984</v>
      </c>
      <c r="B7886" s="9">
        <v>0</v>
      </c>
      <c r="C7886" s="257" t="s">
        <v>13918</v>
      </c>
      <c r="D7886" s="9">
        <v>4.7374657188523094E-2</v>
      </c>
      <c r="E7886" s="9">
        <v>17258998.467498779</v>
      </c>
      <c r="F7886" s="257" t="s">
        <v>18158</v>
      </c>
      <c r="G7886" s="9">
        <v>1</v>
      </c>
      <c r="H7886" s="257" t="s">
        <v>25850</v>
      </c>
      <c r="I7886" s="9">
        <v>4</v>
      </c>
    </row>
    <row r="7887" spans="1:9">
      <c r="A7887" s="257" t="s">
        <v>8985</v>
      </c>
      <c r="B7887" s="9">
        <v>0</v>
      </c>
      <c r="C7887" s="257" t="s">
        <v>13919</v>
      </c>
      <c r="D7887" s="9">
        <v>0.37827899999999998</v>
      </c>
      <c r="E7887" s="9">
        <v>17258998.467498779</v>
      </c>
      <c r="F7887" s="257" t="s">
        <v>18159</v>
      </c>
      <c r="G7887" s="9">
        <v>1</v>
      </c>
      <c r="H7887" s="257" t="s">
        <v>25851</v>
      </c>
      <c r="I7887" s="9">
        <v>4</v>
      </c>
    </row>
    <row r="7888" spans="1:9">
      <c r="A7888" s="257" t="s">
        <v>8986</v>
      </c>
      <c r="B7888" s="9">
        <v>0</v>
      </c>
      <c r="C7888" s="257" t="s">
        <v>13920</v>
      </c>
      <c r="D7888" s="9">
        <v>0.2584941</v>
      </c>
      <c r="E7888" s="9">
        <v>17258998.467498779</v>
      </c>
      <c r="F7888" s="257" t="s">
        <v>18159</v>
      </c>
      <c r="G7888" s="9">
        <v>1</v>
      </c>
      <c r="H7888" s="257" t="s">
        <v>25852</v>
      </c>
      <c r="I7888" s="9">
        <v>4</v>
      </c>
    </row>
    <row r="7889" spans="1:9">
      <c r="A7889" s="257" t="s">
        <v>8987</v>
      </c>
      <c r="B7889" s="9">
        <v>0</v>
      </c>
      <c r="C7889" s="257" t="s">
        <v>13921</v>
      </c>
      <c r="D7889" s="9">
        <v>0.38682443072049755</v>
      </c>
      <c r="E7889" s="9">
        <v>17258998.467498779</v>
      </c>
      <c r="F7889" s="257" t="s">
        <v>18159</v>
      </c>
      <c r="G7889" s="9">
        <v>1</v>
      </c>
      <c r="H7889" s="257" t="s">
        <v>25853</v>
      </c>
      <c r="I7889" s="9">
        <v>4</v>
      </c>
    </row>
    <row r="7890" spans="1:9">
      <c r="A7890" s="257" t="s">
        <v>8988</v>
      </c>
      <c r="B7890" s="9">
        <v>0</v>
      </c>
      <c r="C7890" s="257" t="s">
        <v>13922</v>
      </c>
      <c r="D7890" s="9">
        <v>0.11471599521451278</v>
      </c>
      <c r="E7890" s="9">
        <v>17258998.467498779</v>
      </c>
      <c r="F7890" s="257" t="s">
        <v>18159</v>
      </c>
      <c r="G7890" s="9">
        <v>1</v>
      </c>
      <c r="H7890" s="257" t="s">
        <v>25853</v>
      </c>
      <c r="I7890" s="9">
        <v>4</v>
      </c>
    </row>
    <row r="7891" spans="1:9">
      <c r="A7891" s="257" t="s">
        <v>8989</v>
      </c>
      <c r="B7891" s="9">
        <v>0</v>
      </c>
      <c r="C7891" s="257" t="s">
        <v>13923</v>
      </c>
      <c r="D7891" s="9">
        <v>4.7585780324508969E-2</v>
      </c>
      <c r="E7891" s="9">
        <v>17258998.467498779</v>
      </c>
      <c r="F7891" s="257" t="s">
        <v>18159</v>
      </c>
      <c r="G7891" s="9">
        <v>1</v>
      </c>
      <c r="H7891" s="257" t="s">
        <v>25853</v>
      </c>
      <c r="I7891" s="9">
        <v>4</v>
      </c>
    </row>
    <row r="7892" spans="1:9">
      <c r="A7892" s="257" t="s">
        <v>8990</v>
      </c>
      <c r="B7892" s="9">
        <v>0</v>
      </c>
      <c r="C7892" s="257" t="s">
        <v>13924</v>
      </c>
      <c r="D7892" s="9">
        <v>0.37994610000000001</v>
      </c>
      <c r="E7892" s="9">
        <v>17258998.467498779</v>
      </c>
      <c r="F7892" s="257" t="s">
        <v>18160</v>
      </c>
      <c r="G7892" s="9">
        <v>1</v>
      </c>
      <c r="H7892" s="257" t="s">
        <v>25854</v>
      </c>
      <c r="I7892" s="9">
        <v>4</v>
      </c>
    </row>
    <row r="7893" spans="1:9">
      <c r="A7893" s="257" t="s">
        <v>8991</v>
      </c>
      <c r="B7893" s="9">
        <v>0</v>
      </c>
      <c r="C7893" s="257" t="s">
        <v>13925</v>
      </c>
      <c r="D7893" s="9">
        <v>0.26103470000000001</v>
      </c>
      <c r="E7893" s="9">
        <v>17258998.467498779</v>
      </c>
      <c r="F7893" s="257" t="s">
        <v>18160</v>
      </c>
      <c r="G7893" s="9">
        <v>1</v>
      </c>
      <c r="H7893" s="257" t="s">
        <v>25855</v>
      </c>
      <c r="I7893" s="9">
        <v>4</v>
      </c>
    </row>
    <row r="7894" spans="1:9">
      <c r="A7894" s="257" t="s">
        <v>8992</v>
      </c>
      <c r="B7894" s="9">
        <v>0</v>
      </c>
      <c r="C7894" s="257" t="s">
        <v>13926</v>
      </c>
      <c r="D7894" s="9">
        <v>0.38378446411110612</v>
      </c>
      <c r="E7894" s="9">
        <v>17258998.467498779</v>
      </c>
      <c r="F7894" s="257" t="s">
        <v>18160</v>
      </c>
      <c r="G7894" s="9">
        <v>1</v>
      </c>
      <c r="H7894" s="257" t="s">
        <v>25856</v>
      </c>
      <c r="I7894" s="9">
        <v>4</v>
      </c>
    </row>
    <row r="7895" spans="1:9">
      <c r="A7895" s="257" t="s">
        <v>8993</v>
      </c>
      <c r="B7895" s="9">
        <v>0</v>
      </c>
      <c r="C7895" s="257" t="s">
        <v>13927</v>
      </c>
      <c r="D7895" s="9">
        <v>0.11353530088362165</v>
      </c>
      <c r="E7895" s="9">
        <v>17258998.467498779</v>
      </c>
      <c r="F7895" s="257" t="s">
        <v>18160</v>
      </c>
      <c r="G7895" s="9">
        <v>1</v>
      </c>
      <c r="H7895" s="257" t="s">
        <v>25856</v>
      </c>
      <c r="I7895" s="9">
        <v>4</v>
      </c>
    </row>
    <row r="7896" spans="1:9">
      <c r="A7896" s="257" t="s">
        <v>8994</v>
      </c>
      <c r="B7896" s="9">
        <v>0</v>
      </c>
      <c r="C7896" s="257" t="s">
        <v>13928</v>
      </c>
      <c r="D7896" s="9">
        <v>4.7039258891505301E-2</v>
      </c>
      <c r="E7896" s="9">
        <v>17258998.467498779</v>
      </c>
      <c r="F7896" s="257" t="s">
        <v>18160</v>
      </c>
      <c r="G7896" s="9">
        <v>1</v>
      </c>
      <c r="H7896" s="257" t="s">
        <v>25856</v>
      </c>
      <c r="I7896" s="9">
        <v>4</v>
      </c>
    </row>
    <row r="7897" spans="1:9">
      <c r="A7897" s="257" t="s">
        <v>8995</v>
      </c>
      <c r="B7897" s="9">
        <v>0</v>
      </c>
      <c r="C7897" s="257" t="s">
        <v>13929</v>
      </c>
      <c r="D7897" s="9">
        <v>0.37896819999999998</v>
      </c>
      <c r="E7897" s="9">
        <v>17258998.467498779</v>
      </c>
      <c r="F7897" s="257" t="s">
        <v>18161</v>
      </c>
      <c r="G7897" s="9">
        <v>1</v>
      </c>
      <c r="H7897" s="257" t="s">
        <v>25857</v>
      </c>
      <c r="I7897" s="9">
        <v>4</v>
      </c>
    </row>
    <row r="7898" spans="1:9">
      <c r="A7898" s="257" t="s">
        <v>8996</v>
      </c>
      <c r="B7898" s="9">
        <v>0</v>
      </c>
      <c r="C7898" s="257" t="s">
        <v>13930</v>
      </c>
      <c r="D7898" s="9">
        <v>0.25955669999999997</v>
      </c>
      <c r="E7898" s="9">
        <v>17258998.467498779</v>
      </c>
      <c r="F7898" s="257" t="s">
        <v>18161</v>
      </c>
      <c r="G7898" s="9">
        <v>1</v>
      </c>
      <c r="H7898" s="257" t="s">
        <v>25858</v>
      </c>
      <c r="I7898" s="9">
        <v>4</v>
      </c>
    </row>
    <row r="7899" spans="1:9">
      <c r="A7899" s="257" t="s">
        <v>8997</v>
      </c>
      <c r="B7899" s="9">
        <v>0</v>
      </c>
      <c r="C7899" s="257" t="s">
        <v>13931</v>
      </c>
      <c r="D7899" s="9">
        <v>0.38381684882540035</v>
      </c>
      <c r="E7899" s="9">
        <v>17258998.467498779</v>
      </c>
      <c r="F7899" s="257" t="s">
        <v>18161</v>
      </c>
      <c r="G7899" s="9">
        <v>1</v>
      </c>
      <c r="H7899" s="257" t="s">
        <v>25859</v>
      </c>
      <c r="I7899" s="9">
        <v>4</v>
      </c>
    </row>
    <row r="7900" spans="1:9">
      <c r="A7900" s="257" t="s">
        <v>8998</v>
      </c>
      <c r="B7900" s="9">
        <v>0</v>
      </c>
      <c r="C7900" s="257" t="s">
        <v>13932</v>
      </c>
      <c r="D7900" s="9">
        <v>0.11367171601551627</v>
      </c>
      <c r="E7900" s="9">
        <v>17258998.467498779</v>
      </c>
      <c r="F7900" s="257" t="s">
        <v>18161</v>
      </c>
      <c r="G7900" s="9">
        <v>1</v>
      </c>
      <c r="H7900" s="257" t="s">
        <v>25859</v>
      </c>
      <c r="I7900" s="9">
        <v>4</v>
      </c>
    </row>
    <row r="7901" spans="1:9">
      <c r="A7901" s="257" t="s">
        <v>8999</v>
      </c>
      <c r="B7901" s="9">
        <v>0</v>
      </c>
      <c r="C7901" s="257" t="s">
        <v>13933</v>
      </c>
      <c r="D7901" s="9">
        <v>4.7087288057786357E-2</v>
      </c>
      <c r="E7901" s="9">
        <v>17258998.467498779</v>
      </c>
      <c r="F7901" s="257" t="s">
        <v>18161</v>
      </c>
      <c r="G7901" s="9">
        <v>1</v>
      </c>
      <c r="H7901" s="257" t="s">
        <v>25859</v>
      </c>
      <c r="I7901" s="9">
        <v>4</v>
      </c>
    </row>
    <row r="7902" spans="1:9">
      <c r="A7902" s="257" t="s">
        <v>9000</v>
      </c>
      <c r="B7902" s="9">
        <v>0</v>
      </c>
      <c r="C7902" s="257" t="s">
        <v>13934</v>
      </c>
      <c r="D7902" s="9">
        <v>0.37998369999999998</v>
      </c>
      <c r="E7902" s="9">
        <v>17258998.467498779</v>
      </c>
      <c r="F7902" s="257" t="s">
        <v>18162</v>
      </c>
      <c r="G7902" s="9">
        <v>1</v>
      </c>
      <c r="H7902" s="257" t="s">
        <v>25860</v>
      </c>
      <c r="I7902" s="9">
        <v>4</v>
      </c>
    </row>
    <row r="7903" spans="1:9">
      <c r="A7903" s="257" t="s">
        <v>9001</v>
      </c>
      <c r="B7903" s="9">
        <v>0</v>
      </c>
      <c r="C7903" s="257" t="s">
        <v>13935</v>
      </c>
      <c r="D7903" s="9">
        <v>0.26107029999999998</v>
      </c>
      <c r="E7903" s="9">
        <v>17258998.467498779</v>
      </c>
      <c r="F7903" s="257" t="s">
        <v>18162</v>
      </c>
      <c r="G7903" s="9">
        <v>1</v>
      </c>
      <c r="H7903" s="257" t="s">
        <v>25861</v>
      </c>
      <c r="I7903" s="9">
        <v>4</v>
      </c>
    </row>
    <row r="7904" spans="1:9">
      <c r="A7904" s="257" t="s">
        <v>9002</v>
      </c>
      <c r="B7904" s="9">
        <v>0</v>
      </c>
      <c r="C7904" s="257" t="s">
        <v>13936</v>
      </c>
      <c r="D7904" s="9">
        <v>0.38205191301336816</v>
      </c>
      <c r="E7904" s="9">
        <v>17258998.467498779</v>
      </c>
      <c r="F7904" s="257" t="s">
        <v>18162</v>
      </c>
      <c r="G7904" s="9">
        <v>1</v>
      </c>
      <c r="H7904" s="257" t="s">
        <v>25862</v>
      </c>
      <c r="I7904" s="9">
        <v>4</v>
      </c>
    </row>
    <row r="7905" spans="1:9">
      <c r="A7905" s="257" t="s">
        <v>9003</v>
      </c>
      <c r="B7905" s="9">
        <v>0</v>
      </c>
      <c r="C7905" s="257" t="s">
        <v>13937</v>
      </c>
      <c r="D7905" s="9">
        <v>0.11297249405163107</v>
      </c>
      <c r="E7905" s="9">
        <v>17258998.467498779</v>
      </c>
      <c r="F7905" s="257" t="s">
        <v>18162</v>
      </c>
      <c r="G7905" s="9">
        <v>1</v>
      </c>
      <c r="H7905" s="257" t="s">
        <v>25862</v>
      </c>
      <c r="I7905" s="9">
        <v>4</v>
      </c>
    </row>
    <row r="7906" spans="1:9">
      <c r="A7906" s="257" t="s">
        <v>9004</v>
      </c>
      <c r="B7906" s="9">
        <v>0</v>
      </c>
      <c r="C7906" s="257" t="s">
        <v>13938</v>
      </c>
      <c r="D7906" s="9">
        <v>4.6771718557884694E-2</v>
      </c>
      <c r="E7906" s="9">
        <v>17258998.467498779</v>
      </c>
      <c r="F7906" s="257" t="s">
        <v>18162</v>
      </c>
      <c r="G7906" s="9">
        <v>1</v>
      </c>
      <c r="H7906" s="257" t="s">
        <v>25862</v>
      </c>
      <c r="I7906" s="9">
        <v>4</v>
      </c>
    </row>
    <row r="7907" spans="1:9">
      <c r="A7907" s="257" t="s">
        <v>9005</v>
      </c>
      <c r="B7907" s="9">
        <v>0</v>
      </c>
      <c r="C7907" s="257" t="s">
        <v>13939</v>
      </c>
      <c r="D7907" s="9">
        <v>0.38011499999999998</v>
      </c>
      <c r="E7907" s="9">
        <v>17258998.467498779</v>
      </c>
      <c r="F7907" s="257" t="s">
        <v>18163</v>
      </c>
      <c r="G7907" s="9">
        <v>1</v>
      </c>
      <c r="H7907" s="257" t="s">
        <v>25863</v>
      </c>
      <c r="I7907" s="9">
        <v>4</v>
      </c>
    </row>
    <row r="7908" spans="1:9">
      <c r="A7908" s="257" t="s">
        <v>9006</v>
      </c>
      <c r="B7908" s="9">
        <v>0</v>
      </c>
      <c r="C7908" s="257" t="s">
        <v>13940</v>
      </c>
      <c r="D7908" s="9">
        <v>0.26091259999999999</v>
      </c>
      <c r="E7908" s="9">
        <v>17258998.467498779</v>
      </c>
      <c r="F7908" s="257" t="s">
        <v>18163</v>
      </c>
      <c r="G7908" s="9">
        <v>1</v>
      </c>
      <c r="H7908" s="257" t="s">
        <v>25864</v>
      </c>
      <c r="I7908" s="9">
        <v>4</v>
      </c>
    </row>
    <row r="7909" spans="1:9">
      <c r="A7909" s="257" t="s">
        <v>9007</v>
      </c>
      <c r="B7909" s="9">
        <v>0</v>
      </c>
      <c r="C7909" s="257" t="s">
        <v>13941</v>
      </c>
      <c r="D7909" s="9">
        <v>0.3814392969193241</v>
      </c>
      <c r="E7909" s="9">
        <v>17258998.467498779</v>
      </c>
      <c r="F7909" s="257" t="s">
        <v>18163</v>
      </c>
      <c r="G7909" s="9">
        <v>1</v>
      </c>
      <c r="H7909" s="257" t="s">
        <v>25865</v>
      </c>
      <c r="I7909" s="9">
        <v>4</v>
      </c>
    </row>
    <row r="7910" spans="1:9">
      <c r="A7910" s="257" t="s">
        <v>9008</v>
      </c>
      <c r="B7910" s="9">
        <v>0</v>
      </c>
      <c r="C7910" s="257" t="s">
        <v>13942</v>
      </c>
      <c r="D7910" s="9">
        <v>0.11292545848727178</v>
      </c>
      <c r="E7910" s="9">
        <v>17258998.467498779</v>
      </c>
      <c r="F7910" s="257" t="s">
        <v>18163</v>
      </c>
      <c r="G7910" s="9">
        <v>1</v>
      </c>
      <c r="H7910" s="257" t="s">
        <v>25865</v>
      </c>
      <c r="I7910" s="9">
        <v>4</v>
      </c>
    </row>
    <row r="7911" spans="1:9">
      <c r="A7911" s="257" t="s">
        <v>9009</v>
      </c>
      <c r="B7911" s="9">
        <v>0</v>
      </c>
      <c r="C7911" s="257" t="s">
        <v>13943</v>
      </c>
      <c r="D7911" s="9">
        <v>4.6829181950065517E-2</v>
      </c>
      <c r="E7911" s="9">
        <v>17258998.467498779</v>
      </c>
      <c r="F7911" s="257" t="s">
        <v>18163</v>
      </c>
      <c r="G7911" s="9">
        <v>1</v>
      </c>
      <c r="H7911" s="257" t="s">
        <v>25865</v>
      </c>
      <c r="I7911" s="9">
        <v>4</v>
      </c>
    </row>
    <row r="7912" spans="1:9">
      <c r="A7912" s="257" t="s">
        <v>9010</v>
      </c>
      <c r="B7912" s="9">
        <v>0</v>
      </c>
      <c r="C7912" s="257" t="s">
        <v>13944</v>
      </c>
      <c r="D7912" s="9">
        <v>0.37890509999999999</v>
      </c>
      <c r="E7912" s="9">
        <v>17258998.467498779</v>
      </c>
      <c r="F7912" s="257" t="s">
        <v>18164</v>
      </c>
      <c r="G7912" s="9">
        <v>1</v>
      </c>
      <c r="H7912" s="257" t="s">
        <v>25866</v>
      </c>
      <c r="I7912" s="9">
        <v>4</v>
      </c>
    </row>
    <row r="7913" spans="1:9">
      <c r="A7913" s="257" t="s">
        <v>9011</v>
      </c>
      <c r="B7913" s="9">
        <v>0</v>
      </c>
      <c r="C7913" s="257" t="s">
        <v>13945</v>
      </c>
      <c r="D7913" s="9">
        <v>0.25948880000000002</v>
      </c>
      <c r="E7913" s="9">
        <v>17258998.467498779</v>
      </c>
      <c r="F7913" s="257" t="s">
        <v>18164</v>
      </c>
      <c r="G7913" s="9">
        <v>1</v>
      </c>
      <c r="H7913" s="257" t="s">
        <v>25867</v>
      </c>
      <c r="I7913" s="9">
        <v>4</v>
      </c>
    </row>
    <row r="7914" spans="1:9">
      <c r="A7914" s="257" t="s">
        <v>9012</v>
      </c>
      <c r="B7914" s="9">
        <v>0</v>
      </c>
      <c r="C7914" s="257" t="s">
        <v>13946</v>
      </c>
      <c r="D7914" s="9">
        <v>0.38671800590627525</v>
      </c>
      <c r="E7914" s="9">
        <v>17258998.467498779</v>
      </c>
      <c r="F7914" s="257" t="s">
        <v>18164</v>
      </c>
      <c r="G7914" s="9">
        <v>1</v>
      </c>
      <c r="H7914" s="257" t="s">
        <v>25868</v>
      </c>
      <c r="I7914" s="9">
        <v>4</v>
      </c>
    </row>
    <row r="7915" spans="1:9">
      <c r="A7915" s="257" t="s">
        <v>9013</v>
      </c>
      <c r="B7915" s="9">
        <v>0</v>
      </c>
      <c r="C7915" s="257" t="s">
        <v>13947</v>
      </c>
      <c r="D7915" s="9">
        <v>0.1144789624086157</v>
      </c>
      <c r="E7915" s="9">
        <v>17258998.467498779</v>
      </c>
      <c r="F7915" s="257" t="s">
        <v>18164</v>
      </c>
      <c r="G7915" s="9">
        <v>1</v>
      </c>
      <c r="H7915" s="257" t="s">
        <v>25868</v>
      </c>
      <c r="I7915" s="9">
        <v>4</v>
      </c>
    </row>
    <row r="7916" spans="1:9">
      <c r="A7916" s="257" t="s">
        <v>9014</v>
      </c>
      <c r="B7916" s="9">
        <v>0</v>
      </c>
      <c r="C7916" s="257" t="s">
        <v>13948</v>
      </c>
      <c r="D7916" s="9">
        <v>4.747346310813047E-2</v>
      </c>
      <c r="E7916" s="9">
        <v>17258998.467498779</v>
      </c>
      <c r="F7916" s="257" t="s">
        <v>18164</v>
      </c>
      <c r="G7916" s="9">
        <v>1</v>
      </c>
      <c r="H7916" s="257" t="s">
        <v>25868</v>
      </c>
      <c r="I7916" s="9">
        <v>4</v>
      </c>
    </row>
    <row r="7917" spans="1:9">
      <c r="A7917" s="257" t="s">
        <v>9015</v>
      </c>
      <c r="B7917" s="9">
        <v>0</v>
      </c>
      <c r="C7917" s="257" t="s">
        <v>13949</v>
      </c>
      <c r="D7917" s="9">
        <v>0.38009379999999998</v>
      </c>
      <c r="E7917" s="9">
        <v>17258998.467498779</v>
      </c>
      <c r="F7917" s="257" t="s">
        <v>18165</v>
      </c>
      <c r="G7917" s="9">
        <v>1</v>
      </c>
      <c r="H7917" s="257" t="s">
        <v>25869</v>
      </c>
      <c r="I7917" s="9">
        <v>4</v>
      </c>
    </row>
    <row r="7918" spans="1:9">
      <c r="A7918" s="257" t="s">
        <v>9016</v>
      </c>
      <c r="B7918" s="9">
        <v>0</v>
      </c>
      <c r="C7918" s="257" t="s">
        <v>13950</v>
      </c>
      <c r="D7918" s="9">
        <v>0.26088630000000002</v>
      </c>
      <c r="E7918" s="9">
        <v>17258998.467498779</v>
      </c>
      <c r="F7918" s="257" t="s">
        <v>18165</v>
      </c>
      <c r="G7918" s="9">
        <v>1</v>
      </c>
      <c r="H7918" s="257" t="s">
        <v>25870</v>
      </c>
      <c r="I7918" s="9">
        <v>4</v>
      </c>
    </row>
    <row r="7919" spans="1:9">
      <c r="A7919" s="257" t="s">
        <v>9017</v>
      </c>
      <c r="B7919" s="9">
        <v>0</v>
      </c>
      <c r="C7919" s="257" t="s">
        <v>13951</v>
      </c>
      <c r="D7919" s="9">
        <v>0.38208022620779081</v>
      </c>
      <c r="E7919" s="9">
        <v>17258998.467498779</v>
      </c>
      <c r="F7919" s="257" t="s">
        <v>18165</v>
      </c>
      <c r="G7919" s="9">
        <v>1</v>
      </c>
      <c r="H7919" s="257" t="s">
        <v>25871</v>
      </c>
      <c r="I7919" s="9">
        <v>4</v>
      </c>
    </row>
    <row r="7920" spans="1:9">
      <c r="A7920" s="257" t="s">
        <v>9018</v>
      </c>
      <c r="B7920" s="9">
        <v>0</v>
      </c>
      <c r="C7920" s="257" t="s">
        <v>13952</v>
      </c>
      <c r="D7920" s="9">
        <v>0.11316295385761618</v>
      </c>
      <c r="E7920" s="9">
        <v>17258998.467498779</v>
      </c>
      <c r="F7920" s="257" t="s">
        <v>18165</v>
      </c>
      <c r="G7920" s="9">
        <v>1</v>
      </c>
      <c r="H7920" s="257" t="s">
        <v>25871</v>
      </c>
      <c r="I7920" s="9">
        <v>4</v>
      </c>
    </row>
    <row r="7921" spans="1:9">
      <c r="A7921" s="257" t="s">
        <v>9019</v>
      </c>
      <c r="B7921" s="9">
        <v>0</v>
      </c>
      <c r="C7921" s="257" t="s">
        <v>13953</v>
      </c>
      <c r="D7921" s="9">
        <v>4.6943865475357158E-2</v>
      </c>
      <c r="E7921" s="9">
        <v>17258998.467498779</v>
      </c>
      <c r="F7921" s="257" t="s">
        <v>18165</v>
      </c>
      <c r="G7921" s="9">
        <v>1</v>
      </c>
      <c r="H7921" s="257" t="s">
        <v>25871</v>
      </c>
      <c r="I7921" s="9">
        <v>4</v>
      </c>
    </row>
  </sheetData>
  <autoFilter ref="A1:I6657" xr:uid="{00000000-0009-0000-0000-00001C000000}"/>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32"/>
  <dimension ref="A1:H9"/>
  <sheetViews>
    <sheetView workbookViewId="0">
      <selection activeCell="K6" sqref="K6"/>
    </sheetView>
  </sheetViews>
  <sheetFormatPr baseColWidth="10" defaultColWidth="8.88671875" defaultRowHeight="14.4"/>
  <sheetData>
    <row r="1" spans="1:8">
      <c r="A1" t="s">
        <v>25873</v>
      </c>
      <c r="B1" t="s">
        <v>25874</v>
      </c>
      <c r="C1" t="s">
        <v>25875</v>
      </c>
      <c r="D1" t="s">
        <v>25876</v>
      </c>
      <c r="E1" t="s">
        <v>25877</v>
      </c>
      <c r="F1" t="s">
        <v>25878</v>
      </c>
      <c r="G1" t="s">
        <v>25879</v>
      </c>
      <c r="H1" t="s">
        <v>25880</v>
      </c>
    </row>
    <row r="2" spans="1:8">
      <c r="A2" s="9">
        <v>1435.4820681768185</v>
      </c>
      <c r="B2" s="9">
        <v>786.66630537152434</v>
      </c>
      <c r="C2" s="9">
        <v>341.46058625003838</v>
      </c>
      <c r="D2" s="9">
        <v>306.592194456708</v>
      </c>
      <c r="E2" s="9">
        <v>1101524</v>
      </c>
      <c r="F2" s="9">
        <v>1111227</v>
      </c>
      <c r="G2" s="9">
        <v>0.24076910441333813</v>
      </c>
      <c r="H2" t="s">
        <v>25881</v>
      </c>
    </row>
    <row r="3" spans="1:8">
      <c r="A3" s="9">
        <v>2021.7625935792164</v>
      </c>
      <c r="B3" s="9">
        <v>978.00709244752886</v>
      </c>
      <c r="C3" s="9">
        <v>586.2111461053762</v>
      </c>
      <c r="D3" s="9">
        <v>456.4697552799143</v>
      </c>
      <c r="E3" s="9">
        <v>1190855.6709360655</v>
      </c>
      <c r="F3" s="9">
        <v>1201345.5672752208</v>
      </c>
      <c r="G3" s="9">
        <v>0.58992048799327657</v>
      </c>
      <c r="H3" t="s">
        <v>25882</v>
      </c>
    </row>
    <row r="4" spans="1:8">
      <c r="A4" s="9">
        <v>1435.4820681768185</v>
      </c>
      <c r="B4" s="9">
        <v>786.66630537152434</v>
      </c>
      <c r="C4" s="9">
        <v>341.46058625003838</v>
      </c>
      <c r="D4" s="9">
        <v>306.592194456708</v>
      </c>
      <c r="E4" s="9">
        <v>1101524</v>
      </c>
      <c r="F4" s="9">
        <v>1111227</v>
      </c>
      <c r="G4" s="9">
        <v>0.24076910441333813</v>
      </c>
      <c r="H4" t="s">
        <v>25883</v>
      </c>
    </row>
    <row r="5" spans="1:8">
      <c r="A5" s="9">
        <v>2021.7625935792164</v>
      </c>
      <c r="B5" s="9">
        <v>978.00709244752886</v>
      </c>
      <c r="C5" s="9">
        <v>586.2111461053762</v>
      </c>
      <c r="D5" s="9">
        <v>456.4697552799143</v>
      </c>
      <c r="E5" s="9">
        <v>1190855.6709360655</v>
      </c>
      <c r="F5" s="9">
        <v>1201345.5672752208</v>
      </c>
      <c r="G5" s="9">
        <v>0.58992048799327657</v>
      </c>
      <c r="H5" t="s">
        <v>25884</v>
      </c>
    </row>
    <row r="6" spans="1:8">
      <c r="A6" s="9">
        <v>1435.4820681768185</v>
      </c>
      <c r="B6" s="9">
        <v>786.66630537152434</v>
      </c>
      <c r="C6" s="9">
        <v>341.46058625003838</v>
      </c>
      <c r="D6" s="9">
        <v>306.592194456708</v>
      </c>
      <c r="E6" s="9">
        <v>1101524</v>
      </c>
      <c r="F6" s="9">
        <v>1111227</v>
      </c>
      <c r="G6" s="9">
        <v>0.24076910441333813</v>
      </c>
      <c r="H6" t="s">
        <v>25885</v>
      </c>
    </row>
    <row r="7" spans="1:8">
      <c r="A7" s="9">
        <v>2021.7625935792164</v>
      </c>
      <c r="B7" s="9">
        <v>978.00709244752886</v>
      </c>
      <c r="C7" s="9">
        <v>586.2111461053762</v>
      </c>
      <c r="D7" s="9">
        <v>456.4697552799143</v>
      </c>
      <c r="E7" s="9">
        <v>1190855.6709360655</v>
      </c>
      <c r="F7" s="9">
        <v>1201345.5672752208</v>
      </c>
      <c r="G7" s="9">
        <v>0.58992048799327657</v>
      </c>
      <c r="H7" t="s">
        <v>25886</v>
      </c>
    </row>
    <row r="8" spans="1:8">
      <c r="A8" s="9">
        <v>1435.4820681768185</v>
      </c>
      <c r="B8" s="9">
        <v>786.66630537152434</v>
      </c>
      <c r="C8" s="9">
        <v>341.46058625003838</v>
      </c>
      <c r="D8" s="9">
        <v>306.592194456708</v>
      </c>
      <c r="E8" s="9">
        <v>1101524</v>
      </c>
      <c r="F8" s="9">
        <v>1111227</v>
      </c>
      <c r="G8" s="9">
        <v>0.24076910441333813</v>
      </c>
      <c r="H8" t="s">
        <v>25887</v>
      </c>
    </row>
    <row r="9" spans="1:8">
      <c r="A9" s="9">
        <v>2021.7625935792164</v>
      </c>
      <c r="B9" s="9">
        <v>978.00709244752886</v>
      </c>
      <c r="C9" s="9">
        <v>586.2111461053762</v>
      </c>
      <c r="D9" s="9">
        <v>456.4697552799143</v>
      </c>
      <c r="E9" s="9">
        <v>1190855.6709360655</v>
      </c>
      <c r="F9" s="9">
        <v>1201345.5672752208</v>
      </c>
      <c r="G9" s="9">
        <v>0.58992048799327657</v>
      </c>
      <c r="H9" t="s">
        <v>25888</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3"/>
  <dimension ref="A1:B11"/>
  <sheetViews>
    <sheetView workbookViewId="0"/>
  </sheetViews>
  <sheetFormatPr baseColWidth="10" defaultColWidth="8.88671875" defaultRowHeight="14.4"/>
  <sheetData>
    <row r="1" spans="1:2">
      <c r="A1" t="s">
        <v>998</v>
      </c>
      <c r="B1" t="s">
        <v>999</v>
      </c>
    </row>
    <row r="2" spans="1:2">
      <c r="A2" s="9">
        <v>1</v>
      </c>
      <c r="B2" s="707">
        <v>7.6071281536266673E-3</v>
      </c>
    </row>
    <row r="3" spans="1:2">
      <c r="A3" s="9">
        <v>2</v>
      </c>
      <c r="B3" s="707">
        <v>1.1403041768935227E-2</v>
      </c>
    </row>
    <row r="4" spans="1:2">
      <c r="A4" s="9">
        <v>3</v>
      </c>
      <c r="B4" s="707">
        <v>1.503155567008539E-2</v>
      </c>
    </row>
    <row r="5" spans="1:2">
      <c r="A5" s="9">
        <v>4</v>
      </c>
      <c r="B5" s="707">
        <v>1.8836051790643342E-2</v>
      </c>
    </row>
    <row r="6" spans="1:2">
      <c r="A6" s="9">
        <v>5</v>
      </c>
      <c r="B6" s="707">
        <v>1.9466362127531237E-2</v>
      </c>
    </row>
    <row r="7" spans="1:2">
      <c r="A7" s="9">
        <v>6</v>
      </c>
      <c r="B7" s="707">
        <v>2.5793590814124471E-2</v>
      </c>
    </row>
    <row r="8" spans="1:2">
      <c r="A8" s="9">
        <v>7</v>
      </c>
      <c r="B8" s="707">
        <v>2.9892093995178184E-2</v>
      </c>
    </row>
    <row r="9" spans="1:2">
      <c r="A9" s="9">
        <v>8</v>
      </c>
      <c r="B9" s="707">
        <v>3.2825041813009034E-2</v>
      </c>
    </row>
    <row r="10" spans="1:2">
      <c r="A10" s="9">
        <v>9</v>
      </c>
      <c r="B10" s="707">
        <v>3.5818481066294851E-2</v>
      </c>
    </row>
    <row r="11" spans="1:2">
      <c r="A11" s="9">
        <v>10</v>
      </c>
      <c r="B11" s="707">
        <v>3.7423199305943601E-2</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4"/>
  <dimension ref="A1:F11"/>
  <sheetViews>
    <sheetView workbookViewId="0">
      <selection activeCell="J16" sqref="J16"/>
    </sheetView>
  </sheetViews>
  <sheetFormatPr baseColWidth="10" defaultColWidth="8.88671875" defaultRowHeight="14.4"/>
  <sheetData>
    <row r="1" spans="1:6">
      <c r="A1" t="s">
        <v>25889</v>
      </c>
      <c r="B1" t="s">
        <v>25890</v>
      </c>
      <c r="C1" t="s">
        <v>25891</v>
      </c>
      <c r="D1" t="s">
        <v>25892</v>
      </c>
      <c r="E1" t="s">
        <v>25893</v>
      </c>
      <c r="F1" t="s">
        <v>25894</v>
      </c>
    </row>
    <row r="2" spans="1:6">
      <c r="A2" s="9">
        <v>1</v>
      </c>
      <c r="B2" s="9">
        <v>13.728934268391392</v>
      </c>
      <c r="C2" s="9">
        <v>2.2240698582069114</v>
      </c>
      <c r="D2" s="9">
        <v>0.76720863901720193</v>
      </c>
      <c r="E2" s="9">
        <v>0</v>
      </c>
      <c r="F2" s="9">
        <v>83.2797872343845</v>
      </c>
    </row>
    <row r="3" spans="1:6">
      <c r="A3" s="9">
        <v>2</v>
      </c>
      <c r="B3" s="9">
        <v>19.176608856651235</v>
      </c>
      <c r="C3" s="9">
        <v>4.6396413129968996</v>
      </c>
      <c r="D3" s="9">
        <v>2.9539031337272346</v>
      </c>
      <c r="E3" s="9">
        <v>0</v>
      </c>
      <c r="F3" s="9">
        <v>73.22984669662462</v>
      </c>
    </row>
    <row r="4" spans="1:6">
      <c r="A4" s="9">
        <v>3</v>
      </c>
      <c r="B4" s="9">
        <v>21.922011140181837</v>
      </c>
      <c r="C4" s="9">
        <v>8.5772679486939545</v>
      </c>
      <c r="D4" s="9">
        <v>4.566171388924162</v>
      </c>
      <c r="E4" s="9">
        <v>8.4132656643387468E-2</v>
      </c>
      <c r="F4" s="9">
        <v>64.850416865556653</v>
      </c>
    </row>
    <row r="5" spans="1:6">
      <c r="A5" s="9">
        <v>4</v>
      </c>
      <c r="B5" s="9">
        <v>29.700843164240489</v>
      </c>
      <c r="C5" s="9">
        <v>10.888776919205515</v>
      </c>
      <c r="D5" s="9">
        <v>7.3709076133044089</v>
      </c>
      <c r="E5" s="9">
        <v>0</v>
      </c>
      <c r="F5" s="9">
        <v>52.039472303249589</v>
      </c>
    </row>
    <row r="6" spans="1:6">
      <c r="A6" s="9">
        <v>5</v>
      </c>
      <c r="B6" s="9">
        <v>32.489648060634337</v>
      </c>
      <c r="C6" s="9">
        <v>16.134674492338739</v>
      </c>
      <c r="D6" s="9">
        <v>6.0006080699687567</v>
      </c>
      <c r="E6" s="9">
        <v>7.6483990196789864E-2</v>
      </c>
      <c r="F6" s="9">
        <v>45.298585386861376</v>
      </c>
    </row>
    <row r="7" spans="1:6">
      <c r="A7" s="9">
        <v>6</v>
      </c>
      <c r="B7" s="9">
        <v>31.616988022640047</v>
      </c>
      <c r="C7" s="9">
        <v>18.86075046122593</v>
      </c>
      <c r="D7" s="9">
        <v>15.051986068740106</v>
      </c>
      <c r="E7" s="9">
        <v>0</v>
      </c>
      <c r="F7" s="9">
        <v>34.470275447393917</v>
      </c>
    </row>
    <row r="8" spans="1:6">
      <c r="A8" s="9">
        <v>7</v>
      </c>
      <c r="B8" s="9">
        <v>41.101975808419716</v>
      </c>
      <c r="C8" s="9">
        <v>24.378170706322237</v>
      </c>
      <c r="D8" s="9">
        <v>10.408302204961089</v>
      </c>
      <c r="E8" s="9">
        <v>0.1504198555077739</v>
      </c>
      <c r="F8" s="9">
        <v>23.961131424789183</v>
      </c>
    </row>
    <row r="9" spans="1:6">
      <c r="A9" s="9">
        <v>8</v>
      </c>
      <c r="B9" s="9">
        <v>32.220071553701061</v>
      </c>
      <c r="C9" s="9">
        <v>29.53288767718178</v>
      </c>
      <c r="D9" s="9">
        <v>22.169628676084368</v>
      </c>
      <c r="E9" s="9">
        <v>4.5880125666682876E-2</v>
      </c>
      <c r="F9" s="9">
        <v>16.031531967366107</v>
      </c>
    </row>
    <row r="10" spans="1:6">
      <c r="A10" s="9">
        <v>9</v>
      </c>
      <c r="B10" s="9">
        <v>28.261205282655826</v>
      </c>
      <c r="C10" s="9">
        <v>30.937259382732108</v>
      </c>
      <c r="D10" s="9">
        <v>30.566080746550099</v>
      </c>
      <c r="E10" s="9">
        <v>0</v>
      </c>
      <c r="F10" s="9">
        <v>10.235454588061966</v>
      </c>
    </row>
    <row r="11" spans="1:6">
      <c r="A11" s="9">
        <v>10</v>
      </c>
      <c r="B11" s="9">
        <v>23.545160522997275</v>
      </c>
      <c r="C11" s="9">
        <v>27.084504829265477</v>
      </c>
      <c r="D11" s="9">
        <v>44.629075063143311</v>
      </c>
      <c r="E11" s="9">
        <v>1.6101260146961418E-2</v>
      </c>
      <c r="F11" s="9">
        <v>4.7251583244469657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34</vt:i4>
      </vt:variant>
      <vt:variant>
        <vt:lpstr>Rangos con nombre</vt:lpstr>
      </vt:variant>
      <vt:variant>
        <vt:i4>10</vt:i4>
      </vt:variant>
    </vt:vector>
  </HeadingPairs>
  <TitlesOfParts>
    <vt:vector size="44" baseType="lpstr">
      <vt:lpstr>Electricity -BaU Reform</vt:lpstr>
      <vt:lpstr>Carburants - BaU Reform</vt:lpstr>
      <vt:lpstr>Hoja1</vt:lpstr>
      <vt:lpstr>VolumesFuels</vt:lpstr>
      <vt:lpstr>FuelBaskets</vt:lpstr>
      <vt:lpstr>Fuel_Simplified</vt:lpstr>
      <vt:lpstr>Fuel_pmts</vt:lpstr>
      <vt:lpstr>Fuel_prices_info</vt:lpstr>
      <vt:lpstr>elec_pmts_info</vt:lpstr>
      <vt:lpstr>labels</vt:lpstr>
      <vt:lpstr>single_policy</vt:lpstr>
      <vt:lpstr>GraficasPolicyNote</vt:lpstr>
      <vt:lpstr>To do</vt:lpstr>
      <vt:lpstr>Parameters</vt:lpstr>
      <vt:lpstr>PNBSF_deps</vt:lpstr>
      <vt:lpstr>Uprating pmts</vt:lpstr>
      <vt:lpstr>Summary Reforms</vt:lpstr>
      <vt:lpstr>Elec_Coverage</vt:lpstr>
      <vt:lpstr>Fuels_Coverage</vt:lpstr>
      <vt:lpstr>Marginal Contributions</vt:lpstr>
      <vt:lpstr>RI</vt:lpstr>
      <vt:lpstr>AI</vt:lpstr>
      <vt:lpstr>RI_Con</vt:lpstr>
      <vt:lpstr>Prices_fuels</vt:lpstr>
      <vt:lpstr>Fiscal Gains</vt:lpstr>
      <vt:lpstr>Decile Inc. Comparisons</vt:lpstr>
      <vt:lpstr>Decile shares RI</vt:lpstr>
      <vt:lpstr>UpratingMatch</vt:lpstr>
      <vt:lpstr>MC Comparisons</vt:lpstr>
      <vt:lpstr>F1</vt:lpstr>
      <vt:lpstr>stats</vt:lpstr>
      <vt:lpstr>calibdata</vt:lpstr>
      <vt:lpstr>elec_cost_deciles</vt:lpstr>
      <vt:lpstr>tab_elec_tranches</vt:lpstr>
      <vt:lpstr>colcodes</vt:lpstr>
      <vt:lpstr>colnames</vt:lpstr>
      <vt:lpstr>GDP_2022</vt:lpstr>
      <vt:lpstr>PNBSF_assign</vt:lpstr>
      <vt:lpstr>'F1'!policies</vt:lpstr>
      <vt:lpstr>Prices_fuels!policies</vt:lpstr>
      <vt:lpstr>policies</vt:lpstr>
      <vt:lpstr>reforms</vt:lpstr>
      <vt:lpstr>scenarios</vt:lpstr>
      <vt:lpstr>Y_N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Andrés Gallegos</dc:creator>
  <cp:keywords/>
  <dc:description/>
  <cp:lastModifiedBy>Andrés Gallegos</cp:lastModifiedBy>
  <cp:revision/>
  <dcterms:created xsi:type="dcterms:W3CDTF">2023-02-13T16:02:16Z</dcterms:created>
  <dcterms:modified xsi:type="dcterms:W3CDTF">2023-04-24T16:04:03Z</dcterms:modified>
  <cp:category/>
  <cp:contentStatus/>
</cp:coreProperties>
</file>